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6.xml" ContentType="application/vnd.openxmlformats-officedocument.spreadsheetml.comments+xml"/>
  <Override PartName="/xl/drawings/drawing17.xml" ContentType="application/vnd.openxmlformats-officedocument.drawing+xml"/>
  <Override PartName="/xl/activeX/activeX34.xml" ContentType="application/vnd.ms-office.activeX+xml"/>
  <Override PartName="/xl/activeX/activeX34.bin" ContentType="application/vnd.ms-office.activeX"/>
  <Override PartName="/xl/drawings/drawing18.xml" ContentType="application/vnd.openxmlformats-officedocument.drawing+xml"/>
  <Override PartName="/xl/activeX/activeX35.xml" ContentType="application/vnd.ms-office.activeX+xml"/>
  <Override PartName="/xl/activeX/activeX35.bin" ContentType="application/vnd.ms-office.activeX"/>
  <Override PartName="/xl/drawings/drawing19.xml" ContentType="application/vnd.openxmlformats-officedocument.drawing+xml"/>
  <Override PartName="/xl/activeX/activeX36.xml" ContentType="application/vnd.ms-office.activeX+xml"/>
  <Override PartName="/xl/activeX/activeX3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0D9C7BA8-AB65-4387-B888-3E843A41F521}" xr6:coauthVersionLast="38" xr6:coauthVersionMax="38" xr10:uidLastSave="{00000000-0000-0000-0000-000000000000}"/>
  <bookViews>
    <workbookView xWindow="0" yWindow="0" windowWidth="27860" windowHeight="9200" tabRatio="942" xr2:uid="{73CDD858-01FF-49BA-86AD-244FD0980CEC}"/>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 name="ProcessFlow - blank" sheetId="37" state="hidden" r:id="rId20"/>
    <sheet name="Description - blank" sheetId="38" state="hidden" r:id="rId21"/>
    <sheet name="Title - blank" sheetId="39" state="hidden" r:id="rId22"/>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acre_cost">Input_Sheet_Template!$E$104</definedName>
    <definedName name="acres">Input_Sheet_Template!$E$105</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Prices'!$A$131:$CZ$141</definedName>
    <definedName name="AEO_2017_Reference_Case_Feeds">'Energy Feed &amp; Utility Prices'!$A$131:$A$141</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Sequestration'!$J$43</definedName>
    <definedName name="CCSEqpCap">'Carbon Sequestration'!$J$27</definedName>
    <definedName name="CEPC_Factor_08to05">'Carbon Sequestration'!$C$91</definedName>
    <definedName name="CEPCIinflator">'Capital Costs'!$C$11</definedName>
    <definedName name="Chemical_price_indexes">'HyARC Physical Property Data'!$K$94:$L$130</definedName>
    <definedName name="cmboSelectFeed">"Drop Down 23"</definedName>
    <definedName name="CO2_aprx_indCap">'Carbon Sequestration'!$J$28</definedName>
    <definedName name="CO2_cap_charge_rate">'Carbon Sequestration'!$C$48</definedName>
    <definedName name="CO2_cap_rec">'Carbon Sequestration'!$C$46</definedName>
    <definedName name="CO2_capptonneCO2">'Carbon Sequestration'!$K$47</definedName>
    <definedName name="CO2_Capture_Efficiency">'Carbon Sequestration'!$C$30</definedName>
    <definedName name="CO2_CashFlow_eUse">'Cash Flow Analysis'!$J$133</definedName>
    <definedName name="CO2_ControlSystem">'Carbon Sequestration'!$C$34</definedName>
    <definedName name="CO2_credit">'Carbon Sequestration'!$C$43</definedName>
    <definedName name="CO2_depr_factor">'Carbon Sequestration'!$C$47</definedName>
    <definedName name="CO2_eCost">'Carbon Sequestration'!$C$25</definedName>
    <definedName name="CO2_eCostpY">'Carbon Sequestration'!$J$34</definedName>
    <definedName name="CO2_energyptonneCO2">'Carbon Sequestration'!$K$45</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Sequestration'!$C$44</definedName>
    <definedName name="CO2_Nwells">'Carbon Sequestration'!#REF!</definedName>
    <definedName name="CO2_OandMcost">Input_Sheet_Template!$E$160</definedName>
    <definedName name="CO2_OandMptonneCO2">'Carbon Sequestration'!$K$46</definedName>
    <definedName name="CO2_Pin_psia">'Carbon Sequestration'!$C$31</definedName>
    <definedName name="CO2_PipeDia">'Carbon Sequestration'!$C$38</definedName>
    <definedName name="CO2_PipeElevation">'Carbon Sequestration'!$C$37</definedName>
    <definedName name="CO2_PipeFactor">'Carbon Sequestration'!$C$45</definedName>
    <definedName name="CO2_PipeLength">'Carbon Sequestration'!$C$36</definedName>
    <definedName name="CO2_Pipeline_Temp">'Carbon Sequestration'!$C$40</definedName>
    <definedName name="CO2_Pipeline_Temp_factor">'Carbon Sequestration'!$C$40</definedName>
    <definedName name="CO2_Pump_Eff">'Carbon Sequestration'!$C$33</definedName>
    <definedName name="CO2_seq">Input_Sheet_Template!$C$91</definedName>
    <definedName name="CO2_SiteCap">'Carbon Sequestration'!#REF!</definedName>
    <definedName name="CO2_SurgeTank">'Carbon Sequestration'!$C$35</definedName>
    <definedName name="CO2_Terrain">Lists!$V$4:$V$10</definedName>
    <definedName name="CO2_Terrain_2">Lists!$V$4:$W$10</definedName>
    <definedName name="CO2_Terrain_factor">'Carbon Sequestration'!$C$40</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Data'!$A$94:$B$119</definedName>
    <definedName name="Delete_As_List">Lists!$A$15:$A$20</definedName>
    <definedName name="depr_cap">Input_Sheet_Template!$E$101</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Sequestration'!$J$41</definedName>
    <definedName name="Det_CO2_seq">'Carbon Sequestration'!$J$26</definedName>
    <definedName name="Det_direct_cap">'Capital Costs'!$F$36</definedName>
    <definedName name="Det_scaled_cap">'Plant Scaling'!$G$27</definedName>
    <definedName name="direct_cap">Input_Sheet_Template!$C$90</definedName>
    <definedName name="DR_Carbon_Sequestration_1">'Carbon Sequestration'!$C$30:$C$48</definedName>
    <definedName name="DR_Carbon_Sequestration_2">'Carbon Sequestration'!$C$36</definedName>
    <definedName name="DR_CostDetail_1">'Capital Costs'!$B$16:$C$35,'Capital Costs'!$E$16:$E$35</definedName>
    <definedName name="DR_CostDetail_2">'Capital Costs'!$G$16:$H$35</definedName>
    <definedName name="DR_PlantScaling_1">'Plant Scaling'!$C$6:$C$8</definedName>
    <definedName name="DR_PlantScaling_2">'Plant Scaling'!$D$13:$D$26</definedName>
    <definedName name="DR_ReplacementCosts_01">'Replacement Costs'!$F$18:$F$57</definedName>
    <definedName name="DR_ReplacementCosts_1">'Replacement Costs'!$F$18:$F$57</definedName>
    <definedName name="Dynamic_Byproduct_Total">Input_Sheet_Template!$F$81:$F$82</definedName>
    <definedName name="Dynamic_Feed_Total">Input_Sheet_Template!$F$73:$F$76</definedName>
    <definedName name="Dynamic_NonE_Byprod_Total">Input_Sheet_Template!$E$143:$E$144</definedName>
    <definedName name="Dynamic_NonE_Feed_Total">Input_Sheet_Template!$E$138:$E$143</definedName>
    <definedName name="Dynamic_Utilities_Total">Input_Sheet_Template!$F$76:$F$81</definedName>
    <definedName name="Energy_Feed_List">Lists!$K$12</definedName>
    <definedName name="Energy_Feed_Years">Lists!$K$14</definedName>
    <definedName name="Engin">Input_Sheet_Template!$E$95</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Data'!$A$71:$L$88</definedName>
    <definedName name="Feedstock">Lists!$A$8:$A$12</definedName>
    <definedName name="Feedstock_Year">INDIRECT(Energy_Feed_Years)</definedName>
    <definedName name="feedstockBio_Methane_Price">Input_Sheet_Template!#REF!</definedName>
    <definedName name="feedstockCommercial_Electricity_Price">Input_Sheet_Template!#REF!</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Industrial_Electricity_Price">Input_Sheet_Template!#REF!</definedName>
    <definedName name="feedstockIndustrial_Natural_Gas_Price">Input_Sheet_Template!#REF!</definedName>
    <definedName name="feedstockResidential_Electricity_Price">Input_Sheet_Template!#REF!</definedName>
    <definedName name="feedstockResidential_Natural_Gas_Price">Input_Sheet_Template!#REF!</definedName>
    <definedName name="feedstockWoody_Biomass_Price">Input_Sheet_Template!$D$75</definedName>
    <definedName name="feedstockWoody_Biomass_Usage">Input_Sheet_Template!$E$75</definedName>
    <definedName name="Fees">Input_Sheet_Template!$E$99</definedName>
    <definedName name="fixed">Input_Sheet_Template!$E$126</definedName>
    <definedName name="FTE_cost">Input_Sheet_Template!$E$114</definedName>
    <definedName name="FTEs">Input_Sheet_Template!$E$113</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Input_Sheet_Template!$E$115</definedName>
    <definedName name="land_cost">Input_Sheet_Template!$E$106</definedName>
    <definedName name="lb_to_kg">'Constants and Conversions'!$C$7</definedName>
    <definedName name="licensing">Input_Sheet_Template!$E$118</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Input_Sheet_Template!$E$122</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Sequestration'!$C$32</definedName>
    <definedName name="n_pumps">'Carbon Sequestration'!$C$32</definedName>
    <definedName name="ncf_to_Nm3">'Constants and Conversions'!$C$8</definedName>
    <definedName name="NG_to_CO2Pipeline">'Carbon Sequestration'!$C$53</definedName>
    <definedName name="nominal_irr">'Cash Flow Analysis'!$B$27</definedName>
    <definedName name="non_dep_cap">Input_Sheet_Template!$E$108</definedName>
    <definedName name="non_dep_infl">'Cash Flow Analysis'!$B$52</definedName>
    <definedName name="NPV">'Cash Flow Analysis'!$E$26</definedName>
    <definedName name="operator_profit">Input_Sheet_Template!$E$158</definedName>
    <definedName name="other_fees">Input_Sheet_Template!$E$124</definedName>
    <definedName name="other_fixed">Input_Sheet_Template!$E$125</definedName>
    <definedName name="Other_indirect">Input_Sheet_Template!$E$98</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Input_Sheet_Template!$E$117</definedName>
    <definedName name="overhead_rate">Input_Sheet_Template!$C$116</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Input_Sheet_Template!$E$100</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Costs'!$B$14:$G$35</definedName>
    <definedName name="_xlnm.Print_Area" localSheetId="10">'Cash Flow Analysis'!$B$1:$G$14</definedName>
    <definedName name="_xlnm.Print_Area" localSheetId="14">'HyARC Physical Property Data'!$O$4:$U$18</definedName>
    <definedName name="_xlnm.Print_Area" localSheetId="3">Input_Sheet_Template!$B$128:$G$165</definedName>
    <definedName name="_xlnm.Print_Area" localSheetId="6">'Plant Scaling'!$B$2:$K$27</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Input_Sheet_Template!$E$161</definedName>
    <definedName name="Proc_CO2_taxpYear">Input_Sheet_Template!$E$162</definedName>
    <definedName name="ProcEqpCap">'Plant Scaling'!$E$27</definedName>
    <definedName name="Process_cont">Input_Sheet_Template!$E$96</definedName>
    <definedName name="prod_maint">Input_Sheet_Template!$E$123</definedName>
    <definedName name="Project_cont">Input_Sheet_Template!$E$97</definedName>
    <definedName name="Pump_Eff">'Carbon Sequestration'!$C$33</definedName>
    <definedName name="pump_power">'Carbon Sequestration'!$C$68</definedName>
    <definedName name="R_CostDetail_6">'Plant Scaling'!$C$36:$C$40</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Input_Sheet_Template!$E$121</definedName>
    <definedName name="replace_factor">Input_Sheet_Template!$C$156</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Input_Sheet_Template!$E$157</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Input_Sheet_Template!$C$90</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Input_Sheet_Template!$E$94</definedName>
    <definedName name="solidwaste_treat">Input_Sheet_Template!$E$155</definedName>
    <definedName name="solver_adj" localSheetId="10" hidden="1">'Cash Flow Analysis'!#REF!</definedName>
    <definedName name="solver_cvg" localSheetId="10" hidden="1">0.001</definedName>
    <definedName name="solver_drv" localSheetId="10" hidden="1">0</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um" localSheetId="10" hidden="1">0</definedName>
    <definedName name="solver_nwt" localSheetId="10" hidden="1">1</definedName>
    <definedName name="solver_opt" localSheetId="10" hidden="1">'Cash Flow Analysis'!#REF!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val" localSheetId="10" hidden="1">0.15</definedName>
    <definedName name="START_BYPROD">Input_Sheet_Template!$A$82</definedName>
    <definedName name="START_FEED">Input_Sheet_Template!$A$76</definedName>
    <definedName name="START_NONE_BYPROD">Input_Sheet_Template!$A$144</definedName>
    <definedName name="START_NONE_FEED">Input_Sheet_Template!$A$143</definedName>
    <definedName name="START_NONE_TOP">Input_Sheet_Template!$A$138</definedName>
    <definedName name="start_time">Input_Sheet_Template!$C$38</definedName>
    <definedName name="START_TOP">Input_Sheet_Template!$A$73</definedName>
    <definedName name="START_UTILITY">Input_Sheet_Template!$A$81</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Input_Sheet_Template!$E$159</definedName>
    <definedName name="tax_ins_rate">Input_Sheet_Template!$C$119</definedName>
    <definedName name="tax_insurance">Input_Sheet_Template!$E$120</definedName>
    <definedName name="Tbl_2005Emissions">'HyARC Physical Property Data'!$A$135:$I$153</definedName>
    <definedName name="Tbl_2020Emissions">'HyARC Physical Property Data'!#REF!</definedName>
    <definedName name="Tbl_eByprod_Transfer_Info">'Cash Flow Analysis'!$K$131:$N$135</definedName>
    <definedName name="Tbl_Emissions">'HyARC Physical Property Data'!$A$135:$I$153</definedName>
    <definedName name="Tbl_eUtility_Transfer_Info">'Cash Flow Analysis'!$F$131:$I$135</definedName>
    <definedName name="Tbl_Feedstock_Transfer_Info">'Cash Flow Analysis'!$B$131:$E$135</definedName>
    <definedName name="Tbl_labor_indexes">'HyARC Physical Property Data'!$G$94:$H$118</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Data'!$D$94:$E$118</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Input_Sheet_Template!$C$137</definedName>
    <definedName name="TMP_NonE_Feed">Input_Sheet_Template!$C$133</definedName>
    <definedName name="TMP_NonE_StartPrice">Input_Sheet_Template!$C$134</definedName>
    <definedName name="TMP_NonE_StartYrCost">Input_Sheet_Template!$C$136</definedName>
    <definedName name="TMP_NonE_Type">Input_Sheet_Template!$B$133</definedName>
    <definedName name="TMP_NonE_Usage">Input_Sheet_Template!$C$135</definedName>
    <definedName name="TMP_NonE_Usage_txt">Input_Sheet_Template!$B$134</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Input_Sheet_Template!$C$150</definedName>
    <definedName name="total_cap">Input_Sheet_Template!$C$110</definedName>
    <definedName name="Total_Energy_Byproduct_Cost">Input_Sheet_Template!$D$86</definedName>
    <definedName name="Total_Energy_Byproduct_Credit">Input_Sheet_Template!$F$86</definedName>
    <definedName name="Total_Energy_Feed_Cost">Input_Sheet_Template!$F$84</definedName>
    <definedName name="Total_Energy_Utilities_Cost">Input_Sheet_Template!$F$85</definedName>
    <definedName name="total_feedstock">Input_Sheet_Template!$C$148</definedName>
    <definedName name="total_non_energy_byproduct_credit">Input_Sheet_Template!$C$146</definedName>
    <definedName name="Total_Non_Energy_Feed_Cost">Input_Sheet_Template!$C$145</definedName>
    <definedName name="total_other_raw">Input_Sheet_Template!$E$153</definedName>
    <definedName name="total_tax_rate">Input_Sheet_Template!$C$55</definedName>
    <definedName name="total_utilities">Input_Sheet_Template!$C$149</definedName>
    <definedName name="total_var">Input_Sheet_Template!$E$165</definedName>
    <definedName name="upper_capacity_limit">'Plant Scaling'!$C$8</definedName>
    <definedName name="Upstream_CO2_tax">Input_Sheet_Template!$E$163</definedName>
    <definedName name="Upstream_CO2_taxpYear">Input_Sheet_Template!$E$164</definedName>
    <definedName name="Upstream_GHG_total">Results!$G$77</definedName>
    <definedName name="Use_Default">Lists!$A$4:$A$5</definedName>
    <definedName name="utilityCommercial_Electricity_Price">Input_Sheet_Template!#REF!</definedName>
    <definedName name="utilityCommercial_Natural_Gas_Price">Input_Sheet_Template!$D$80</definedName>
    <definedName name="utilityCommercial_Natural_Gas_Usage">Input_Sheet_Template!$E$80</definedName>
    <definedName name="utilityIndustrial_Electricity_Price">Input_Sheet_Template!$D$78</definedName>
    <definedName name="utilityIndustrial_Electricity_Usage">Input_Sheet_Template!$E$78</definedName>
    <definedName name="VAR_FEED_VALUES">Input_Sheet_Template!$B$65:$D$70</definedName>
    <definedName name="var_misc">Input_Sheet_Template!$E$152</definedName>
    <definedName name="VAR_NonE_FEED_VALUES">Input_Sheet_Template!$B$133:$D$137</definedName>
    <definedName name="waste_treat">Input_Sheet_Template!$E$154</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4" i="13" l="1"/>
  <c r="C141" i="12" l="1"/>
  <c r="CZ141" i="12" s="1"/>
  <c r="C140" i="12"/>
  <c r="CT140" i="12" s="1"/>
  <c r="CG139" i="12"/>
  <c r="C139" i="12"/>
  <c r="CV139" i="12" s="1"/>
  <c r="C138" i="12"/>
  <c r="CQ138" i="12" s="1"/>
  <c r="C137" i="12"/>
  <c r="CQ137" i="12" s="1"/>
  <c r="C136" i="12"/>
  <c r="CV136" i="12" s="1"/>
  <c r="C135" i="12"/>
  <c r="BZ135" i="12" s="1"/>
  <c r="C134" i="12"/>
  <c r="CZ134" i="12" s="1"/>
  <c r="C133" i="12"/>
  <c r="CT133" i="12" s="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B130" i="12"/>
  <c r="BM140" i="12" l="1"/>
  <c r="AQ140" i="12"/>
  <c r="AQ133" i="12"/>
  <c r="AR133" i="12"/>
  <c r="U139" i="12"/>
  <c r="CF140" i="12"/>
  <c r="BA139" i="12"/>
  <c r="I141" i="12"/>
  <c r="AK139" i="12"/>
  <c r="CY135" i="12"/>
  <c r="BQ139" i="12"/>
  <c r="BU141" i="12"/>
  <c r="I134" i="12"/>
  <c r="BH133" i="12"/>
  <c r="Q134" i="12"/>
  <c r="BX134" i="12"/>
  <c r="AJ136" i="12"/>
  <c r="K133" i="12"/>
  <c r="BW133" i="12"/>
  <c r="T134" i="12"/>
  <c r="CC134" i="12"/>
  <c r="BQ136" i="12"/>
  <c r="BE134" i="12"/>
  <c r="L133" i="12"/>
  <c r="BX133" i="12"/>
  <c r="Y134" i="12"/>
  <c r="CF134" i="12"/>
  <c r="CW139" i="12"/>
  <c r="J141" i="12"/>
  <c r="AA133" i="12"/>
  <c r="AO134" i="12"/>
  <c r="CK134" i="12"/>
  <c r="AO141" i="12"/>
  <c r="AZ134" i="12"/>
  <c r="BG133" i="12"/>
  <c r="L134" i="12"/>
  <c r="CM133" i="12"/>
  <c r="AB133" i="12"/>
  <c r="CP133" i="12"/>
  <c r="AR134" i="12"/>
  <c r="T140" i="12"/>
  <c r="AP141" i="12"/>
  <c r="AW134" i="12"/>
  <c r="O135" i="12"/>
  <c r="BW136" i="12"/>
  <c r="BV141" i="12"/>
  <c r="AO136" i="12"/>
  <c r="J137" i="12"/>
  <c r="BI137" i="12"/>
  <c r="V139" i="12"/>
  <c r="BB139" i="12"/>
  <c r="CH139" i="12"/>
  <c r="Y140" i="12"/>
  <c r="AR140" i="12"/>
  <c r="BO140" i="12"/>
  <c r="N133" i="12"/>
  <c r="AD133" i="12"/>
  <c r="AT133" i="12"/>
  <c r="BJ133" i="12"/>
  <c r="BZ133" i="12"/>
  <c r="CS133" i="12"/>
  <c r="K136" i="12"/>
  <c r="AR136" i="12"/>
  <c r="CA136" i="12"/>
  <c r="O137" i="12"/>
  <c r="BN137" i="12"/>
  <c r="I139" i="12"/>
  <c r="Y139" i="12"/>
  <c r="AO139" i="12"/>
  <c r="BE139" i="12"/>
  <c r="BU139" i="12"/>
  <c r="CK139" i="12"/>
  <c r="AA140" i="12"/>
  <c r="BP140" i="12"/>
  <c r="Q141" i="12"/>
  <c r="CC141" i="12"/>
  <c r="Q133" i="12"/>
  <c r="AG133" i="12"/>
  <c r="AW133" i="12"/>
  <c r="BM133" i="12"/>
  <c r="CC133" i="12"/>
  <c r="CU133" i="12"/>
  <c r="AB134" i="12"/>
  <c r="BH134" i="12"/>
  <c r="CN134" i="12"/>
  <c r="O136" i="12"/>
  <c r="AW136" i="12"/>
  <c r="CE136" i="12"/>
  <c r="W137" i="12"/>
  <c r="BV137" i="12"/>
  <c r="K139" i="12"/>
  <c r="AA139" i="12"/>
  <c r="AQ139" i="12"/>
  <c r="BG139" i="12"/>
  <c r="BW139" i="12"/>
  <c r="CM139" i="12"/>
  <c r="I140" i="12"/>
  <c r="AB140" i="12"/>
  <c r="AY140" i="12"/>
  <c r="BU140" i="12"/>
  <c r="CN140" i="12"/>
  <c r="R141" i="12"/>
  <c r="AX141" i="12"/>
  <c r="CD141" i="12"/>
  <c r="BA137" i="12"/>
  <c r="AW140" i="12"/>
  <c r="CM140" i="12"/>
  <c r="AW141" i="12"/>
  <c r="S133" i="12"/>
  <c r="AI133" i="12"/>
  <c r="AY133" i="12"/>
  <c r="BO133" i="12"/>
  <c r="CE133" i="12"/>
  <c r="CX133" i="12"/>
  <c r="AG134" i="12"/>
  <c r="BM134" i="12"/>
  <c r="CS134" i="12"/>
  <c r="S136" i="12"/>
  <c r="BA136" i="12"/>
  <c r="CI136" i="12"/>
  <c r="AA137" i="12"/>
  <c r="CA137" i="12"/>
  <c r="M139" i="12"/>
  <c r="AC139" i="12"/>
  <c r="AS139" i="12"/>
  <c r="BI139" i="12"/>
  <c r="BY139" i="12"/>
  <c r="CO139" i="12"/>
  <c r="K140" i="12"/>
  <c r="AG140" i="12"/>
  <c r="AZ140" i="12"/>
  <c r="BW140" i="12"/>
  <c r="CS140" i="12"/>
  <c r="Y141" i="12"/>
  <c r="BE141" i="12"/>
  <c r="CK141" i="12"/>
  <c r="T133" i="12"/>
  <c r="AJ133" i="12"/>
  <c r="AZ133" i="12"/>
  <c r="BP133" i="12"/>
  <c r="CF133" i="12"/>
  <c r="AJ134" i="12"/>
  <c r="BP134" i="12"/>
  <c r="CV134" i="12"/>
  <c r="W136" i="12"/>
  <c r="BE136" i="12"/>
  <c r="CN136" i="12"/>
  <c r="AI137" i="12"/>
  <c r="CI137" i="12"/>
  <c r="N139" i="12"/>
  <c r="AD139" i="12"/>
  <c r="AT139" i="12"/>
  <c r="BJ139" i="12"/>
  <c r="BZ139" i="12"/>
  <c r="CP139" i="12"/>
  <c r="L140" i="12"/>
  <c r="AI140" i="12"/>
  <c r="BE140" i="12"/>
  <c r="BX140" i="12"/>
  <c r="CU140" i="12"/>
  <c r="Z141" i="12"/>
  <c r="BF141" i="12"/>
  <c r="CL141" i="12"/>
  <c r="V133" i="12"/>
  <c r="AL133" i="12"/>
  <c r="BB133" i="12"/>
  <c r="BR133" i="12"/>
  <c r="CH133" i="12"/>
  <c r="BU134" i="12"/>
  <c r="AB136" i="12"/>
  <c r="BI136" i="12"/>
  <c r="CQ136" i="12"/>
  <c r="AO137" i="12"/>
  <c r="CM137" i="12"/>
  <c r="Q139" i="12"/>
  <c r="AG139" i="12"/>
  <c r="AW139" i="12"/>
  <c r="BM139" i="12"/>
  <c r="CC139" i="12"/>
  <c r="CS139" i="12"/>
  <c r="Q140" i="12"/>
  <c r="AJ140" i="12"/>
  <c r="BG140" i="12"/>
  <c r="CC140" i="12"/>
  <c r="CV140" i="12"/>
  <c r="AG141" i="12"/>
  <c r="BM141" i="12"/>
  <c r="CS141" i="12"/>
  <c r="AL139" i="12"/>
  <c r="BR139" i="12"/>
  <c r="CX139" i="12"/>
  <c r="CK140" i="12"/>
  <c r="I133" i="12"/>
  <c r="Y133" i="12"/>
  <c r="AO133" i="12"/>
  <c r="BE133" i="12"/>
  <c r="BU133" i="12"/>
  <c r="CK133" i="12"/>
  <c r="AE136" i="12"/>
  <c r="BO136" i="12"/>
  <c r="AW137" i="12"/>
  <c r="CU137" i="12"/>
  <c r="S139" i="12"/>
  <c r="AI139" i="12"/>
  <c r="AY139" i="12"/>
  <c r="BO139" i="12"/>
  <c r="CE139" i="12"/>
  <c r="CU139" i="12"/>
  <c r="S140" i="12"/>
  <c r="AO140" i="12"/>
  <c r="BH140" i="12"/>
  <c r="CE140" i="12"/>
  <c r="AH141" i="12"/>
  <c r="BN141" i="12"/>
  <c r="CT141" i="12"/>
  <c r="AI135" i="12"/>
  <c r="AS135" i="12"/>
  <c r="BC135" i="12"/>
  <c r="BO135" i="12"/>
  <c r="Y135" i="12"/>
  <c r="CV135" i="12"/>
  <c r="CN135" i="12"/>
  <c r="CF135" i="12"/>
  <c r="BX135" i="12"/>
  <c r="CT135" i="12"/>
  <c r="CL135" i="12"/>
  <c r="CD135" i="12"/>
  <c r="BV135" i="12"/>
  <c r="BN135" i="12"/>
  <c r="BF135" i="12"/>
  <c r="AX135" i="12"/>
  <c r="AP135" i="12"/>
  <c r="AH135" i="12"/>
  <c r="CZ135" i="12"/>
  <c r="CR135" i="12"/>
  <c r="CJ135" i="12"/>
  <c r="CB135" i="12"/>
  <c r="BT135" i="12"/>
  <c r="BL135" i="12"/>
  <c r="BD135" i="12"/>
  <c r="AV135" i="12"/>
  <c r="AN135" i="12"/>
  <c r="AF135" i="12"/>
  <c r="X135" i="12"/>
  <c r="P135" i="12"/>
  <c r="CX135" i="12"/>
  <c r="CK135" i="12"/>
  <c r="BY135" i="12"/>
  <c r="BM135" i="12"/>
  <c r="BB135" i="12"/>
  <c r="AR135" i="12"/>
  <c r="AG135" i="12"/>
  <c r="W135" i="12"/>
  <c r="N135" i="12"/>
  <c r="AQ135" i="12"/>
  <c r="J135" i="12"/>
  <c r="CW135" i="12"/>
  <c r="CI135" i="12"/>
  <c r="BW135" i="12"/>
  <c r="BK135" i="12"/>
  <c r="BA135" i="12"/>
  <c r="AE135" i="12"/>
  <c r="V135" i="12"/>
  <c r="M135" i="12"/>
  <c r="CU135" i="12"/>
  <c r="CH135" i="12"/>
  <c r="BU135" i="12"/>
  <c r="BJ135" i="12"/>
  <c r="AZ135" i="12"/>
  <c r="AO135" i="12"/>
  <c r="AD135" i="12"/>
  <c r="U135" i="12"/>
  <c r="L135" i="12"/>
  <c r="CQ135" i="12"/>
  <c r="CE135" i="12"/>
  <c r="BH135" i="12"/>
  <c r="AL135" i="12"/>
  <c r="AB135" i="12"/>
  <c r="CS135" i="12"/>
  <c r="CG135" i="12"/>
  <c r="BS135" i="12"/>
  <c r="BI135" i="12"/>
  <c r="AY135" i="12"/>
  <c r="AM135" i="12"/>
  <c r="AC135" i="12"/>
  <c r="T135" i="12"/>
  <c r="K135" i="12"/>
  <c r="BR135" i="12"/>
  <c r="AW135" i="12"/>
  <c r="S135" i="12"/>
  <c r="CP135" i="12"/>
  <c r="CC135" i="12"/>
  <c r="BQ135" i="12"/>
  <c r="BG135" i="12"/>
  <c r="AU135" i="12"/>
  <c r="AK135" i="12"/>
  <c r="AA135" i="12"/>
  <c r="R135" i="12"/>
  <c r="I135" i="12"/>
  <c r="CO135" i="12"/>
  <c r="CA135" i="12"/>
  <c r="BP135" i="12"/>
  <c r="BE135" i="12"/>
  <c r="AT135" i="12"/>
  <c r="AJ135" i="12"/>
  <c r="Z135" i="12"/>
  <c r="Q135" i="12"/>
  <c r="H135" i="12"/>
  <c r="CM135" i="12"/>
  <c r="O138" i="12"/>
  <c r="BA138" i="12"/>
  <c r="CA138" i="12"/>
  <c r="CZ138" i="12"/>
  <c r="CN133" i="12"/>
  <c r="CV133" i="12"/>
  <c r="J134" i="12"/>
  <c r="R134" i="12"/>
  <c r="Z134" i="12"/>
  <c r="AH134" i="12"/>
  <c r="AP134" i="12"/>
  <c r="AX134" i="12"/>
  <c r="BF134" i="12"/>
  <c r="BN134" i="12"/>
  <c r="BV134" i="12"/>
  <c r="CD134" i="12"/>
  <c r="CL134" i="12"/>
  <c r="CT134" i="12"/>
  <c r="CT136" i="12"/>
  <c r="CL136" i="12"/>
  <c r="CD136" i="12"/>
  <c r="BV136" i="12"/>
  <c r="BN136" i="12"/>
  <c r="BF136" i="12"/>
  <c r="AX136" i="12"/>
  <c r="AP136" i="12"/>
  <c r="AH136" i="12"/>
  <c r="Z136" i="12"/>
  <c r="R136" i="12"/>
  <c r="J136" i="12"/>
  <c r="CZ136" i="12"/>
  <c r="CR136" i="12"/>
  <c r="CJ136" i="12"/>
  <c r="CB136" i="12"/>
  <c r="BT136" i="12"/>
  <c r="BL136" i="12"/>
  <c r="BD136" i="12"/>
  <c r="AV136" i="12"/>
  <c r="AN136" i="12"/>
  <c r="AF136" i="12"/>
  <c r="X136" i="12"/>
  <c r="P136" i="12"/>
  <c r="H136" i="12"/>
  <c r="CX136" i="12"/>
  <c r="CP136" i="12"/>
  <c r="CH136" i="12"/>
  <c r="BZ136" i="12"/>
  <c r="BR136" i="12"/>
  <c r="BJ136" i="12"/>
  <c r="BB136" i="12"/>
  <c r="AT136" i="12"/>
  <c r="AL136" i="12"/>
  <c r="AD136" i="12"/>
  <c r="V136" i="12"/>
  <c r="N136" i="12"/>
  <c r="T136" i="12"/>
  <c r="AG136" i="12"/>
  <c r="AS136" i="12"/>
  <c r="BG136" i="12"/>
  <c r="BS136" i="12"/>
  <c r="CF136" i="12"/>
  <c r="CS136" i="12"/>
  <c r="K137" i="12"/>
  <c r="Y137" i="12"/>
  <c r="AK137" i="12"/>
  <c r="AX137" i="12"/>
  <c r="BK137" i="12"/>
  <c r="BW137" i="12"/>
  <c r="CK137" i="12"/>
  <c r="CW137" i="12"/>
  <c r="P138" i="12"/>
  <c r="AC138" i="12"/>
  <c r="AO138" i="12"/>
  <c r="BC138" i="12"/>
  <c r="BO138" i="12"/>
  <c r="CB138" i="12"/>
  <c r="CO138" i="12"/>
  <c r="AA138" i="12"/>
  <c r="AN138" i="12"/>
  <c r="BM138" i="12"/>
  <c r="CM138" i="12"/>
  <c r="M133" i="12"/>
  <c r="U133" i="12"/>
  <c r="AC133" i="12"/>
  <c r="AK133" i="12"/>
  <c r="AS133" i="12"/>
  <c r="BA133" i="12"/>
  <c r="BI133" i="12"/>
  <c r="BQ133" i="12"/>
  <c r="BY133" i="12"/>
  <c r="CG133" i="12"/>
  <c r="CO133" i="12"/>
  <c r="CW133" i="12"/>
  <c r="K134" i="12"/>
  <c r="S134" i="12"/>
  <c r="AA134" i="12"/>
  <c r="AI134" i="12"/>
  <c r="AQ134" i="12"/>
  <c r="AY134" i="12"/>
  <c r="BG134" i="12"/>
  <c r="BO134" i="12"/>
  <c r="BW134" i="12"/>
  <c r="CE134" i="12"/>
  <c r="CM134" i="12"/>
  <c r="CU134" i="12"/>
  <c r="I136" i="12"/>
  <c r="U136" i="12"/>
  <c r="AI136" i="12"/>
  <c r="AU136" i="12"/>
  <c r="BH136" i="12"/>
  <c r="BU136" i="12"/>
  <c r="CG136" i="12"/>
  <c r="CU136" i="12"/>
  <c r="M137" i="12"/>
  <c r="Z137" i="12"/>
  <c r="AM137" i="12"/>
  <c r="AY137" i="12"/>
  <c r="BM137" i="12"/>
  <c r="BY137" i="12"/>
  <c r="CL137" i="12"/>
  <c r="CY137" i="12"/>
  <c r="Q138" i="12"/>
  <c r="AE138" i="12"/>
  <c r="AQ138" i="12"/>
  <c r="BD138" i="12"/>
  <c r="BQ138" i="12"/>
  <c r="CC138" i="12"/>
  <c r="CX138" i="12"/>
  <c r="CP138" i="12"/>
  <c r="CH138" i="12"/>
  <c r="BZ138" i="12"/>
  <c r="BR138" i="12"/>
  <c r="BJ138" i="12"/>
  <c r="BB138" i="12"/>
  <c r="AT138" i="12"/>
  <c r="AL138" i="12"/>
  <c r="AD138" i="12"/>
  <c r="V138" i="12"/>
  <c r="N138" i="12"/>
  <c r="CV138" i="12"/>
  <c r="CN138" i="12"/>
  <c r="CF138" i="12"/>
  <c r="BX138" i="12"/>
  <c r="BP138" i="12"/>
  <c r="BH138" i="12"/>
  <c r="AZ138" i="12"/>
  <c r="AR138" i="12"/>
  <c r="AJ138" i="12"/>
  <c r="AB138" i="12"/>
  <c r="T138" i="12"/>
  <c r="L138" i="12"/>
  <c r="CT138" i="12"/>
  <c r="CL138" i="12"/>
  <c r="CD138" i="12"/>
  <c r="BV138" i="12"/>
  <c r="BN138" i="12"/>
  <c r="BF138" i="12"/>
  <c r="AX138" i="12"/>
  <c r="AP138" i="12"/>
  <c r="AH138" i="12"/>
  <c r="Z138" i="12"/>
  <c r="R138" i="12"/>
  <c r="J138" i="12"/>
  <c r="S138" i="12"/>
  <c r="AF138" i="12"/>
  <c r="AS138" i="12"/>
  <c r="BE138" i="12"/>
  <c r="BS138" i="12"/>
  <c r="CE138" i="12"/>
  <c r="CR138" i="12"/>
  <c r="O133" i="12"/>
  <c r="W133" i="12"/>
  <c r="AE133" i="12"/>
  <c r="AM133" i="12"/>
  <c r="AU133" i="12"/>
  <c r="BC133" i="12"/>
  <c r="BK133" i="12"/>
  <c r="BS133" i="12"/>
  <c r="CA133" i="12"/>
  <c r="CI133" i="12"/>
  <c r="CQ133" i="12"/>
  <c r="CY133" i="12"/>
  <c r="M134" i="12"/>
  <c r="U134" i="12"/>
  <c r="AC134" i="12"/>
  <c r="AK134" i="12"/>
  <c r="AS134" i="12"/>
  <c r="BA134" i="12"/>
  <c r="BI134" i="12"/>
  <c r="BQ134" i="12"/>
  <c r="BY134" i="12"/>
  <c r="CG134" i="12"/>
  <c r="CO134" i="12"/>
  <c r="CW134" i="12"/>
  <c r="L136" i="12"/>
  <c r="Y136" i="12"/>
  <c r="AK136" i="12"/>
  <c r="AY136" i="12"/>
  <c r="BK136" i="12"/>
  <c r="BX136" i="12"/>
  <c r="CK136" i="12"/>
  <c r="CW136" i="12"/>
  <c r="Q137" i="12"/>
  <c r="AC137" i="12"/>
  <c r="AP137" i="12"/>
  <c r="BC137" i="12"/>
  <c r="BO137" i="12"/>
  <c r="CC137" i="12"/>
  <c r="CO137" i="12"/>
  <c r="H138" i="12"/>
  <c r="U138" i="12"/>
  <c r="AG138" i="12"/>
  <c r="AU138" i="12"/>
  <c r="BG138" i="12"/>
  <c r="BT138" i="12"/>
  <c r="CG138" i="12"/>
  <c r="CS138" i="12"/>
  <c r="H133" i="12"/>
  <c r="P133" i="12"/>
  <c r="X133" i="12"/>
  <c r="AF133" i="12"/>
  <c r="AN133" i="12"/>
  <c r="AV133" i="12"/>
  <c r="BD133" i="12"/>
  <c r="BL133" i="12"/>
  <c r="BT133" i="12"/>
  <c r="CB133" i="12"/>
  <c r="CJ133" i="12"/>
  <c r="CR133" i="12"/>
  <c r="CZ133" i="12"/>
  <c r="N134" i="12"/>
  <c r="V134" i="12"/>
  <c r="AD134" i="12"/>
  <c r="AL134" i="12"/>
  <c r="AT134" i="12"/>
  <c r="BB134" i="12"/>
  <c r="BJ134" i="12"/>
  <c r="BR134" i="12"/>
  <c r="BZ134" i="12"/>
  <c r="CH134" i="12"/>
  <c r="CP134" i="12"/>
  <c r="CX134" i="12"/>
  <c r="M136" i="12"/>
  <c r="AA136" i="12"/>
  <c r="AM136" i="12"/>
  <c r="AZ136" i="12"/>
  <c r="BM136" i="12"/>
  <c r="BY136" i="12"/>
  <c r="CM136" i="12"/>
  <c r="CY136" i="12"/>
  <c r="R137" i="12"/>
  <c r="AE137" i="12"/>
  <c r="AQ137" i="12"/>
  <c r="BE137" i="12"/>
  <c r="BQ137" i="12"/>
  <c r="CD137" i="12"/>
  <c r="I138" i="12"/>
  <c r="W138" i="12"/>
  <c r="AI138" i="12"/>
  <c r="AV138" i="12"/>
  <c r="BI138" i="12"/>
  <c r="BU138" i="12"/>
  <c r="CI138" i="12"/>
  <c r="CU138" i="12"/>
  <c r="W134" i="12"/>
  <c r="AM134" i="12"/>
  <c r="BC134" i="12"/>
  <c r="BS134" i="12"/>
  <c r="CI134" i="12"/>
  <c r="CQ134" i="12"/>
  <c r="CY134" i="12"/>
  <c r="CZ137" i="12"/>
  <c r="CR137" i="12"/>
  <c r="CJ137" i="12"/>
  <c r="CB137" i="12"/>
  <c r="BT137" i="12"/>
  <c r="BL137" i="12"/>
  <c r="BD137" i="12"/>
  <c r="AV137" i="12"/>
  <c r="AN137" i="12"/>
  <c r="AF137" i="12"/>
  <c r="X137" i="12"/>
  <c r="P137" i="12"/>
  <c r="H137" i="12"/>
  <c r="CX137" i="12"/>
  <c r="CP137" i="12"/>
  <c r="CH137" i="12"/>
  <c r="BZ137" i="12"/>
  <c r="BR137" i="12"/>
  <c r="BJ137" i="12"/>
  <c r="BB137" i="12"/>
  <c r="AT137" i="12"/>
  <c r="AL137" i="12"/>
  <c r="AD137" i="12"/>
  <c r="V137" i="12"/>
  <c r="N137" i="12"/>
  <c r="CV137" i="12"/>
  <c r="CN137" i="12"/>
  <c r="CF137" i="12"/>
  <c r="BX137" i="12"/>
  <c r="BP137" i="12"/>
  <c r="BH137" i="12"/>
  <c r="AZ137" i="12"/>
  <c r="AR137" i="12"/>
  <c r="AJ137" i="12"/>
  <c r="AB137" i="12"/>
  <c r="T137" i="12"/>
  <c r="L137" i="12"/>
  <c r="S137" i="12"/>
  <c r="AG137" i="12"/>
  <c r="AS137" i="12"/>
  <c r="BF137" i="12"/>
  <c r="BS137" i="12"/>
  <c r="CE137" i="12"/>
  <c r="CS137" i="12"/>
  <c r="K138" i="12"/>
  <c r="X138" i="12"/>
  <c r="AK138" i="12"/>
  <c r="AW138" i="12"/>
  <c r="BK138" i="12"/>
  <c r="BW138" i="12"/>
  <c r="CJ138" i="12"/>
  <c r="CW138" i="12"/>
  <c r="O134" i="12"/>
  <c r="AE134" i="12"/>
  <c r="AU134" i="12"/>
  <c r="BK134" i="12"/>
  <c r="CA134" i="12"/>
  <c r="J133" i="12"/>
  <c r="R133" i="12"/>
  <c r="Z133" i="12"/>
  <c r="AH133" i="12"/>
  <c r="AP133" i="12"/>
  <c r="AX133" i="12"/>
  <c r="BF133" i="12"/>
  <c r="BN133" i="12"/>
  <c r="BV133" i="12"/>
  <c r="CD133" i="12"/>
  <c r="CL133" i="12"/>
  <c r="H134" i="12"/>
  <c r="P134" i="12"/>
  <c r="X134" i="12"/>
  <c r="AF134" i="12"/>
  <c r="AN134" i="12"/>
  <c r="AV134" i="12"/>
  <c r="BD134" i="12"/>
  <c r="BL134" i="12"/>
  <c r="BT134" i="12"/>
  <c r="CB134" i="12"/>
  <c r="CJ134" i="12"/>
  <c r="CR134" i="12"/>
  <c r="Q136" i="12"/>
  <c r="AC136" i="12"/>
  <c r="AQ136" i="12"/>
  <c r="BC136" i="12"/>
  <c r="BP136" i="12"/>
  <c r="CC136" i="12"/>
  <c r="CO136" i="12"/>
  <c r="I137" i="12"/>
  <c r="U137" i="12"/>
  <c r="AH137" i="12"/>
  <c r="AU137" i="12"/>
  <c r="BG137" i="12"/>
  <c r="BU137" i="12"/>
  <c r="CG137" i="12"/>
  <c r="CT137" i="12"/>
  <c r="M138" i="12"/>
  <c r="Y138" i="12"/>
  <c r="AM138" i="12"/>
  <c r="AY138" i="12"/>
  <c r="BL138" i="12"/>
  <c r="BY138" i="12"/>
  <c r="CK138" i="12"/>
  <c r="CY138" i="12"/>
  <c r="O139" i="12"/>
  <c r="W139" i="12"/>
  <c r="AE139" i="12"/>
  <c r="AM139" i="12"/>
  <c r="AU139" i="12"/>
  <c r="BC139" i="12"/>
  <c r="BK139" i="12"/>
  <c r="BS139" i="12"/>
  <c r="CA139" i="12"/>
  <c r="CI139" i="12"/>
  <c r="CQ139" i="12"/>
  <c r="CY139" i="12"/>
  <c r="M140" i="12"/>
  <c r="U140" i="12"/>
  <c r="AC140" i="12"/>
  <c r="AK140" i="12"/>
  <c r="AS140" i="12"/>
  <c r="BA140" i="12"/>
  <c r="BI140" i="12"/>
  <c r="BQ140" i="12"/>
  <c r="BY140" i="12"/>
  <c r="CG140" i="12"/>
  <c r="CO140" i="12"/>
  <c r="CW140" i="12"/>
  <c r="K141" i="12"/>
  <c r="S141" i="12"/>
  <c r="AA141" i="12"/>
  <c r="AI141" i="12"/>
  <c r="AQ141" i="12"/>
  <c r="AY141" i="12"/>
  <c r="BG141" i="12"/>
  <c r="BO141" i="12"/>
  <c r="BW141" i="12"/>
  <c r="CE141" i="12"/>
  <c r="CM141" i="12"/>
  <c r="CU141" i="12"/>
  <c r="H139" i="12"/>
  <c r="P139" i="12"/>
  <c r="X139" i="12"/>
  <c r="AF139" i="12"/>
  <c r="AN139" i="12"/>
  <c r="AV139" i="12"/>
  <c r="BD139" i="12"/>
  <c r="BL139" i="12"/>
  <c r="BT139" i="12"/>
  <c r="CB139" i="12"/>
  <c r="CJ139" i="12"/>
  <c r="CR139" i="12"/>
  <c r="CZ139" i="12"/>
  <c r="N140" i="12"/>
  <c r="V140" i="12"/>
  <c r="AD140" i="12"/>
  <c r="AL140" i="12"/>
  <c r="AT140" i="12"/>
  <c r="BB140" i="12"/>
  <c r="BJ140" i="12"/>
  <c r="BR140" i="12"/>
  <c r="BZ140" i="12"/>
  <c r="CH140" i="12"/>
  <c r="CP140" i="12"/>
  <c r="CX140" i="12"/>
  <c r="L141" i="12"/>
  <c r="T141" i="12"/>
  <c r="AB141" i="12"/>
  <c r="AJ141" i="12"/>
  <c r="AR141" i="12"/>
  <c r="AZ141" i="12"/>
  <c r="BH141" i="12"/>
  <c r="BP141" i="12"/>
  <c r="BX141" i="12"/>
  <c r="CF141" i="12"/>
  <c r="CN141" i="12"/>
  <c r="CV141" i="12"/>
  <c r="O140" i="12"/>
  <c r="W140" i="12"/>
  <c r="AE140" i="12"/>
  <c r="AM140" i="12"/>
  <c r="AU140" i="12"/>
  <c r="BC140" i="12"/>
  <c r="BK140" i="12"/>
  <c r="BS140" i="12"/>
  <c r="CA140" i="12"/>
  <c r="CI140" i="12"/>
  <c r="CQ140" i="12"/>
  <c r="CY140" i="12"/>
  <c r="M141" i="12"/>
  <c r="U141" i="12"/>
  <c r="AC141" i="12"/>
  <c r="AK141" i="12"/>
  <c r="AS141" i="12"/>
  <c r="BA141" i="12"/>
  <c r="BI141" i="12"/>
  <c r="BQ141" i="12"/>
  <c r="BY141" i="12"/>
  <c r="CG141" i="12"/>
  <c r="CO141" i="12"/>
  <c r="CW141" i="12"/>
  <c r="J139" i="12"/>
  <c r="R139" i="12"/>
  <c r="Z139" i="12"/>
  <c r="AH139" i="12"/>
  <c r="AP139" i="12"/>
  <c r="AX139" i="12"/>
  <c r="BF139" i="12"/>
  <c r="BN139" i="12"/>
  <c r="BV139" i="12"/>
  <c r="CD139" i="12"/>
  <c r="CL139" i="12"/>
  <c r="CT139" i="12"/>
  <c r="H140" i="12"/>
  <c r="P140" i="12"/>
  <c r="X140" i="12"/>
  <c r="AF140" i="12"/>
  <c r="AN140" i="12"/>
  <c r="AV140" i="12"/>
  <c r="BD140" i="12"/>
  <c r="BL140" i="12"/>
  <c r="BT140" i="12"/>
  <c r="CB140" i="12"/>
  <c r="CJ140" i="12"/>
  <c r="CR140" i="12"/>
  <c r="CZ140" i="12"/>
  <c r="N141" i="12"/>
  <c r="V141" i="12"/>
  <c r="AD141" i="12"/>
  <c r="AL141" i="12"/>
  <c r="AT141" i="12"/>
  <c r="BB141" i="12"/>
  <c r="BJ141" i="12"/>
  <c r="BR141" i="12"/>
  <c r="BZ141" i="12"/>
  <c r="CH141" i="12"/>
  <c r="CP141" i="12"/>
  <c r="CX141" i="12"/>
  <c r="O141" i="12"/>
  <c r="W141" i="12"/>
  <c r="AE141" i="12"/>
  <c r="AM141" i="12"/>
  <c r="AU141" i="12"/>
  <c r="BC141" i="12"/>
  <c r="BK141" i="12"/>
  <c r="BS141" i="12"/>
  <c r="CA141" i="12"/>
  <c r="CI141" i="12"/>
  <c r="CQ141" i="12"/>
  <c r="CY141" i="12"/>
  <c r="L139" i="12"/>
  <c r="T139" i="12"/>
  <c r="AB139" i="12"/>
  <c r="AJ139" i="12"/>
  <c r="AR139" i="12"/>
  <c r="AZ139" i="12"/>
  <c r="BH139" i="12"/>
  <c r="BP139" i="12"/>
  <c r="BX139" i="12"/>
  <c r="CF139" i="12"/>
  <c r="CN139" i="12"/>
  <c r="J140" i="12"/>
  <c r="R140" i="12"/>
  <c r="Z140" i="12"/>
  <c r="AH140" i="12"/>
  <c r="AP140" i="12"/>
  <c r="AX140" i="12"/>
  <c r="BF140" i="12"/>
  <c r="BN140" i="12"/>
  <c r="BV140" i="12"/>
  <c r="CD140" i="12"/>
  <c r="CL140" i="12"/>
  <c r="H141" i="12"/>
  <c r="P141" i="12"/>
  <c r="X141" i="12"/>
  <c r="AF141" i="12"/>
  <c r="AN141" i="12"/>
  <c r="AV141" i="12"/>
  <c r="BD141" i="12"/>
  <c r="BL141" i="12"/>
  <c r="BT141" i="12"/>
  <c r="CB141" i="12"/>
  <c r="CJ141" i="12"/>
  <c r="CR141" i="12"/>
  <c r="J41" i="33"/>
  <c r="G135" i="15" l="1"/>
  <c r="G134" i="15"/>
  <c r="G132" i="15"/>
  <c r="G131" i="15"/>
  <c r="F135" i="15"/>
  <c r="F134" i="15"/>
  <c r="F132" i="15"/>
  <c r="F131" i="15"/>
  <c r="Q134" i="15" l="1"/>
  <c r="Q133" i="15"/>
  <c r="Q132" i="15"/>
  <c r="Q131" i="15"/>
  <c r="B135" i="15"/>
  <c r="B134" i="15"/>
  <c r="B132" i="15"/>
  <c r="B131" i="15"/>
  <c r="E11" i="119" l="1"/>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P134" i="15"/>
  <c r="P133" i="15"/>
  <c r="P132" i="15"/>
  <c r="P131" i="15"/>
  <c r="V19" i="119" l="1"/>
  <c r="I153" i="18"/>
  <c r="H153" i="18"/>
  <c r="G153" i="18"/>
  <c r="F153" i="18"/>
  <c r="E153" i="18"/>
  <c r="D153" i="18"/>
  <c r="C153" i="18"/>
  <c r="I152" i="18"/>
  <c r="H152" i="18"/>
  <c r="G152" i="18"/>
  <c r="F152" i="18"/>
  <c r="E152" i="18"/>
  <c r="D152" i="18"/>
  <c r="C152" i="18"/>
  <c r="I151" i="18"/>
  <c r="H151" i="18"/>
  <c r="G151" i="18"/>
  <c r="F151" i="18"/>
  <c r="E151" i="18"/>
  <c r="D151" i="18"/>
  <c r="C151" i="18"/>
  <c r="I150" i="18"/>
  <c r="H150" i="18"/>
  <c r="G150" i="18"/>
  <c r="F150" i="18"/>
  <c r="E150" i="18"/>
  <c r="D150" i="18"/>
  <c r="C150"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I136" i="18"/>
  <c r="H136" i="18"/>
  <c r="G136" i="18"/>
  <c r="F136" i="18"/>
  <c r="E136" i="18"/>
  <c r="D136" i="18"/>
  <c r="C136"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V23" i="119" l="1"/>
  <c r="V24" i="119" l="1"/>
  <c r="C91" i="33"/>
  <c r="C61" i="33"/>
  <c r="V25" i="119" l="1"/>
  <c r="C105" i="33"/>
  <c r="C104" i="33"/>
  <c r="C103" i="33"/>
  <c r="C93" i="33"/>
  <c r="C69" i="33"/>
  <c r="V26" i="119" l="1"/>
  <c r="D86" i="33"/>
  <c r="D78" i="33"/>
  <c r="D61" i="33"/>
  <c r="V27" i="119" l="1"/>
  <c r="D71" i="33"/>
  <c r="V28" i="119" l="1"/>
  <c r="D58" i="33"/>
  <c r="V29" i="119" l="1"/>
  <c r="D107" i="33"/>
  <c r="D106" i="33"/>
  <c r="D105" i="33"/>
  <c r="D104" i="33"/>
  <c r="D103" i="33"/>
  <c r="D100" i="33"/>
  <c r="D99" i="33"/>
  <c r="D98" i="33"/>
  <c r="D95" i="33"/>
  <c r="D94" i="33"/>
  <c r="D93" i="33"/>
  <c r="B92" i="33"/>
  <c r="D83" i="33"/>
  <c r="D82" i="33"/>
  <c r="V30" i="119" l="1"/>
  <c r="D74" i="33"/>
  <c r="D70" i="33"/>
  <c r="D69" i="33"/>
  <c r="D55" i="33"/>
  <c r="D56" i="33"/>
  <c r="D57" i="33"/>
  <c r="D54" i="33"/>
  <c r="V31" i="119" l="1"/>
  <c r="K41" i="33"/>
  <c r="K43" i="33" s="1"/>
  <c r="K34" i="33"/>
  <c r="J37" i="33"/>
  <c r="K26" i="33"/>
  <c r="B51" i="33"/>
  <c r="V32" i="119" l="1"/>
  <c r="C66" i="33"/>
  <c r="V33" i="119" l="1"/>
  <c r="C67" i="33"/>
  <c r="C41" i="33"/>
  <c r="B18" i="17" l="1"/>
  <c r="C146" i="6"/>
  <c r="C145" i="6"/>
  <c r="C3" i="24"/>
  <c r="C36" i="35"/>
  <c r="C11" i="35"/>
  <c r="F86"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4" i="6"/>
  <c r="E114" i="6" s="1"/>
  <c r="C12" i="35"/>
  <c r="F13" i="24"/>
  <c r="F14" i="24"/>
  <c r="F15" i="24"/>
  <c r="F16" i="24"/>
  <c r="F17" i="24"/>
  <c r="F18" i="24"/>
  <c r="F19" i="24"/>
  <c r="F20" i="24"/>
  <c r="F21" i="24"/>
  <c r="F22" i="24"/>
  <c r="F23" i="24"/>
  <c r="F24" i="24"/>
  <c r="F25" i="24"/>
  <c r="F26" i="24"/>
  <c r="E93" i="6"/>
  <c r="C93" i="6"/>
  <c r="E151" i="6"/>
  <c r="C151" i="6"/>
  <c r="E112" i="6"/>
  <c r="C112" i="6"/>
  <c r="E103" i="6"/>
  <c r="C103" i="6"/>
  <c r="C9" i="35"/>
  <c r="B15" i="24"/>
  <c r="B16" i="24"/>
  <c r="B17" i="24"/>
  <c r="B18" i="24"/>
  <c r="B19" i="24"/>
  <c r="B20" i="24"/>
  <c r="B21" i="24"/>
  <c r="B22" i="24"/>
  <c r="B23" i="24"/>
  <c r="B24" i="24"/>
  <c r="B25" i="24"/>
  <c r="B26" i="24"/>
  <c r="C133" i="6"/>
  <c r="B134"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5"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6" i="6"/>
  <c r="F50" i="34"/>
  <c r="F49" i="34"/>
  <c r="F48" i="34"/>
  <c r="F40" i="34"/>
  <c r="F39" i="34"/>
  <c r="F35" i="34"/>
  <c r="F33" i="34"/>
  <c r="B50" i="34"/>
  <c r="B49" i="34"/>
  <c r="B48" i="34"/>
  <c r="C48" i="34" s="1"/>
  <c r="B47" i="34"/>
  <c r="H47" i="34" s="1"/>
  <c r="C136" i="15"/>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AI507" i="11"/>
  <c r="D61" i="6"/>
  <c r="B186" i="15" l="1"/>
  <c r="Q65" i="15"/>
  <c r="B15" i="13"/>
  <c r="D54" i="119"/>
  <c r="D189" i="119"/>
  <c r="D191" i="119"/>
  <c r="G60" i="119"/>
  <c r="G189" i="119"/>
  <c r="G191" i="119"/>
  <c r="E56" i="119"/>
  <c r="E189" i="119"/>
  <c r="E249" i="119" s="1"/>
  <c r="E191" i="119"/>
  <c r="H6" i="119"/>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AJ32" i="12" s="1"/>
  <c r="G96" i="12"/>
  <c r="AE276" i="11"/>
  <c r="AF276" i="11" s="1"/>
  <c r="AG276" i="11" s="1"/>
  <c r="AH276" i="11" s="1"/>
  <c r="AQ34" i="12"/>
  <c r="G7" i="12"/>
  <c r="H38" i="34"/>
  <c r="B116" i="34"/>
  <c r="G49" i="11"/>
  <c r="G50" i="11" s="1"/>
  <c r="G10" i="12"/>
  <c r="D104" i="6"/>
  <c r="E104"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61" i="6"/>
  <c r="P5" i="19"/>
  <c r="AA94" i="12"/>
  <c r="AP34" i="12"/>
  <c r="AJ98" i="12"/>
  <c r="AR94" i="12"/>
  <c r="AE34" i="12"/>
  <c r="AE98" i="12"/>
  <c r="AT94" i="12"/>
  <c r="BD94" i="12"/>
  <c r="AU94" i="12"/>
  <c r="AI94" i="12"/>
  <c r="AS94" i="12"/>
  <c r="T98" i="12"/>
  <c r="N18" i="12"/>
  <c r="D95"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AY276" i="11"/>
  <c r="AZ276" i="11" s="1"/>
  <c r="BA276" i="11" s="1"/>
  <c r="BB276" i="11" s="1"/>
  <c r="BC276" i="11" s="1"/>
  <c r="BD276" i="11" s="1"/>
  <c r="BE276" i="11" s="1"/>
  <c r="BF276" i="11" s="1"/>
  <c r="BG276" i="11" s="1"/>
  <c r="BH276" i="11" s="1"/>
  <c r="BI276" i="11" s="1"/>
  <c r="BJ276" i="11" s="1"/>
  <c r="BK276" i="11" s="1"/>
  <c r="BL276" i="11" s="1"/>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Y480" i="11"/>
  <c r="AZ480" i="11" s="1"/>
  <c r="BA480" i="11" s="1"/>
  <c r="BB480" i="11" s="1"/>
  <c r="BC480" i="11" s="1"/>
  <c r="BD480" i="11" s="1"/>
  <c r="BE480" i="11" s="1"/>
  <c r="BF480" i="11" s="1"/>
  <c r="BG480" i="11" s="1"/>
  <c r="BH480" i="11" s="1"/>
  <c r="BI480" i="11" s="1"/>
  <c r="BJ480" i="11" s="1"/>
  <c r="BK480" i="11" s="1"/>
  <c r="BL480" i="11" s="1"/>
  <c r="AA100" i="12"/>
  <c r="Z677" i="11"/>
  <c r="AA507" i="11" s="1"/>
  <c r="AB507" i="11" s="1"/>
  <c r="AC507" i="11" s="1"/>
  <c r="AD507" i="11" s="1"/>
  <c r="AE507" i="11" s="1"/>
  <c r="AF507" i="11" s="1"/>
  <c r="AG507" i="11" s="1"/>
  <c r="AH507" i="11" s="1"/>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Z550" i="11"/>
  <c r="AA380" i="11" s="1"/>
  <c r="AB380" i="11" s="1"/>
  <c r="AC380" i="11" s="1"/>
  <c r="AD380" i="11" s="1"/>
  <c r="AE380" i="11" s="1"/>
  <c r="AF380" i="11" s="1"/>
  <c r="AG380" i="11" s="1"/>
  <c r="AH380" i="11" s="1"/>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E32" i="34" s="1"/>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AL28"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5" i="35"/>
  <c r="F35" i="35" s="1"/>
  <c r="D27" i="35"/>
  <c r="C24" i="24" s="1"/>
  <c r="H24" i="24" s="1"/>
  <c r="D21" i="35"/>
  <c r="D32" i="35"/>
  <c r="F32" i="35" s="1"/>
  <c r="D19" i="35"/>
  <c r="AJ68" i="12"/>
  <c r="D96" i="6"/>
  <c r="E96" i="6" s="1"/>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7"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8" i="6"/>
  <c r="E98" i="6" s="1"/>
  <c r="D28" i="35"/>
  <c r="D33" i="35"/>
  <c r="F33" i="35" s="1"/>
  <c r="D18" i="35"/>
  <c r="D94" i="6"/>
  <c r="D24" i="35"/>
  <c r="C21" i="24" s="1"/>
  <c r="H21" i="24" s="1"/>
  <c r="D97" i="6"/>
  <c r="D22" i="35"/>
  <c r="D20" i="35"/>
  <c r="Q34" i="12"/>
  <c r="T34" i="12"/>
  <c r="T12" i="12"/>
  <c r="BO12" i="12"/>
  <c r="AJ12" i="12"/>
  <c r="D34" i="35"/>
  <c r="F34" i="35" s="1"/>
  <c r="D30" i="35"/>
  <c r="F30" i="35" s="1"/>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50" i="6"/>
  <c r="I17" i="12"/>
  <c r="Z34" i="12"/>
  <c r="AM12" i="12"/>
  <c r="BN12" i="12"/>
  <c r="K17" i="12"/>
  <c r="T66" i="12"/>
  <c r="H12" i="12"/>
  <c r="M12" i="12"/>
  <c r="D99" i="6"/>
  <c r="E99" i="6" s="1"/>
  <c r="D29" i="35"/>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U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Q66" i="15" s="1"/>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1" i="35"/>
  <c r="F31" i="35" s="1"/>
  <c r="D100" i="6"/>
  <c r="D163"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C86" i="119"/>
  <c r="D86" i="119" s="1"/>
  <c r="F58" i="119"/>
  <c r="N101" i="119"/>
  <c r="N107" i="119"/>
  <c r="N103" i="119"/>
  <c r="N105" i="119"/>
  <c r="N104" i="119"/>
  <c r="N106" i="119"/>
  <c r="N102" i="119"/>
  <c r="B68" i="6"/>
  <c r="B67" i="6"/>
  <c r="B66" i="6"/>
  <c r="C25" i="33"/>
  <c r="C281" i="15"/>
  <c r="T9" i="12" l="1"/>
  <c r="Z664" i="11"/>
  <c r="AA494" i="11" s="1"/>
  <c r="AB494" i="11" s="1"/>
  <c r="AC494" i="11" s="1"/>
  <c r="AD494" i="11" s="1"/>
  <c r="AE494" i="11" s="1"/>
  <c r="AF494" i="11" s="1"/>
  <c r="AG494" i="11" s="1"/>
  <c r="AH494" i="11" s="1"/>
  <c r="B16" i="13"/>
  <c r="AF9" i="12"/>
  <c r="AG97" i="12"/>
  <c r="R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AJ358" i="11"/>
  <c r="AK358" i="11" s="1"/>
  <c r="AL358" i="11" s="1"/>
  <c r="AM358" i="11" s="1"/>
  <c r="AN358" i="11" s="1"/>
  <c r="AO358" i="11" s="1"/>
  <c r="AP358" i="11" s="1"/>
  <c r="AQ358" i="11" s="1"/>
  <c r="AR358" i="11" s="1"/>
  <c r="AS358" i="11" s="1"/>
  <c r="AT358" i="11" s="1"/>
  <c r="AU358" i="11" s="1"/>
  <c r="AV358" i="11" s="1"/>
  <c r="AW358" i="11" s="1"/>
  <c r="O14" i="12"/>
  <c r="P14" i="12" s="1"/>
  <c r="Q14" i="12" s="1"/>
  <c r="R14" i="12" s="1"/>
  <c r="S14" i="12" s="1"/>
  <c r="T14" i="12" s="1"/>
  <c r="C134"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7"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G187" i="15"/>
  <c r="N187" i="15"/>
  <c r="F187" i="15"/>
  <c r="M187" i="15"/>
  <c r="E187" i="15"/>
  <c r="L187" i="15"/>
  <c r="D187" i="15"/>
  <c r="J187" i="15"/>
  <c r="H187" i="15"/>
  <c r="K187" i="15"/>
  <c r="C187" i="15"/>
  <c r="I187" i="15"/>
  <c r="AS67" i="12"/>
  <c r="AT67" i="12" s="1"/>
  <c r="AU67" i="12" s="1"/>
  <c r="AV67" i="12" s="1"/>
  <c r="AW67" i="12" s="1"/>
  <c r="AX67" i="12" s="1"/>
  <c r="AY67" i="12" s="1"/>
  <c r="AZ67" i="12" s="1"/>
  <c r="BA67" i="12" s="1"/>
  <c r="O66" i="15"/>
  <c r="B187" i="15"/>
  <c r="D66" i="15"/>
  <c r="M66" i="15" s="1"/>
  <c r="C34" i="34"/>
  <c r="E63" i="34" s="1"/>
  <c r="I49" i="14"/>
  <c r="C102" i="34"/>
  <c r="D102" i="34"/>
  <c r="AE66" i="15"/>
  <c r="B115" i="34"/>
  <c r="E37" i="34"/>
  <c r="H32" i="34"/>
  <c r="B110" i="34"/>
  <c r="B61" i="34"/>
  <c r="C117" i="34"/>
  <c r="D117" i="34"/>
  <c r="W66" i="15"/>
  <c r="E117" i="34"/>
  <c r="F102" i="34"/>
  <c r="F117" i="34"/>
  <c r="C49" i="14"/>
  <c r="B97" i="14" s="1"/>
  <c r="E68" i="34"/>
  <c r="D68" i="34"/>
  <c r="C98" i="34"/>
  <c r="C35" i="34"/>
  <c r="E64" i="34" s="1"/>
  <c r="D98" i="34"/>
  <c r="E98" i="34"/>
  <c r="V49" i="14"/>
  <c r="L49" i="14"/>
  <c r="L66" i="15"/>
  <c r="B66" i="34"/>
  <c r="K49" i="14"/>
  <c r="W49" i="14"/>
  <c r="H49" i="14"/>
  <c r="C18" i="24"/>
  <c r="H18" i="24" s="1"/>
  <c r="F21" i="35"/>
  <c r="O49" i="14"/>
  <c r="T49" i="14"/>
  <c r="M49" i="14"/>
  <c r="N66" i="15"/>
  <c r="K66" i="15"/>
  <c r="N49" i="14"/>
  <c r="J49" i="14"/>
  <c r="R66" i="15"/>
  <c r="U49" i="14"/>
  <c r="S49" i="14"/>
  <c r="G49" i="14"/>
  <c r="C16" i="24"/>
  <c r="H16" i="24" s="1"/>
  <c r="F19" i="35"/>
  <c r="AI8" i="12"/>
  <c r="AJ8" i="12" s="1"/>
  <c r="AK8" i="12" s="1"/>
  <c r="AL8" i="12" s="1"/>
  <c r="AM8" i="12" s="1"/>
  <c r="AN8" i="12" s="1"/>
  <c r="AO8" i="12" s="1"/>
  <c r="AP8" i="12" s="1"/>
  <c r="AQ8" i="12" s="1"/>
  <c r="AR8" i="12" s="1"/>
  <c r="AS8" i="12" s="1"/>
  <c r="AT8" i="12" s="1"/>
  <c r="AU8" i="12" s="1"/>
  <c r="AV8" i="12" s="1"/>
  <c r="AW8" i="12" s="1"/>
  <c r="AX8" i="12" s="1"/>
  <c r="AY8" i="12" s="1"/>
  <c r="AZ8" i="12" s="1"/>
  <c r="BA8" i="12" s="1"/>
  <c r="BQ8" i="12"/>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C25" i="24"/>
  <c r="H25" i="24" s="1"/>
  <c r="F28" i="35"/>
  <c r="F29" i="35"/>
  <c r="C26" i="24"/>
  <c r="H26" i="24" s="1"/>
  <c r="C33" i="34"/>
  <c r="C111" i="34" s="1"/>
  <c r="C67" i="15"/>
  <c r="Q67" i="15" s="1"/>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B50" i="14" s="1"/>
  <c r="AF66" i="15"/>
  <c r="P66" i="15"/>
  <c r="J66" i="15"/>
  <c r="I66" i="15"/>
  <c r="F66" i="15"/>
  <c r="U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6" i="35"/>
  <c r="E96" i="34"/>
  <c r="C96" i="34"/>
  <c r="D96" i="34"/>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C139" i="15"/>
  <c r="D281" i="15"/>
  <c r="C67" i="6"/>
  <c r="C282" i="15"/>
  <c r="B17" i="13" l="1"/>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B188" i="15"/>
  <c r="K188" i="15"/>
  <c r="C188" i="15"/>
  <c r="J188" i="15"/>
  <c r="I188" i="15"/>
  <c r="H188" i="15"/>
  <c r="N188" i="15"/>
  <c r="F188" i="15"/>
  <c r="L188" i="15"/>
  <c r="D188" i="15"/>
  <c r="G188" i="15"/>
  <c r="M188" i="15"/>
  <c r="E188" i="15"/>
  <c r="C63" i="34"/>
  <c r="E112" i="34"/>
  <c r="C180" i="119"/>
  <c r="C179" i="119"/>
  <c r="C178" i="119"/>
  <c r="C177" i="119"/>
  <c r="C176" i="119"/>
  <c r="D34" i="34"/>
  <c r="C112" i="34"/>
  <c r="D112" i="34"/>
  <c r="D63" i="34"/>
  <c r="C113" i="34"/>
  <c r="D113" i="34"/>
  <c r="E113" i="34"/>
  <c r="C64" i="34"/>
  <c r="F98" i="34"/>
  <c r="X49" i="14"/>
  <c r="D35" i="34"/>
  <c r="D64" i="34"/>
  <c r="F36" i="35"/>
  <c r="BV8" i="12"/>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BC8" i="12"/>
  <c r="BD8" i="12" s="1"/>
  <c r="BE8" i="12" s="1"/>
  <c r="BF8" i="12" s="1"/>
  <c r="BG8" i="12" s="1"/>
  <c r="BH8" i="12" s="1"/>
  <c r="BI8" i="12" s="1"/>
  <c r="BJ8" i="12" s="1"/>
  <c r="BK8" i="12" s="1"/>
  <c r="BL8" i="12" s="1"/>
  <c r="BM8" i="12" s="1"/>
  <c r="BN8" i="12" s="1"/>
  <c r="BO8" i="12" s="1"/>
  <c r="BP8" i="12" s="1"/>
  <c r="F97" i="34"/>
  <c r="E111" i="34"/>
  <c r="D111" i="34"/>
  <c r="D62" i="34"/>
  <c r="E62" i="34"/>
  <c r="C62" i="34"/>
  <c r="D33" i="34"/>
  <c r="H27" i="24"/>
  <c r="C27" i="24"/>
  <c r="F96" i="3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F50" i="14"/>
  <c r="W50" i="14"/>
  <c r="G50" i="14"/>
  <c r="P50" i="14"/>
  <c r="H50" i="14"/>
  <c r="Q50" i="14"/>
  <c r="M50" i="14"/>
  <c r="N50" i="14"/>
  <c r="L50" i="14"/>
  <c r="I50" i="14"/>
  <c r="C50" i="14"/>
  <c r="K50" i="14"/>
  <c r="J50" i="14"/>
  <c r="T50" i="14"/>
  <c r="O50" i="14"/>
  <c r="E50" i="14"/>
  <c r="S50" i="14"/>
  <c r="R50" i="14"/>
  <c r="D50" i="14"/>
  <c r="V50" i="14"/>
  <c r="U50" i="14"/>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P67" i="15"/>
  <c r="AF67" i="15"/>
  <c r="I67" i="15"/>
  <c r="O67" i="15"/>
  <c r="AE67" i="15"/>
  <c r="F67" i="15"/>
  <c r="D67" i="15"/>
  <c r="M67" i="15" s="1"/>
  <c r="N67" i="15"/>
  <c r="W67" i="15"/>
  <c r="K67" i="15"/>
  <c r="A51" i="14"/>
  <c r="B51" i="14" s="1"/>
  <c r="J67" i="15"/>
  <c r="A99" i="14"/>
  <c r="C99" i="14" s="1"/>
  <c r="R67" i="15"/>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R27" i="12"/>
  <c r="BS27" i="12" s="1"/>
  <c r="BT27" i="12" s="1"/>
  <c r="BU27"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C140" i="15"/>
  <c r="E140" i="15"/>
  <c r="D140" i="15"/>
  <c r="D282" i="15"/>
  <c r="B18" i="13" l="1"/>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F111" i="34"/>
  <c r="X50" i="14"/>
  <c r="B98" i="14"/>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R51" i="14"/>
  <c r="V51" i="14"/>
  <c r="N51" i="14"/>
  <c r="S51" i="14"/>
  <c r="G51" i="14"/>
  <c r="F51" i="14"/>
  <c r="M51" i="14"/>
  <c r="T51" i="14"/>
  <c r="W51" i="14"/>
  <c r="I51" i="14"/>
  <c r="D51" i="14"/>
  <c r="U51" i="14"/>
  <c r="P51" i="14"/>
  <c r="K51" i="14"/>
  <c r="L51" i="14"/>
  <c r="J51" i="14"/>
  <c r="Q51" i="14"/>
  <c r="E51" i="14"/>
  <c r="O51" i="14"/>
  <c r="H51" i="14"/>
  <c r="C51" i="14"/>
  <c r="B99" i="14" s="1"/>
  <c r="U67" i="15"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C141" i="15"/>
  <c r="E141" i="15"/>
  <c r="B19" i="13" l="1"/>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X51" i="14"/>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C142" i="15"/>
  <c r="B20" i="13" l="1"/>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C143" i="15"/>
  <c r="B21" i="13" l="1"/>
  <c r="E107"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C144" i="15"/>
  <c r="E144" i="15"/>
  <c r="B74" i="15" l="1"/>
  <c r="A23" i="13" s="1"/>
  <c r="A22" i="13"/>
  <c r="B22" i="13"/>
  <c r="B29" i="17"/>
  <c r="C28" i="17"/>
  <c r="C73" i="15"/>
  <c r="C74" i="15" s="1"/>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C145" i="15"/>
  <c r="E145" i="15"/>
  <c r="B75" i="15" l="1"/>
  <c r="A24" i="13" s="1"/>
  <c r="B23" i="13"/>
  <c r="B76" i="15"/>
  <c r="AF74" i="15"/>
  <c r="L74" i="15"/>
  <c r="A58" i="14"/>
  <c r="A106" i="14"/>
  <c r="C106" i="14" s="1"/>
  <c r="D74" i="15"/>
  <c r="M74" i="15" s="1"/>
  <c r="H74" i="15"/>
  <c r="K74" i="15"/>
  <c r="W74" i="15"/>
  <c r="C75" i="15"/>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C146" i="15"/>
  <c r="B77" i="15" l="1"/>
  <c r="A26" i="13" s="1"/>
  <c r="A25" i="13"/>
  <c r="B24" i="13"/>
  <c r="C76" i="15"/>
  <c r="K75" i="15"/>
  <c r="L75" i="15"/>
  <c r="A107" i="14"/>
  <c r="C107" i="14" s="1"/>
  <c r="H75" i="15"/>
  <c r="AF75" i="15"/>
  <c r="W75" i="15"/>
  <c r="A59" i="14"/>
  <c r="D75" i="15"/>
  <c r="M75" i="15" s="1"/>
  <c r="C30" i="17"/>
  <c r="B31" i="17"/>
  <c r="A148" i="15"/>
  <c r="A195" i="15" s="1"/>
  <c r="A27" i="17"/>
  <c r="A75" i="15"/>
  <c r="E74" i="15"/>
  <c r="Q147" i="15"/>
  <c r="R147" i="15"/>
  <c r="V147" i="15"/>
  <c r="L147" i="15"/>
  <c r="T147" i="15"/>
  <c r="P147" i="15"/>
  <c r="M147" i="15"/>
  <c r="U147" i="15"/>
  <c r="I147" i="15"/>
  <c r="H147" i="15"/>
  <c r="N147" i="15"/>
  <c r="C147" i="15"/>
  <c r="E147" i="15"/>
  <c r="D147" i="15"/>
  <c r="B78" i="15" l="1"/>
  <c r="A27" i="13" s="1"/>
  <c r="B25" i="13"/>
  <c r="A60" i="14"/>
  <c r="L76" i="15"/>
  <c r="H76" i="15"/>
  <c r="W76" i="15"/>
  <c r="C77" i="15"/>
  <c r="C78" i="15" s="1"/>
  <c r="A110" i="14" s="1"/>
  <c r="C110" i="14" s="1"/>
  <c r="AF76" i="15"/>
  <c r="A108" i="14"/>
  <c r="C108" i="14" s="1"/>
  <c r="D76" i="15"/>
  <c r="M76" i="15" s="1"/>
  <c r="K76" i="15"/>
  <c r="B79" i="15"/>
  <c r="A28" i="13" s="1"/>
  <c r="C31" i="17"/>
  <c r="B32" i="17"/>
  <c r="P148" i="15"/>
  <c r="U148" i="15"/>
  <c r="L148" i="15"/>
  <c r="Q148" i="15"/>
  <c r="R148" i="15"/>
  <c r="M148" i="15"/>
  <c r="H148" i="15"/>
  <c r="N148" i="15"/>
  <c r="V148" i="15"/>
  <c r="T148" i="15"/>
  <c r="I148" i="15"/>
  <c r="A149" i="15"/>
  <c r="A196" i="15" s="1"/>
  <c r="A28" i="17"/>
  <c r="A76" i="15"/>
  <c r="E75" i="15"/>
  <c r="E148" i="15"/>
  <c r="D148" i="15"/>
  <c r="C148" i="15"/>
  <c r="B26" i="13" l="1"/>
  <c r="C79" i="15"/>
  <c r="A63" i="14" s="1"/>
  <c r="A62" i="14"/>
  <c r="D78" i="15"/>
  <c r="M78" i="15" s="1"/>
  <c r="W78" i="15"/>
  <c r="K78" i="15"/>
  <c r="D77" i="15"/>
  <c r="M77" i="15" s="1"/>
  <c r="H77" i="15"/>
  <c r="A109" i="14"/>
  <c r="C109" i="14" s="1"/>
  <c r="K77" i="15"/>
  <c r="L77" i="15"/>
  <c r="W77" i="15"/>
  <c r="A61" i="14"/>
  <c r="AF77" i="15"/>
  <c r="L78" i="15"/>
  <c r="AF78" i="15"/>
  <c r="H78" i="15"/>
  <c r="B80" i="15"/>
  <c r="A29" i="13" s="1"/>
  <c r="B33" i="17"/>
  <c r="C32" i="17"/>
  <c r="P149" i="15"/>
  <c r="Q149" i="15"/>
  <c r="H149" i="15"/>
  <c r="I149" i="15"/>
  <c r="N149" i="15"/>
  <c r="R149" i="15"/>
  <c r="V149" i="15"/>
  <c r="M149" i="15"/>
  <c r="L149" i="15"/>
  <c r="T149" i="15"/>
  <c r="U149" i="15"/>
  <c r="A29" i="17"/>
  <c r="A150" i="15"/>
  <c r="A197" i="15" s="1"/>
  <c r="A77" i="15"/>
  <c r="E76" i="15"/>
  <c r="D149" i="15"/>
  <c r="C149" i="15"/>
  <c r="E149" i="15"/>
  <c r="B27" i="13" l="1"/>
  <c r="K79" i="15"/>
  <c r="H79" i="15"/>
  <c r="W79" i="15"/>
  <c r="C80" i="15"/>
  <c r="A64" i="14" s="1"/>
  <c r="A111" i="14"/>
  <c r="C111" i="14" s="1"/>
  <c r="L79" i="15"/>
  <c r="D79" i="15"/>
  <c r="M79" i="15" s="1"/>
  <c r="AF79" i="15"/>
  <c r="B81" i="15"/>
  <c r="A30" i="13" s="1"/>
  <c r="C33" i="17"/>
  <c r="B34" i="17"/>
  <c r="A30" i="17"/>
  <c r="A151" i="15"/>
  <c r="A198" i="15" s="1"/>
  <c r="A78" i="15"/>
  <c r="E77" i="15"/>
  <c r="P150" i="15"/>
  <c r="U150" i="15"/>
  <c r="I150" i="15"/>
  <c r="R150" i="15"/>
  <c r="Q150" i="15"/>
  <c r="V150" i="15"/>
  <c r="L150" i="15"/>
  <c r="N150" i="15"/>
  <c r="T150" i="15"/>
  <c r="M150" i="15"/>
  <c r="H150" i="15"/>
  <c r="E150" i="15"/>
  <c r="D150" i="15"/>
  <c r="C150" i="15"/>
  <c r="B28" i="13" l="1"/>
  <c r="AF80" i="15"/>
  <c r="W80" i="15"/>
  <c r="H80" i="15"/>
  <c r="A112" i="14"/>
  <c r="C112" i="14" s="1"/>
  <c r="D80" i="15"/>
  <c r="M80" i="15" s="1"/>
  <c r="K80" i="15"/>
  <c r="L80" i="15"/>
  <c r="C81" i="15"/>
  <c r="W81" i="15" s="1"/>
  <c r="B82" i="15"/>
  <c r="B35" i="17"/>
  <c r="C34" i="17"/>
  <c r="A31" i="17"/>
  <c r="A152" i="15"/>
  <c r="A199" i="15" s="1"/>
  <c r="A79" i="15"/>
  <c r="E78" i="15"/>
  <c r="Q151" i="15"/>
  <c r="P151" i="15"/>
  <c r="T151" i="15"/>
  <c r="U151" i="15"/>
  <c r="I151" i="15"/>
  <c r="V151" i="15"/>
  <c r="L151" i="15"/>
  <c r="R151" i="15"/>
  <c r="N151" i="15"/>
  <c r="H151" i="15"/>
  <c r="M151" i="15"/>
  <c r="C151" i="15"/>
  <c r="E151" i="15"/>
  <c r="D151" i="15"/>
  <c r="B83" i="15" l="1"/>
  <c r="A32" i="13" s="1"/>
  <c r="A31" i="13"/>
  <c r="B29" i="13"/>
  <c r="A113" i="14"/>
  <c r="C113" i="14" s="1"/>
  <c r="H81" i="15"/>
  <c r="D81" i="15"/>
  <c r="M81" i="15" s="1"/>
  <c r="AF81" i="15"/>
  <c r="L81" i="15"/>
  <c r="C82" i="15"/>
  <c r="K82" i="15" s="1"/>
  <c r="K81" i="15"/>
  <c r="A65" i="14"/>
  <c r="B84" i="15"/>
  <c r="A33" i="13" s="1"/>
  <c r="B36" i="17"/>
  <c r="C35" i="17"/>
  <c r="A32" i="17"/>
  <c r="A153" i="15"/>
  <c r="A200" i="15" s="1"/>
  <c r="A80" i="15"/>
  <c r="E79" i="15"/>
  <c r="P152" i="15"/>
  <c r="Q152" i="15"/>
  <c r="R152" i="15"/>
  <c r="H152" i="15"/>
  <c r="N152" i="15"/>
  <c r="I152" i="15"/>
  <c r="U152" i="15"/>
  <c r="T152" i="15"/>
  <c r="M152" i="15"/>
  <c r="L152" i="15"/>
  <c r="V152" i="15"/>
  <c r="C152" i="15"/>
  <c r="E152" i="15"/>
  <c r="D152" i="15"/>
  <c r="B30" i="13" l="1"/>
  <c r="D82" i="15"/>
  <c r="M82" i="15" s="1"/>
  <c r="A114" i="14"/>
  <c r="C114" i="14" s="1"/>
  <c r="C83" i="15"/>
  <c r="D83" i="15" s="1"/>
  <c r="M83" i="15" s="1"/>
  <c r="W82" i="15"/>
  <c r="A66" i="14"/>
  <c r="H82" i="15"/>
  <c r="AF82" i="15"/>
  <c r="L82" i="15"/>
  <c r="B37" i="17"/>
  <c r="C36" i="17"/>
  <c r="B85" i="15"/>
  <c r="A34" i="13" s="1"/>
  <c r="A33" i="17"/>
  <c r="A154" i="15"/>
  <c r="A201" i="15" s="1"/>
  <c r="A81" i="15"/>
  <c r="E80" i="15"/>
  <c r="M153" i="15"/>
  <c r="V153" i="15"/>
  <c r="P153" i="15"/>
  <c r="R153" i="15"/>
  <c r="L153" i="15"/>
  <c r="H153" i="15"/>
  <c r="Q153" i="15"/>
  <c r="N153" i="15"/>
  <c r="T153" i="15"/>
  <c r="I153" i="15"/>
  <c r="U153" i="15"/>
  <c r="C153" i="15"/>
  <c r="D153" i="15"/>
  <c r="E153" i="15"/>
  <c r="B31" i="13" l="1"/>
  <c r="A67" i="14"/>
  <c r="H83" i="15"/>
  <c r="A115" i="14"/>
  <c r="C115" i="14" s="1"/>
  <c r="W83" i="15"/>
  <c r="L83" i="15"/>
  <c r="C84" i="15"/>
  <c r="L84" i="15" s="1"/>
  <c r="AF83" i="15"/>
  <c r="K83" i="15"/>
  <c r="B38" i="17"/>
  <c r="C37" i="17"/>
  <c r="B86" i="15"/>
  <c r="A35" i="13" s="1"/>
  <c r="P154" i="15"/>
  <c r="I154" i="15"/>
  <c r="R154" i="15"/>
  <c r="M154" i="15"/>
  <c r="H154" i="15"/>
  <c r="L154" i="15"/>
  <c r="N154" i="15"/>
  <c r="Q154" i="15"/>
  <c r="U154" i="15"/>
  <c r="V154" i="15"/>
  <c r="T154" i="15"/>
  <c r="A34" i="17"/>
  <c r="A155" i="15"/>
  <c r="A202" i="15" s="1"/>
  <c r="A82" i="15"/>
  <c r="E81" i="15"/>
  <c r="D154" i="15"/>
  <c r="C154" i="15"/>
  <c r="E154" i="15"/>
  <c r="B32" i="13" l="1"/>
  <c r="A68" i="14"/>
  <c r="AF84" i="15"/>
  <c r="W84" i="15"/>
  <c r="A116" i="14"/>
  <c r="C116" i="14" s="1"/>
  <c r="H84" i="15"/>
  <c r="K84" i="15"/>
  <c r="C85" i="15"/>
  <c r="K85" i="15" s="1"/>
  <c r="D84" i="15"/>
  <c r="M84" i="15" s="1"/>
  <c r="C38" i="17"/>
  <c r="B39" i="17"/>
  <c r="B87" i="15"/>
  <c r="A156" i="15"/>
  <c r="A203" i="15" s="1"/>
  <c r="A35" i="17"/>
  <c r="A83" i="15"/>
  <c r="E82" i="15"/>
  <c r="Q155" i="15"/>
  <c r="P155" i="15"/>
  <c r="T155" i="15"/>
  <c r="M155" i="15"/>
  <c r="I155" i="15"/>
  <c r="V155" i="15"/>
  <c r="N155" i="15"/>
  <c r="L155" i="15"/>
  <c r="H155" i="15"/>
  <c r="U155" i="15"/>
  <c r="R155" i="15"/>
  <c r="E155" i="15"/>
  <c r="D155" i="15"/>
  <c r="C155" i="15"/>
  <c r="B88" i="15" l="1"/>
  <c r="A37" i="13" s="1"/>
  <c r="A36" i="13"/>
  <c r="B33" i="13"/>
  <c r="W85" i="15"/>
  <c r="A69" i="14"/>
  <c r="AF85" i="15"/>
  <c r="C86" i="15"/>
  <c r="A118" i="14" s="1"/>
  <c r="C118" i="14" s="1"/>
  <c r="D85" i="15"/>
  <c r="M85" i="15" s="1"/>
  <c r="H85" i="15"/>
  <c r="L85" i="15"/>
  <c r="A117" i="14"/>
  <c r="C117" i="14" s="1"/>
  <c r="B40" i="17"/>
  <c r="C39" i="17"/>
  <c r="B89" i="15"/>
  <c r="P156" i="15"/>
  <c r="V156" i="15"/>
  <c r="R156" i="15"/>
  <c r="Q156" i="15"/>
  <c r="H156" i="15"/>
  <c r="L156" i="15"/>
  <c r="N156" i="15"/>
  <c r="M156" i="15"/>
  <c r="U156" i="15"/>
  <c r="T156" i="15"/>
  <c r="I156" i="15"/>
  <c r="A70" i="14"/>
  <c r="W86" i="15"/>
  <c r="K86" i="15"/>
  <c r="H86" i="15"/>
  <c r="C87" i="15"/>
  <c r="A36" i="17"/>
  <c r="A157" i="15"/>
  <c r="A204" i="15" s="1"/>
  <c r="A84" i="15"/>
  <c r="E83" i="15"/>
  <c r="C156" i="15"/>
  <c r="D156" i="15"/>
  <c r="E156" i="15"/>
  <c r="B90" i="15" l="1"/>
  <c r="A39" i="13" s="1"/>
  <c r="A38" i="13"/>
  <c r="B34" i="13"/>
  <c r="AF86" i="15"/>
  <c r="L86" i="15"/>
  <c r="D86" i="15"/>
  <c r="M86" i="15" s="1"/>
  <c r="B91" i="15"/>
  <c r="A40" i="13" s="1"/>
  <c r="C40" i="17"/>
  <c r="B41" i="17"/>
  <c r="A37" i="17"/>
  <c r="A158" i="15"/>
  <c r="A205" i="15" s="1"/>
  <c r="A85" i="15"/>
  <c r="E84" i="15"/>
  <c r="Q157" i="15"/>
  <c r="P157" i="15"/>
  <c r="U157" i="15"/>
  <c r="L157" i="15"/>
  <c r="V157" i="15"/>
  <c r="N157" i="15"/>
  <c r="R157" i="15"/>
  <c r="H157" i="15"/>
  <c r="T157" i="15"/>
  <c r="I157" i="15"/>
  <c r="M157" i="15"/>
  <c r="AF87" i="15"/>
  <c r="A119" i="14"/>
  <c r="C119" i="14" s="1"/>
  <c r="H87" i="15"/>
  <c r="K87" i="15"/>
  <c r="D87" i="15"/>
  <c r="A71" i="14"/>
  <c r="W87" i="15"/>
  <c r="C88" i="15"/>
  <c r="E157" i="15"/>
  <c r="D157" i="15"/>
  <c r="C157" i="15"/>
  <c r="B35" i="13" l="1"/>
  <c r="B42" i="17"/>
  <c r="C41" i="17"/>
  <c r="B92" i="15"/>
  <c r="A159" i="15"/>
  <c r="A206" i="15" s="1"/>
  <c r="A38" i="17"/>
  <c r="A86" i="15"/>
  <c r="E85" i="15"/>
  <c r="P158" i="15"/>
  <c r="Q158" i="15"/>
  <c r="I158" i="15"/>
  <c r="V158" i="15"/>
  <c r="L158" i="15"/>
  <c r="H158" i="15"/>
  <c r="U158" i="15"/>
  <c r="M158" i="15"/>
  <c r="T158" i="15"/>
  <c r="N158" i="15"/>
  <c r="R158" i="15"/>
  <c r="H88" i="15"/>
  <c r="L88" i="15"/>
  <c r="W88" i="15"/>
  <c r="A120" i="14"/>
  <c r="D88" i="15"/>
  <c r="M88" i="15" s="1"/>
  <c r="K88" i="15"/>
  <c r="AF88" i="15"/>
  <c r="A72" i="14"/>
  <c r="C89" i="15"/>
  <c r="E158" i="15"/>
  <c r="D158" i="15"/>
  <c r="C158" i="15"/>
  <c r="B93" i="15" l="1"/>
  <c r="A42" i="13" s="1"/>
  <c r="A41" i="13"/>
  <c r="B36" i="13"/>
  <c r="B94" i="15"/>
  <c r="A43" i="13" s="1"/>
  <c r="C42" i="17"/>
  <c r="B43" i="17"/>
  <c r="AF89" i="15"/>
  <c r="A73" i="14"/>
  <c r="A121" i="14"/>
  <c r="K89" i="15"/>
  <c r="L89" i="15"/>
  <c r="W89" i="15"/>
  <c r="D89" i="15"/>
  <c r="M89" i="15" s="1"/>
  <c r="H89" i="15"/>
  <c r="C90" i="15"/>
  <c r="A160" i="15"/>
  <c r="A207" i="15" s="1"/>
  <c r="A39" i="17"/>
  <c r="A87" i="15"/>
  <c r="E86" i="15"/>
  <c r="Q159" i="15"/>
  <c r="P159" i="15"/>
  <c r="U159" i="15"/>
  <c r="I159" i="15"/>
  <c r="N159" i="15"/>
  <c r="H159" i="15"/>
  <c r="T159" i="15"/>
  <c r="R159" i="15"/>
  <c r="V159" i="15"/>
  <c r="L159" i="15"/>
  <c r="M159" i="15"/>
  <c r="E159" i="15"/>
  <c r="D159" i="15"/>
  <c r="C159" i="15"/>
  <c r="B37" i="13" l="1"/>
  <c r="B95" i="15"/>
  <c r="A44" i="13" s="1"/>
  <c r="C43" i="17"/>
  <c r="B44" i="17"/>
  <c r="A122" i="14"/>
  <c r="K90" i="15"/>
  <c r="AF90" i="15"/>
  <c r="W90" i="15"/>
  <c r="L90" i="15"/>
  <c r="D90" i="15"/>
  <c r="M90" i="15" s="1"/>
  <c r="H90" i="15"/>
  <c r="A74" i="14"/>
  <c r="C91" i="15"/>
  <c r="A40" i="17"/>
  <c r="A161" i="15"/>
  <c r="A208" i="15" s="1"/>
  <c r="A88" i="15"/>
  <c r="E87" i="15"/>
  <c r="P160" i="15"/>
  <c r="L160" i="15"/>
  <c r="M160" i="15"/>
  <c r="N160" i="15"/>
  <c r="U160" i="15"/>
  <c r="V160" i="15"/>
  <c r="Q160" i="15"/>
  <c r="T160" i="15"/>
  <c r="I160" i="15"/>
  <c r="R160" i="15"/>
  <c r="H160" i="15"/>
  <c r="D160" i="15"/>
  <c r="E160" i="15"/>
  <c r="C160" i="15"/>
  <c r="B38" i="13" l="1"/>
  <c r="B96" i="15"/>
  <c r="A45" i="13" s="1"/>
  <c r="C44" i="17"/>
  <c r="B45" i="17"/>
  <c r="K91" i="15"/>
  <c r="A123" i="14"/>
  <c r="AF91" i="15"/>
  <c r="L91" i="15"/>
  <c r="W91" i="15"/>
  <c r="A75" i="14"/>
  <c r="D91" i="15"/>
  <c r="M91" i="15" s="1"/>
  <c r="H91" i="15"/>
  <c r="C92" i="15"/>
  <c r="A162" i="15"/>
  <c r="A209" i="15" s="1"/>
  <c r="A41" i="17"/>
  <c r="A89" i="15"/>
  <c r="E88" i="15"/>
  <c r="Q161" i="15"/>
  <c r="L161" i="15"/>
  <c r="H161" i="15"/>
  <c r="R161" i="15"/>
  <c r="N161" i="15"/>
  <c r="I161" i="15"/>
  <c r="U161" i="15"/>
  <c r="T161" i="15"/>
  <c r="M161" i="15"/>
  <c r="P161" i="15"/>
  <c r="V161" i="15"/>
  <c r="D161" i="15"/>
  <c r="E161" i="15"/>
  <c r="C161" i="15"/>
  <c r="B39" i="13" l="1"/>
  <c r="B97" i="15"/>
  <c r="C45" i="17"/>
  <c r="B46" i="17"/>
  <c r="A163" i="15"/>
  <c r="A210" i="15" s="1"/>
  <c r="A42" i="17"/>
  <c r="A90" i="15"/>
  <c r="E89" i="15"/>
  <c r="AF92" i="15"/>
  <c r="A76" i="14"/>
  <c r="H92" i="15"/>
  <c r="A124" i="14"/>
  <c r="W92" i="15"/>
  <c r="D92" i="15"/>
  <c r="M92" i="15" s="1"/>
  <c r="L92" i="15"/>
  <c r="K92" i="15"/>
  <c r="C93" i="15"/>
  <c r="P162" i="15"/>
  <c r="Q162" i="15"/>
  <c r="T162" i="15"/>
  <c r="M162" i="15"/>
  <c r="H162" i="15"/>
  <c r="R162" i="15"/>
  <c r="N162" i="15"/>
  <c r="I162" i="15"/>
  <c r="U162" i="15"/>
  <c r="V162" i="15"/>
  <c r="L162" i="15"/>
  <c r="E162" i="15"/>
  <c r="D162" i="15"/>
  <c r="C162" i="15"/>
  <c r="B98" i="15" l="1"/>
  <c r="A47" i="13" s="1"/>
  <c r="A46" i="13"/>
  <c r="B40" i="13"/>
  <c r="C46" i="17"/>
  <c r="B47" i="17"/>
  <c r="B99" i="15"/>
  <c r="A48" i="13" s="1"/>
  <c r="A164" i="15"/>
  <c r="A211" i="15" s="1"/>
  <c r="A43" i="17"/>
  <c r="A91" i="15"/>
  <c r="E90" i="15"/>
  <c r="Q163" i="15"/>
  <c r="T163" i="15"/>
  <c r="R163" i="15"/>
  <c r="V163" i="15"/>
  <c r="N163" i="15"/>
  <c r="P163" i="15"/>
  <c r="U163" i="15"/>
  <c r="H163" i="15"/>
  <c r="I163" i="15"/>
  <c r="M163" i="15"/>
  <c r="L163" i="15"/>
  <c r="D93" i="15"/>
  <c r="M93" i="15" s="1"/>
  <c r="H93" i="15"/>
  <c r="A125" i="14"/>
  <c r="A77" i="14"/>
  <c r="W93" i="15"/>
  <c r="K93" i="15"/>
  <c r="L93" i="15"/>
  <c r="AF93" i="15"/>
  <c r="C94" i="15"/>
  <c r="E163" i="15"/>
  <c r="D163" i="15"/>
  <c r="C163" i="15"/>
  <c r="B41" i="13" l="1"/>
  <c r="C47" i="17"/>
  <c r="B48" i="17"/>
  <c r="A126" i="14"/>
  <c r="A78" i="14"/>
  <c r="D94" i="15"/>
  <c r="M94" i="15" s="1"/>
  <c r="K94" i="15"/>
  <c r="AF94" i="15"/>
  <c r="W94" i="15"/>
  <c r="L94" i="15"/>
  <c r="H94" i="15"/>
  <c r="C95" i="15"/>
  <c r="P164" i="15"/>
  <c r="Q164" i="15"/>
  <c r="R164" i="15"/>
  <c r="N164" i="15"/>
  <c r="L164" i="15"/>
  <c r="T164" i="15"/>
  <c r="H164" i="15"/>
  <c r="U164" i="15"/>
  <c r="V164" i="15"/>
  <c r="M164" i="15"/>
  <c r="I164" i="15"/>
  <c r="B100" i="15"/>
  <c r="A49" i="13" s="1"/>
  <c r="A44" i="17"/>
  <c r="A165" i="15"/>
  <c r="A212" i="15" s="1"/>
  <c r="A92" i="15"/>
  <c r="E91" i="15"/>
  <c r="E164" i="15"/>
  <c r="C164" i="15"/>
  <c r="D164" i="15"/>
  <c r="B42" i="13" l="1"/>
  <c r="C48" i="17"/>
  <c r="B49" i="17"/>
  <c r="A45" i="17"/>
  <c r="A166" i="15"/>
  <c r="A213" i="15" s="1"/>
  <c r="A93" i="15"/>
  <c r="E92" i="15"/>
  <c r="P165" i="15"/>
  <c r="Q165" i="15"/>
  <c r="I165" i="15"/>
  <c r="M165" i="15"/>
  <c r="H165" i="15"/>
  <c r="L165" i="15"/>
  <c r="N165" i="15"/>
  <c r="R165" i="15"/>
  <c r="U165" i="15"/>
  <c r="V165" i="15"/>
  <c r="T165" i="15"/>
  <c r="B101" i="15"/>
  <c r="A50" i="13" s="1"/>
  <c r="H95" i="15"/>
  <c r="AF95" i="15"/>
  <c r="W95" i="15"/>
  <c r="A127" i="14"/>
  <c r="K95" i="15"/>
  <c r="L95" i="15"/>
  <c r="D95" i="15"/>
  <c r="M95" i="15" s="1"/>
  <c r="A79" i="14"/>
  <c r="C96" i="15"/>
  <c r="E165" i="15"/>
  <c r="D165" i="15"/>
  <c r="C165" i="15"/>
  <c r="B43" i="13" l="1"/>
  <c r="C121" i="14"/>
  <c r="C49" i="17"/>
  <c r="B50" i="17"/>
  <c r="A46" i="17"/>
  <c r="A167" i="15"/>
  <c r="A214" i="15" s="1"/>
  <c r="A94" i="15"/>
  <c r="E93" i="15"/>
  <c r="B102" i="15"/>
  <c r="A51" i="13" s="1"/>
  <c r="D96" i="15"/>
  <c r="M96" i="15" s="1"/>
  <c r="AF96" i="15"/>
  <c r="H96" i="15"/>
  <c r="A128" i="14"/>
  <c r="W96" i="15"/>
  <c r="L96" i="15"/>
  <c r="K96" i="15"/>
  <c r="A80" i="14"/>
  <c r="C97" i="15"/>
  <c r="P166" i="15"/>
  <c r="R166" i="15"/>
  <c r="V166" i="15"/>
  <c r="Q166" i="15"/>
  <c r="I166" i="15"/>
  <c r="L166" i="15"/>
  <c r="T166" i="15"/>
  <c r="H166" i="15"/>
  <c r="M166" i="15"/>
  <c r="U166" i="15"/>
  <c r="N166" i="15"/>
  <c r="D166" i="15"/>
  <c r="C166" i="15"/>
  <c r="E166" i="15"/>
  <c r="B44" i="13" l="1"/>
  <c r="C122" i="14"/>
  <c r="B51" i="17"/>
  <c r="C50" i="17"/>
  <c r="B103" i="15"/>
  <c r="A52" i="13" s="1"/>
  <c r="A168" i="15"/>
  <c r="A215" i="15" s="1"/>
  <c r="A47" i="17"/>
  <c r="A95" i="15"/>
  <c r="E94" i="15"/>
  <c r="Q167" i="15"/>
  <c r="P167" i="15"/>
  <c r="M167" i="15"/>
  <c r="U167" i="15"/>
  <c r="I167" i="15"/>
  <c r="V167" i="15"/>
  <c r="T167" i="15"/>
  <c r="R167" i="15"/>
  <c r="L167" i="15"/>
  <c r="N167" i="15"/>
  <c r="H167" i="15"/>
  <c r="W97" i="15"/>
  <c r="D97" i="15"/>
  <c r="M97" i="15" s="1"/>
  <c r="A81" i="14"/>
  <c r="K97" i="15"/>
  <c r="AF97" i="15"/>
  <c r="H97" i="15"/>
  <c r="A129" i="14"/>
  <c r="L97" i="15"/>
  <c r="C98" i="15"/>
  <c r="D167" i="15"/>
  <c r="E167" i="15"/>
  <c r="C167" i="15"/>
  <c r="B45" i="13" l="1"/>
  <c r="C123" i="14"/>
  <c r="B52" i="17"/>
  <c r="C51" i="17"/>
  <c r="B104" i="15"/>
  <c r="A53" i="13" s="1"/>
  <c r="L98" i="15"/>
  <c r="D98" i="15"/>
  <c r="M98" i="15" s="1"/>
  <c r="A130" i="14"/>
  <c r="AF98" i="15"/>
  <c r="K98" i="15"/>
  <c r="H98" i="15"/>
  <c r="A82" i="14"/>
  <c r="W98" i="15"/>
  <c r="C99" i="15"/>
  <c r="A169" i="15"/>
  <c r="A216" i="15" s="1"/>
  <c r="A48" i="17"/>
  <c r="A96" i="15"/>
  <c r="E95" i="15"/>
  <c r="P168" i="15"/>
  <c r="Q168" i="15"/>
  <c r="I168" i="15"/>
  <c r="V168" i="15"/>
  <c r="N168" i="15"/>
  <c r="M168" i="15"/>
  <c r="T168" i="15"/>
  <c r="L168" i="15"/>
  <c r="H168" i="15"/>
  <c r="U168" i="15"/>
  <c r="R168" i="15"/>
  <c r="E168" i="15"/>
  <c r="D168" i="15"/>
  <c r="C168" i="15"/>
  <c r="B46" i="13" l="1"/>
  <c r="C124" i="14"/>
  <c r="B53" i="17"/>
  <c r="C52" i="17"/>
  <c r="A49" i="17"/>
  <c r="A170" i="15"/>
  <c r="A217" i="15" s="1"/>
  <c r="A97" i="15"/>
  <c r="E96" i="15"/>
  <c r="W99" i="15"/>
  <c r="L99" i="15"/>
  <c r="D99" i="15"/>
  <c r="M99" i="15" s="1"/>
  <c r="AF99" i="15"/>
  <c r="K99" i="15"/>
  <c r="A83" i="14"/>
  <c r="A131" i="14"/>
  <c r="H99" i="15"/>
  <c r="C100" i="15"/>
  <c r="B105" i="15"/>
  <c r="A54" i="13" s="1"/>
  <c r="P169" i="15"/>
  <c r="M169" i="15"/>
  <c r="L169" i="15"/>
  <c r="Q169" i="15"/>
  <c r="N169" i="15"/>
  <c r="I169" i="15"/>
  <c r="V169" i="15"/>
  <c r="H169" i="15"/>
  <c r="R169" i="15"/>
  <c r="T169" i="15"/>
  <c r="U169" i="15"/>
  <c r="E169" i="15"/>
  <c r="D169" i="15"/>
  <c r="C169" i="15"/>
  <c r="B47" i="13" l="1"/>
  <c r="C53" i="17"/>
  <c r="B54" i="17"/>
  <c r="A171" i="15"/>
  <c r="A218" i="15" s="1"/>
  <c r="A50" i="17"/>
  <c r="A98" i="15"/>
  <c r="E97" i="15"/>
  <c r="AF100" i="15"/>
  <c r="L100" i="15"/>
  <c r="A132" i="14"/>
  <c r="H100" i="15"/>
  <c r="W100" i="15"/>
  <c r="K100" i="15"/>
  <c r="D100" i="15"/>
  <c r="M100" i="15" s="1"/>
  <c r="A84" i="14"/>
  <c r="C101" i="15"/>
  <c r="B106" i="15"/>
  <c r="A55" i="13" s="1"/>
  <c r="P170" i="15"/>
  <c r="Q170" i="15"/>
  <c r="L170" i="15"/>
  <c r="N170" i="15"/>
  <c r="R170" i="15"/>
  <c r="I170" i="15"/>
  <c r="T170" i="15"/>
  <c r="V170" i="15"/>
  <c r="U170" i="15"/>
  <c r="M170" i="15"/>
  <c r="H170" i="15"/>
  <c r="E170" i="15"/>
  <c r="D170" i="15"/>
  <c r="C170" i="15"/>
  <c r="B48" i="13" l="1"/>
  <c r="C125" i="14"/>
  <c r="C54" i="17"/>
  <c r="B55" i="17"/>
  <c r="A51" i="17"/>
  <c r="A172" i="15"/>
  <c r="A219" i="15" s="1"/>
  <c r="A99" i="15"/>
  <c r="E98" i="15"/>
  <c r="L101" i="15"/>
  <c r="H101" i="15"/>
  <c r="W101" i="15"/>
  <c r="K101" i="15"/>
  <c r="D101" i="15"/>
  <c r="M101" i="15" s="1"/>
  <c r="AF101" i="15"/>
  <c r="A133" i="14"/>
  <c r="A85" i="14"/>
  <c r="C102" i="15"/>
  <c r="Q171" i="15"/>
  <c r="P171" i="15"/>
  <c r="L171" i="15"/>
  <c r="H171" i="15"/>
  <c r="V171" i="15"/>
  <c r="T171" i="15"/>
  <c r="M171" i="15"/>
  <c r="U171" i="15"/>
  <c r="I171" i="15"/>
  <c r="N171" i="15"/>
  <c r="R171" i="15"/>
  <c r="B107" i="15"/>
  <c r="A56" i="13" s="1"/>
  <c r="E171" i="15"/>
  <c r="D171" i="15"/>
  <c r="C171" i="15"/>
  <c r="B49" i="13" l="1"/>
  <c r="C126" i="14"/>
  <c r="C127" i="14"/>
  <c r="B56" i="17"/>
  <c r="C55" i="17"/>
  <c r="A52" i="17"/>
  <c r="A173" i="15"/>
  <c r="A220" i="15" s="1"/>
  <c r="A100" i="15"/>
  <c r="E99" i="15"/>
  <c r="B108" i="15"/>
  <c r="A57" i="13" s="1"/>
  <c r="K102" i="15"/>
  <c r="AF102" i="15"/>
  <c r="W102" i="15"/>
  <c r="A86" i="14"/>
  <c r="H102" i="15"/>
  <c r="D102" i="15"/>
  <c r="A134" i="14"/>
  <c r="C103" i="15"/>
  <c r="P172" i="15"/>
  <c r="L172" i="15"/>
  <c r="V172" i="15"/>
  <c r="U172" i="15"/>
  <c r="M172" i="15"/>
  <c r="N172" i="15"/>
  <c r="Q172" i="15"/>
  <c r="I172" i="15"/>
  <c r="H172" i="15"/>
  <c r="T172" i="15"/>
  <c r="R172" i="15"/>
  <c r="D172" i="15"/>
  <c r="C172" i="15"/>
  <c r="E172" i="15"/>
  <c r="B50" i="13" l="1"/>
  <c r="C128" i="14"/>
  <c r="C56" i="17"/>
  <c r="B57" i="17"/>
  <c r="W103" i="15"/>
  <c r="L103" i="15"/>
  <c r="K103" i="15"/>
  <c r="A135" i="14"/>
  <c r="A87" i="14"/>
  <c r="AF103" i="15"/>
  <c r="H103" i="15"/>
  <c r="D103" i="15"/>
  <c r="M103" i="15" s="1"/>
  <c r="C104" i="15"/>
  <c r="A53" i="17"/>
  <c r="A174" i="15"/>
  <c r="A221" i="15" s="1"/>
  <c r="A101" i="15"/>
  <c r="E100" i="15"/>
  <c r="S108" i="15"/>
  <c r="B109" i="15"/>
  <c r="P173" i="15"/>
  <c r="Q173" i="15"/>
  <c r="V173" i="15"/>
  <c r="U173" i="15"/>
  <c r="M173" i="15"/>
  <c r="I173" i="15"/>
  <c r="L173" i="15"/>
  <c r="N173" i="15"/>
  <c r="H173" i="15"/>
  <c r="R173" i="15"/>
  <c r="T173" i="15"/>
  <c r="E173" i="15"/>
  <c r="D173" i="15"/>
  <c r="C173" i="15"/>
  <c r="B51" i="13" l="1"/>
  <c r="C57" i="17"/>
  <c r="S109" i="15"/>
  <c r="B110" i="15"/>
  <c r="A175" i="15"/>
  <c r="A222" i="15" s="1"/>
  <c r="A54" i="17"/>
  <c r="A102" i="15"/>
  <c r="E101" i="15"/>
  <c r="P174" i="15"/>
  <c r="Q174" i="15"/>
  <c r="N174" i="15"/>
  <c r="T174" i="15"/>
  <c r="U174" i="15"/>
  <c r="I174" i="15"/>
  <c r="L174" i="15"/>
  <c r="H174" i="15"/>
  <c r="R174" i="15"/>
  <c r="V174" i="15"/>
  <c r="M174" i="15"/>
  <c r="D104" i="15"/>
  <c r="M104" i="15" s="1"/>
  <c r="A88" i="14"/>
  <c r="W104" i="15"/>
  <c r="H104" i="15"/>
  <c r="A136" i="14"/>
  <c r="L104" i="15"/>
  <c r="K104" i="15"/>
  <c r="AF104" i="15"/>
  <c r="C105" i="15"/>
  <c r="E174" i="15"/>
  <c r="D174" i="15"/>
  <c r="C174" i="15"/>
  <c r="B52" i="13" l="1"/>
  <c r="C129" i="14"/>
  <c r="D105" i="15"/>
  <c r="M105" i="15" s="1"/>
  <c r="A137" i="14"/>
  <c r="A89" i="14"/>
  <c r="L105" i="15"/>
  <c r="K105" i="15"/>
  <c r="W105" i="15"/>
  <c r="H105" i="15"/>
  <c r="AF105" i="15"/>
  <c r="C106" i="15"/>
  <c r="S110" i="15"/>
  <c r="B111" i="15"/>
  <c r="A176" i="15"/>
  <c r="A223" i="15" s="1"/>
  <c r="A55" i="17"/>
  <c r="A103" i="15"/>
  <c r="E102" i="15"/>
  <c r="Q175" i="15"/>
  <c r="N175" i="15"/>
  <c r="H175" i="15"/>
  <c r="L175" i="15"/>
  <c r="P175" i="15"/>
  <c r="R175" i="15"/>
  <c r="I175" i="15"/>
  <c r="U175" i="15"/>
  <c r="V175" i="15"/>
  <c r="T175" i="15"/>
  <c r="M175" i="15"/>
  <c r="C175" i="15"/>
  <c r="E175" i="15"/>
  <c r="D175" i="15"/>
  <c r="B53" i="13" l="1"/>
  <c r="C130" i="14"/>
  <c r="L102" i="15"/>
  <c r="M102" i="15"/>
  <c r="P176" i="15"/>
  <c r="Q176" i="15"/>
  <c r="T176" i="15"/>
  <c r="H176" i="15"/>
  <c r="L176" i="15"/>
  <c r="I176" i="15"/>
  <c r="V176" i="15"/>
  <c r="N176" i="15"/>
  <c r="R176" i="15"/>
  <c r="U176" i="15"/>
  <c r="M176" i="15"/>
  <c r="A138" i="14"/>
  <c r="D106" i="15"/>
  <c r="M106" i="15" s="1"/>
  <c r="W106" i="15"/>
  <c r="AF106" i="15"/>
  <c r="A90" i="14"/>
  <c r="K106" i="15"/>
  <c r="L106" i="15"/>
  <c r="H106" i="15"/>
  <c r="C107" i="15"/>
  <c r="C108" i="15" s="1"/>
  <c r="Q108" i="15" s="1"/>
  <c r="S111" i="15"/>
  <c r="B112" i="15"/>
  <c r="A56" i="17"/>
  <c r="A177" i="15"/>
  <c r="A224" i="15" s="1"/>
  <c r="A104" i="15"/>
  <c r="E103" i="15"/>
  <c r="D176" i="15"/>
  <c r="C176" i="15"/>
  <c r="E176" i="15"/>
  <c r="B54" i="13" l="1"/>
  <c r="A140" i="14"/>
  <c r="A92" i="14"/>
  <c r="K108" i="15"/>
  <c r="W108" i="15"/>
  <c r="Z108" i="15"/>
  <c r="C109" i="15"/>
  <c r="Q109" i="15" s="1"/>
  <c r="L108" i="15"/>
  <c r="AE108" i="15"/>
  <c r="H108" i="15"/>
  <c r="AF108" i="15"/>
  <c r="C131" i="14"/>
  <c r="P177" i="15"/>
  <c r="Q177" i="15"/>
  <c r="V177" i="15"/>
  <c r="L177" i="15"/>
  <c r="U177" i="15"/>
  <c r="N177" i="15"/>
  <c r="R177" i="15"/>
  <c r="T177" i="15"/>
  <c r="M177" i="15"/>
  <c r="I177" i="15"/>
  <c r="H177" i="15"/>
  <c r="D107" i="15"/>
  <c r="D108" i="15" s="1"/>
  <c r="M108" i="15" s="1"/>
  <c r="H107" i="15"/>
  <c r="AF107" i="15"/>
  <c r="K107" i="15"/>
  <c r="W107" i="15"/>
  <c r="A139" i="14"/>
  <c r="A91" i="14"/>
  <c r="S112" i="15"/>
  <c r="B113" i="15"/>
  <c r="A178" i="15"/>
  <c r="A225" i="15" s="1"/>
  <c r="A57" i="17"/>
  <c r="A105" i="15"/>
  <c r="E104" i="15"/>
  <c r="E177" i="15"/>
  <c r="D177" i="15"/>
  <c r="C177" i="15"/>
  <c r="B55" i="13" l="1"/>
  <c r="F54" i="13"/>
  <c r="Z109" i="15"/>
  <c r="W109" i="15"/>
  <c r="K109" i="15"/>
  <c r="A143" i="14"/>
  <c r="L109" i="15"/>
  <c r="AF109" i="15"/>
  <c r="C110" i="15"/>
  <c r="Q110" i="15" s="1"/>
  <c r="AE109" i="15"/>
  <c r="H109" i="15"/>
  <c r="D109" i="15"/>
  <c r="M109" i="15" s="1"/>
  <c r="C132" i="14"/>
  <c r="S113" i="15"/>
  <c r="P178" i="15"/>
  <c r="Q178" i="15"/>
  <c r="N178" i="15"/>
  <c r="R178" i="15"/>
  <c r="U178" i="15"/>
  <c r="I178" i="15"/>
  <c r="M178" i="15"/>
  <c r="V178" i="15"/>
  <c r="L178" i="15"/>
  <c r="H178" i="15"/>
  <c r="T178" i="15"/>
  <c r="Z105" i="15"/>
  <c r="A179" i="15"/>
  <c r="A226" i="15" s="1"/>
  <c r="A106" i="15"/>
  <c r="E105" i="15"/>
  <c r="D178" i="15"/>
  <c r="C178" i="15"/>
  <c r="E178" i="15"/>
  <c r="B56" i="13" l="1"/>
  <c r="F55" i="13"/>
  <c r="AF110" i="15"/>
  <c r="K110" i="15"/>
  <c r="D110" i="15"/>
  <c r="M110" i="15" s="1"/>
  <c r="H110" i="15"/>
  <c r="W110" i="15"/>
  <c r="C111" i="15"/>
  <c r="Q111" i="15" s="1"/>
  <c r="Z110" i="15"/>
  <c r="AE110" i="15"/>
  <c r="L110" i="15"/>
  <c r="C133" i="14"/>
  <c r="Z106" i="15"/>
  <c r="A180" i="15"/>
  <c r="A227" i="15" s="1"/>
  <c r="A107" i="15"/>
  <c r="A108" i="15" s="1"/>
  <c r="E106" i="15"/>
  <c r="Q179" i="15"/>
  <c r="P179" i="15"/>
  <c r="I179" i="15"/>
  <c r="N179" i="15"/>
  <c r="R179" i="15"/>
  <c r="H179" i="15"/>
  <c r="M179" i="15"/>
  <c r="L179" i="15"/>
  <c r="U179" i="15"/>
  <c r="T179" i="15"/>
  <c r="V179" i="15"/>
  <c r="C179" i="15"/>
  <c r="D179" i="15"/>
  <c r="E179" i="15"/>
  <c r="B57" i="13" l="1"/>
  <c r="W111" i="15"/>
  <c r="D111" i="15"/>
  <c r="M111" i="15" s="1"/>
  <c r="K111" i="15"/>
  <c r="C112" i="15"/>
  <c r="Q112" i="15" s="1"/>
  <c r="L111" i="15"/>
  <c r="Z111" i="15"/>
  <c r="AE111" i="15"/>
  <c r="H111" i="15"/>
  <c r="AF111" i="15"/>
  <c r="A182" i="15"/>
  <c r="A109" i="15"/>
  <c r="E108" i="15"/>
  <c r="C135" i="14"/>
  <c r="P180" i="15"/>
  <c r="I180" i="15"/>
  <c r="Q180" i="15"/>
  <c r="R180" i="15"/>
  <c r="H180" i="15"/>
  <c r="M180" i="15"/>
  <c r="L180" i="15"/>
  <c r="V180" i="15"/>
  <c r="N180" i="15"/>
  <c r="T180" i="15"/>
  <c r="U180" i="15"/>
  <c r="A181" i="15"/>
  <c r="A228" i="15" s="1"/>
  <c r="E107" i="15"/>
  <c r="D180" i="15"/>
  <c r="E180" i="15"/>
  <c r="C180" i="15"/>
  <c r="C57" i="13" l="1"/>
  <c r="F57" i="13"/>
  <c r="E57" i="13"/>
  <c r="G57" i="13"/>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C181" i="15"/>
  <c r="B182" i="15"/>
  <c r="J182" i="15"/>
  <c r="F182" i="15"/>
  <c r="D57" i="13" l="1"/>
  <c r="F229" i="15"/>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C120" i="14"/>
  <c r="C136" i="14"/>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C137" i="14"/>
  <c r="C138"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C134" i="14"/>
  <c r="C139" i="14"/>
  <c r="E233" i="15"/>
  <c r="I35" i="34" s="1"/>
  <c r="C233" i="15"/>
  <c r="I33" i="34" s="1"/>
  <c r="D233" i="15"/>
  <c r="I34" i="34" s="1"/>
  <c r="L87" i="15"/>
  <c r="M87" i="15"/>
  <c r="I48" i="119"/>
  <c r="H48" i="119"/>
  <c r="G48" i="119"/>
  <c r="E48" i="119"/>
  <c r="D48" i="119"/>
  <c r="C26" i="6" s="1"/>
  <c r="C48" i="119"/>
  <c r="C25" i="6" s="1"/>
  <c r="B22" i="15" s="1"/>
  <c r="F48" i="119"/>
  <c r="C52" i="6" l="1"/>
  <c r="X59" i="15" s="1"/>
  <c r="AF116" i="15" s="1"/>
  <c r="AB55" i="15" s="1"/>
  <c r="AB57" i="15" s="1"/>
  <c r="E80" i="6"/>
  <c r="E78" i="6"/>
  <c r="E75" i="6"/>
  <c r="C136" i="6"/>
  <c r="C69" i="6"/>
  <c r="B20" i="15"/>
  <c r="B21" i="15" s="1"/>
  <c r="C4" i="119"/>
  <c r="D199" i="119" s="1"/>
  <c r="C27" i="6"/>
  <c r="C28" i="6" s="1"/>
  <c r="C4" i="24"/>
  <c r="C3" i="119"/>
  <c r="C199" i="119" s="1"/>
  <c r="E22" i="15" l="1"/>
  <c r="F36" i="14"/>
  <c r="G36" i="14"/>
  <c r="B26" i="15"/>
  <c r="B27" i="15" s="1"/>
  <c r="F37" i="14" s="1"/>
  <c r="C36" i="14"/>
  <c r="C46" i="33"/>
  <c r="C5" i="119"/>
  <c r="E199" i="119" s="1"/>
  <c r="E36" i="14"/>
  <c r="D36" i="14"/>
  <c r="H36" i="14"/>
  <c r="C47" i="33" s="1"/>
  <c r="W116" i="15"/>
  <c r="F80" i="6"/>
  <c r="F78" i="6"/>
  <c r="F75" i="6"/>
  <c r="F84" i="6" s="1"/>
  <c r="C148" i="6" s="1"/>
  <c r="G133" i="15"/>
  <c r="F38" i="34" s="1"/>
  <c r="F133" i="15"/>
  <c r="F37" i="34" s="1"/>
  <c r="B133" i="15"/>
  <c r="F32" i="34" s="1"/>
  <c r="C32" i="34" s="1"/>
  <c r="C197" i="119"/>
  <c r="C202" i="119" s="1"/>
  <c r="D202" i="119" s="1"/>
  <c r="D158" i="6"/>
  <c r="D157" i="6"/>
  <c r="D159" i="6"/>
  <c r="E22" i="24"/>
  <c r="G22" i="24" s="1"/>
  <c r="E14" i="24"/>
  <c r="G14" i="24" s="1"/>
  <c r="D154" i="6"/>
  <c r="E154" i="6" s="1"/>
  <c r="D124" i="6"/>
  <c r="E124" i="6" s="1"/>
  <c r="E25" i="24"/>
  <c r="G25" i="24" s="1"/>
  <c r="E23" i="24"/>
  <c r="G23" i="24" s="1"/>
  <c r="E19" i="24"/>
  <c r="G19" i="24" s="1"/>
  <c r="E18" i="24"/>
  <c r="G18" i="24" s="1"/>
  <c r="E20" i="24"/>
  <c r="G20" i="24" s="1"/>
  <c r="E21" i="24"/>
  <c r="G21" i="24" s="1"/>
  <c r="E26" i="24"/>
  <c r="G26" i="24" s="1"/>
  <c r="E16" i="24"/>
  <c r="G16" i="24" s="1"/>
  <c r="E24" i="24"/>
  <c r="G24" i="24" s="1"/>
  <c r="E17" i="24"/>
  <c r="G17" i="24" s="1"/>
  <c r="D152" i="6"/>
  <c r="E152" i="6" s="1"/>
  <c r="E15" i="24"/>
  <c r="G15" i="24" s="1"/>
  <c r="D155" i="6"/>
  <c r="E155" i="6" s="1"/>
  <c r="D153" i="6"/>
  <c r="E153" i="6" s="1"/>
  <c r="D113" i="6"/>
  <c r="E113" i="6" s="1"/>
  <c r="E115" i="6" s="1"/>
  <c r="E13" i="24"/>
  <c r="H206" i="15"/>
  <c r="L199" i="15"/>
  <c r="AE106" i="15"/>
  <c r="E205" i="15"/>
  <c r="L219" i="15"/>
  <c r="M189" i="15"/>
  <c r="C216" i="15"/>
  <c r="N209" i="15"/>
  <c r="H196" i="15"/>
  <c r="C227" i="15"/>
  <c r="L202" i="15"/>
  <c r="C193" i="15"/>
  <c r="H222" i="15"/>
  <c r="I227" i="15"/>
  <c r="AE80" i="15"/>
  <c r="E213" i="15"/>
  <c r="C223" i="15"/>
  <c r="N191" i="15"/>
  <c r="D194" i="15"/>
  <c r="E222" i="15"/>
  <c r="I191" i="15"/>
  <c r="N225" i="15"/>
  <c r="I223" i="15"/>
  <c r="C203" i="15"/>
  <c r="N204" i="15"/>
  <c r="AE79" i="15"/>
  <c r="E189" i="15"/>
  <c r="D217" i="15"/>
  <c r="D204" i="15"/>
  <c r="C224" i="15"/>
  <c r="E223" i="15"/>
  <c r="D200" i="15"/>
  <c r="E217" i="15"/>
  <c r="M223" i="15"/>
  <c r="H226" i="15"/>
  <c r="C217" i="15"/>
  <c r="I192" i="15"/>
  <c r="D215" i="15"/>
  <c r="I214" i="15"/>
  <c r="L224" i="15"/>
  <c r="AE69" i="15"/>
  <c r="AE94" i="15"/>
  <c r="N205" i="15"/>
  <c r="H225" i="15"/>
  <c r="D224" i="15"/>
  <c r="D209" i="15"/>
  <c r="AE88" i="15"/>
  <c r="E208" i="15"/>
  <c r="C225" i="15"/>
  <c r="M212" i="15"/>
  <c r="L217" i="15"/>
  <c r="D216" i="15"/>
  <c r="L227" i="15"/>
  <c r="N210" i="15"/>
  <c r="D212" i="15"/>
  <c r="N222" i="15"/>
  <c r="M209" i="15"/>
  <c r="M217" i="15"/>
  <c r="L204" i="15"/>
  <c r="C190" i="15"/>
  <c r="AE105" i="15"/>
  <c r="H195" i="15"/>
  <c r="M219" i="15"/>
  <c r="M210" i="15"/>
  <c r="AE96" i="15"/>
  <c r="M197" i="15"/>
  <c r="M222" i="15"/>
  <c r="N203" i="15"/>
  <c r="E191" i="15"/>
  <c r="I208" i="15"/>
  <c r="D202" i="15"/>
  <c r="L226" i="15"/>
  <c r="C201" i="15"/>
  <c r="I220" i="15"/>
  <c r="C211" i="15"/>
  <c r="D205" i="15"/>
  <c r="M193" i="15"/>
  <c r="I199" i="15"/>
  <c r="M215" i="15"/>
  <c r="L208" i="15"/>
  <c r="AE90" i="15"/>
  <c r="N223" i="15"/>
  <c r="D213" i="15"/>
  <c r="M221" i="15"/>
  <c r="L193" i="15"/>
  <c r="N226" i="15"/>
  <c r="M195" i="15"/>
  <c r="N211" i="15"/>
  <c r="H221" i="15"/>
  <c r="N216" i="15"/>
  <c r="I211" i="15"/>
  <c r="C202" i="15"/>
  <c r="H190" i="15"/>
  <c r="L201" i="15"/>
  <c r="I198" i="15"/>
  <c r="C205" i="15"/>
  <c r="E196" i="15"/>
  <c r="L222" i="15"/>
  <c r="H220" i="15"/>
  <c r="C194" i="15"/>
  <c r="AE85" i="15"/>
  <c r="E193" i="15"/>
  <c r="I205" i="15"/>
  <c r="E219" i="15"/>
  <c r="H213" i="15"/>
  <c r="E203" i="15"/>
  <c r="AE81" i="15"/>
  <c r="C208" i="15"/>
  <c r="I212" i="15"/>
  <c r="I201" i="15"/>
  <c r="H200" i="15"/>
  <c r="I222" i="15"/>
  <c r="I221" i="15"/>
  <c r="L216" i="15"/>
  <c r="N198" i="15"/>
  <c r="C189" i="15"/>
  <c r="H216" i="15"/>
  <c r="AE75" i="15"/>
  <c r="AE95" i="15"/>
  <c r="I200" i="15"/>
  <c r="I217" i="15"/>
  <c r="C212" i="15"/>
  <c r="N220" i="15"/>
  <c r="C209" i="15"/>
  <c r="I218" i="15"/>
  <c r="N200" i="15"/>
  <c r="L194" i="15"/>
  <c r="N196" i="15"/>
  <c r="M214" i="15"/>
  <c r="I207" i="15"/>
  <c r="I228" i="15"/>
  <c r="D218" i="15"/>
  <c r="N221" i="15"/>
  <c r="E212" i="15"/>
  <c r="L214" i="15"/>
  <c r="D196" i="15"/>
  <c r="M216" i="15"/>
  <c r="AE74" i="15"/>
  <c r="D223" i="15"/>
  <c r="L211" i="15"/>
  <c r="L198" i="15"/>
  <c r="E218" i="15"/>
  <c r="E214" i="15"/>
  <c r="E192" i="15"/>
  <c r="L203" i="15"/>
  <c r="I213" i="15"/>
  <c r="E200" i="15"/>
  <c r="D220" i="15"/>
  <c r="H207" i="15"/>
  <c r="D225" i="15"/>
  <c r="AE83" i="15"/>
  <c r="D197" i="15"/>
  <c r="N197" i="15"/>
  <c r="AE84" i="15"/>
  <c r="N215" i="15"/>
  <c r="D201" i="15"/>
  <c r="E227" i="15"/>
  <c r="AE102" i="15"/>
  <c r="D208" i="15"/>
  <c r="L191" i="15"/>
  <c r="AE73" i="15"/>
  <c r="C222" i="15"/>
  <c r="I193" i="15"/>
  <c r="AE70" i="15"/>
  <c r="C197" i="15"/>
  <c r="D199" i="15"/>
  <c r="L195" i="15"/>
  <c r="M227" i="15"/>
  <c r="C219" i="15"/>
  <c r="H203" i="15"/>
  <c r="H208" i="15"/>
  <c r="C192" i="15"/>
  <c r="C221" i="15"/>
  <c r="N207" i="15"/>
  <c r="L197" i="15"/>
  <c r="H191" i="15"/>
  <c r="AE89" i="15"/>
  <c r="H210" i="15"/>
  <c r="L196" i="15"/>
  <c r="H197" i="15"/>
  <c r="E228" i="15"/>
  <c r="D207" i="15"/>
  <c r="H198" i="15"/>
  <c r="D206" i="15"/>
  <c r="L209" i="15"/>
  <c r="M199" i="15"/>
  <c r="E224" i="15"/>
  <c r="M207" i="15"/>
  <c r="E202" i="15"/>
  <c r="M228" i="15"/>
  <c r="H194" i="15"/>
  <c r="E204" i="15"/>
  <c r="H212" i="15"/>
  <c r="E211" i="15"/>
  <c r="AE93" i="15"/>
  <c r="I226" i="15"/>
  <c r="C218" i="15"/>
  <c r="D192" i="15"/>
  <c r="D211" i="15"/>
  <c r="AE78" i="15"/>
  <c r="C213" i="15"/>
  <c r="AE71" i="15"/>
  <c r="AE92" i="15"/>
  <c r="M224" i="15"/>
  <c r="N212" i="15"/>
  <c r="N213" i="15"/>
  <c r="N214" i="15"/>
  <c r="D219" i="15"/>
  <c r="M196" i="15"/>
  <c r="D203" i="15"/>
  <c r="N192" i="15"/>
  <c r="H211" i="15"/>
  <c r="M191" i="15"/>
  <c r="H217" i="15"/>
  <c r="E201" i="15"/>
  <c r="L228" i="15"/>
  <c r="C207" i="15"/>
  <c r="L210" i="15"/>
  <c r="M201" i="15"/>
  <c r="E199" i="15"/>
  <c r="N224" i="15"/>
  <c r="D195" i="15"/>
  <c r="AE76" i="15"/>
  <c r="L221" i="15"/>
  <c r="I203" i="15"/>
  <c r="I189" i="15"/>
  <c r="H228" i="15"/>
  <c r="M220" i="15"/>
  <c r="H224" i="15"/>
  <c r="L189" i="15"/>
  <c r="I190" i="15"/>
  <c r="E209" i="15"/>
  <c r="L190" i="15"/>
  <c r="E216" i="15"/>
  <c r="D227" i="15"/>
  <c r="D226" i="15"/>
  <c r="AE86" i="15"/>
  <c r="I219" i="15"/>
  <c r="AE107" i="15"/>
  <c r="N189" i="15"/>
  <c r="E225" i="15"/>
  <c r="C228" i="15"/>
  <c r="I206" i="15"/>
  <c r="D228" i="15"/>
  <c r="M194" i="15"/>
  <c r="E198" i="15"/>
  <c r="H214" i="15"/>
  <c r="H189" i="15"/>
  <c r="C220" i="15"/>
  <c r="AE99" i="15"/>
  <c r="AE97" i="15"/>
  <c r="L218" i="15"/>
  <c r="N194" i="15"/>
  <c r="I195" i="15"/>
  <c r="L223" i="15"/>
  <c r="D191" i="15"/>
  <c r="E210" i="15"/>
  <c r="I197" i="15"/>
  <c r="H192" i="15"/>
  <c r="N190" i="15"/>
  <c r="M208" i="15"/>
  <c r="D190" i="15"/>
  <c r="H219" i="15"/>
  <c r="M204" i="15"/>
  <c r="M200" i="15"/>
  <c r="AE104" i="15"/>
  <c r="L205" i="15"/>
  <c r="N201" i="15"/>
  <c r="M226" i="15"/>
  <c r="E207" i="15"/>
  <c r="M192" i="15"/>
  <c r="N228" i="15"/>
  <c r="M202" i="15"/>
  <c r="D193" i="15"/>
  <c r="H205" i="15"/>
  <c r="C204" i="15"/>
  <c r="C191" i="15"/>
  <c r="H209" i="15"/>
  <c r="E206" i="15"/>
  <c r="C196" i="15"/>
  <c r="N227" i="15"/>
  <c r="I210" i="15"/>
  <c r="M203" i="15"/>
  <c r="L206" i="15"/>
  <c r="I196" i="15"/>
  <c r="D221" i="15"/>
  <c r="N202" i="15"/>
  <c r="AE77" i="15"/>
  <c r="L212" i="15"/>
  <c r="AE72" i="15"/>
  <c r="C226" i="15"/>
  <c r="E195" i="15"/>
  <c r="C214" i="15"/>
  <c r="E190" i="15"/>
  <c r="D198" i="15"/>
  <c r="D189" i="15"/>
  <c r="M205" i="15"/>
  <c r="E194" i="15"/>
  <c r="AE91" i="15"/>
  <c r="M213" i="15"/>
  <c r="H193" i="15"/>
  <c r="N195" i="15"/>
  <c r="H215" i="15"/>
  <c r="I215" i="15"/>
  <c r="C215" i="15"/>
  <c r="C200" i="15"/>
  <c r="L207" i="15"/>
  <c r="AE100" i="15"/>
  <c r="E226" i="15"/>
  <c r="L213" i="15"/>
  <c r="H202" i="15"/>
  <c r="L225" i="15"/>
  <c r="N208" i="15"/>
  <c r="E215" i="15"/>
  <c r="C210" i="15"/>
  <c r="D214" i="15"/>
  <c r="I216" i="15"/>
  <c r="C198" i="15"/>
  <c r="D222" i="15"/>
  <c r="I204" i="15"/>
  <c r="D210" i="15"/>
  <c r="H199" i="15"/>
  <c r="AE68" i="15"/>
  <c r="I202" i="15"/>
  <c r="C206" i="15"/>
  <c r="I209" i="15"/>
  <c r="H204" i="15"/>
  <c r="M206" i="15"/>
  <c r="N219" i="15"/>
  <c r="E220" i="15"/>
  <c r="L200" i="15"/>
  <c r="AE103" i="15"/>
  <c r="C195" i="15"/>
  <c r="N217" i="15"/>
  <c r="H227" i="15"/>
  <c r="I224" i="15"/>
  <c r="N206" i="15"/>
  <c r="M225" i="15"/>
  <c r="AE101" i="15"/>
  <c r="H201" i="15"/>
  <c r="L220" i="15"/>
  <c r="N193" i="15"/>
  <c r="M218" i="15"/>
  <c r="I225" i="15"/>
  <c r="L192" i="15"/>
  <c r="AE82" i="15"/>
  <c r="M190" i="15"/>
  <c r="C199" i="15"/>
  <c r="E197" i="15"/>
  <c r="M211" i="15"/>
  <c r="H223" i="15"/>
  <c r="I194" i="15"/>
  <c r="H218" i="15"/>
  <c r="AE98" i="15"/>
  <c r="N199" i="15"/>
  <c r="M198" i="15"/>
  <c r="AE87" i="15"/>
  <c r="L215" i="15"/>
  <c r="E221" i="15"/>
  <c r="N218" i="15"/>
  <c r="B17" i="15"/>
  <c r="C81" i="119"/>
  <c r="D81" i="119" s="1"/>
  <c r="I4" i="119"/>
  <c r="C82" i="119" s="1"/>
  <c r="D82" i="119" s="1"/>
  <c r="H4" i="119"/>
  <c r="C78" i="119"/>
  <c r="D78" i="119" s="1"/>
  <c r="H3" i="119"/>
  <c r="I3" i="119"/>
  <c r="C79" i="119" s="1"/>
  <c r="D79" i="119" s="1"/>
  <c r="G163" i="15"/>
  <c r="G157" i="15"/>
  <c r="G170" i="15"/>
  <c r="G144" i="15"/>
  <c r="G141" i="15"/>
  <c r="G151" i="15"/>
  <c r="G150" i="15"/>
  <c r="F154" i="15"/>
  <c r="G180" i="15"/>
  <c r="G158" i="15"/>
  <c r="G166" i="15"/>
  <c r="G171" i="15"/>
  <c r="G161" i="15"/>
  <c r="G143" i="15"/>
  <c r="G160" i="15"/>
  <c r="G177" i="15"/>
  <c r="G162" i="15"/>
  <c r="G176" i="15"/>
  <c r="G147" i="15"/>
  <c r="G175" i="15"/>
  <c r="G149" i="15"/>
  <c r="G153" i="15"/>
  <c r="G169" i="15"/>
  <c r="B180" i="15"/>
  <c r="B156" i="15"/>
  <c r="B149" i="15"/>
  <c r="G179" i="15"/>
  <c r="F160" i="15"/>
  <c r="B151" i="15"/>
  <c r="G178" i="15"/>
  <c r="G145" i="15"/>
  <c r="G142" i="15"/>
  <c r="F179" i="15"/>
  <c r="B177" i="15"/>
  <c r="G168" i="15"/>
  <c r="G146" i="15"/>
  <c r="G172" i="15"/>
  <c r="B148" i="15"/>
  <c r="G181" i="15"/>
  <c r="G156" i="15"/>
  <c r="B167" i="15"/>
  <c r="G173" i="15"/>
  <c r="B175" i="15"/>
  <c r="G174" i="15"/>
  <c r="B181" i="15"/>
  <c r="B160" i="15"/>
  <c r="G165" i="15"/>
  <c r="G152" i="15"/>
  <c r="G154" i="15"/>
  <c r="G164" i="15"/>
  <c r="G159" i="15"/>
  <c r="G139" i="15"/>
  <c r="G148" i="15"/>
  <c r="G140" i="15"/>
  <c r="G155" i="15"/>
  <c r="F177" i="15"/>
  <c r="G167" i="15"/>
  <c r="G37" i="14" l="1"/>
  <c r="D37" i="14"/>
  <c r="C37" i="14"/>
  <c r="E23" i="15"/>
  <c r="W115" i="15"/>
  <c r="H37" i="14"/>
  <c r="E37" i="14"/>
  <c r="E24" i="15"/>
  <c r="C48" i="33"/>
  <c r="H5" i="119"/>
  <c r="C83" i="119" s="1"/>
  <c r="D83" i="119" s="1"/>
  <c r="C84" i="119"/>
  <c r="D84" i="119" s="1"/>
  <c r="I5" i="119"/>
  <c r="C85" i="119" s="1"/>
  <c r="D85" i="119" s="1"/>
  <c r="F85" i="6"/>
  <c r="C149" i="6" s="1"/>
  <c r="G136" i="15"/>
  <c r="B136" i="15"/>
  <c r="G215" i="15"/>
  <c r="G189" i="15"/>
  <c r="G200" i="15"/>
  <c r="G210" i="15"/>
  <c r="G214" i="15"/>
  <c r="G201" i="15"/>
  <c r="G223" i="15"/>
  <c r="G198" i="15"/>
  <c r="G202" i="15"/>
  <c r="G227" i="15"/>
  <c r="G213" i="15"/>
  <c r="G217" i="15"/>
  <c r="G205" i="15"/>
  <c r="G193" i="15"/>
  <c r="G219" i="15"/>
  <c r="G204" i="15"/>
  <c r="G195" i="15"/>
  <c r="G191" i="15"/>
  <c r="G207" i="15"/>
  <c r="G196" i="15"/>
  <c r="G194" i="15"/>
  <c r="G222" i="15"/>
  <c r="G211" i="15"/>
  <c r="G197" i="15"/>
  <c r="G199" i="15"/>
  <c r="G209" i="15"/>
  <c r="G225" i="15"/>
  <c r="G203" i="15"/>
  <c r="G190" i="15"/>
  <c r="G208" i="15"/>
  <c r="G206" i="15"/>
  <c r="G221" i="15"/>
  <c r="G216" i="15"/>
  <c r="G212" i="15"/>
  <c r="G220" i="15"/>
  <c r="G226" i="15"/>
  <c r="G218" i="15"/>
  <c r="G224" i="15"/>
  <c r="G228" i="15"/>
  <c r="G192" i="15"/>
  <c r="F201" i="15"/>
  <c r="F226" i="15"/>
  <c r="F207" i="15"/>
  <c r="F224" i="15"/>
  <c r="F136" i="15"/>
  <c r="O74" i="15"/>
  <c r="B195" i="15"/>
  <c r="B228" i="15"/>
  <c r="O107" i="15"/>
  <c r="O77" i="15"/>
  <c r="B198" i="15"/>
  <c r="B203" i="15"/>
  <c r="O82" i="15"/>
  <c r="O106" i="15"/>
  <c r="B227" i="15"/>
  <c r="B222" i="15"/>
  <c r="O101" i="15"/>
  <c r="O86" i="15"/>
  <c r="B207" i="15"/>
  <c r="O93" i="15"/>
  <c r="B214" i="15"/>
  <c r="B196" i="15"/>
  <c r="O75" i="15"/>
  <c r="B224" i="15"/>
  <c r="O103" i="15"/>
  <c r="E100" i="34"/>
  <c r="C100" i="34"/>
  <c r="C37" i="34"/>
  <c r="D100" i="34"/>
  <c r="C38" i="34"/>
  <c r="E101" i="34"/>
  <c r="D101" i="34"/>
  <c r="C101" i="34"/>
  <c r="C95" i="34"/>
  <c r="D85" i="34" s="1"/>
  <c r="E95" i="34"/>
  <c r="F85" i="34" s="1"/>
  <c r="F86" i="34" s="1"/>
  <c r="D95" i="34"/>
  <c r="B203" i="119"/>
  <c r="H231" i="15"/>
  <c r="E231" i="15"/>
  <c r="E27" i="24"/>
  <c r="G13" i="24"/>
  <c r="G27" i="24" s="1"/>
  <c r="AE116" i="15"/>
  <c r="L231" i="15"/>
  <c r="E117" i="6"/>
  <c r="L101" i="119"/>
  <c r="C77" i="119"/>
  <c r="D77" i="119" s="1"/>
  <c r="N231" i="15"/>
  <c r="C231" i="15"/>
  <c r="B57" i="15"/>
  <c r="D61" i="34"/>
  <c r="C61" i="34"/>
  <c r="D32" i="34"/>
  <c r="E61" i="34"/>
  <c r="C53" i="34"/>
  <c r="E110" i="34"/>
  <c r="D110" i="34"/>
  <c r="C110" i="34"/>
  <c r="D231" i="15"/>
  <c r="M231" i="15"/>
  <c r="B18" i="15"/>
  <c r="B19" i="15"/>
  <c r="L102" i="119"/>
  <c r="C80" i="119"/>
  <c r="D80" i="119" s="1"/>
  <c r="I231" i="15"/>
  <c r="F171" i="15"/>
  <c r="B161" i="15"/>
  <c r="F170" i="15"/>
  <c r="F148" i="15"/>
  <c r="B163" i="15"/>
  <c r="F151" i="15"/>
  <c r="F172" i="15"/>
  <c r="B162" i="15"/>
  <c r="F166" i="15"/>
  <c r="B166" i="15"/>
  <c r="F144" i="15"/>
  <c r="B179" i="15"/>
  <c r="B152" i="15"/>
  <c r="B145" i="15"/>
  <c r="F150" i="15"/>
  <c r="F174" i="15"/>
  <c r="B176" i="15"/>
  <c r="F178" i="15"/>
  <c r="F147" i="15"/>
  <c r="F155" i="15"/>
  <c r="F161" i="15"/>
  <c r="B154" i="15"/>
  <c r="B147" i="15"/>
  <c r="B150" i="15"/>
  <c r="F165" i="15"/>
  <c r="F175" i="15"/>
  <c r="B165" i="15"/>
  <c r="B168" i="15"/>
  <c r="F164" i="15"/>
  <c r="F158" i="15"/>
  <c r="B155" i="15"/>
  <c r="B171" i="15"/>
  <c r="B174" i="15"/>
  <c r="F149" i="15"/>
  <c r="F156" i="15"/>
  <c r="B158" i="15"/>
  <c r="F157" i="15"/>
  <c r="B142" i="15"/>
  <c r="B170" i="15"/>
  <c r="B139" i="15"/>
  <c r="B157" i="15"/>
  <c r="F141" i="15"/>
  <c r="B143" i="15"/>
  <c r="F152" i="15"/>
  <c r="F168" i="15"/>
  <c r="F167" i="15"/>
  <c r="F169" i="15"/>
  <c r="F176" i="15"/>
  <c r="F180" i="15"/>
  <c r="F139" i="15"/>
  <c r="F145" i="15"/>
  <c r="B144" i="15"/>
  <c r="F173" i="15"/>
  <c r="B141" i="15"/>
  <c r="B172" i="15"/>
  <c r="B153" i="15"/>
  <c r="F140" i="15"/>
  <c r="F181" i="15"/>
  <c r="F146" i="15"/>
  <c r="F159" i="15"/>
  <c r="B178" i="15"/>
  <c r="B164" i="15"/>
  <c r="F153" i="15"/>
  <c r="F163" i="15"/>
  <c r="B173" i="15"/>
  <c r="F143" i="15"/>
  <c r="B169" i="15"/>
  <c r="F142" i="15"/>
  <c r="B140" i="15"/>
  <c r="B146" i="15"/>
  <c r="F162" i="15"/>
  <c r="B159" i="15"/>
  <c r="F204" i="15" l="1"/>
  <c r="F202" i="15"/>
  <c r="F217" i="15"/>
  <c r="F218" i="15"/>
  <c r="F197" i="15"/>
  <c r="F190" i="15"/>
  <c r="F199" i="15"/>
  <c r="F200" i="15"/>
  <c r="F211" i="15"/>
  <c r="F195" i="15"/>
  <c r="F205" i="15"/>
  <c r="F194" i="15"/>
  <c r="F216" i="15"/>
  <c r="F220" i="15"/>
  <c r="F223" i="15"/>
  <c r="F206" i="15"/>
  <c r="F209" i="15"/>
  <c r="F191" i="15"/>
  <c r="F198" i="15"/>
  <c r="F228" i="15"/>
  <c r="F225" i="15"/>
  <c r="F193" i="15"/>
  <c r="F222" i="15"/>
  <c r="F221" i="15"/>
  <c r="F215" i="15"/>
  <c r="F219" i="15"/>
  <c r="F196" i="15"/>
  <c r="F210" i="15"/>
  <c r="F214" i="15"/>
  <c r="F213" i="15"/>
  <c r="F212" i="15"/>
  <c r="F203" i="15"/>
  <c r="F208" i="15"/>
  <c r="F227" i="15"/>
  <c r="F189" i="15"/>
  <c r="F192" i="15"/>
  <c r="E25" i="15"/>
  <c r="L103" i="119"/>
  <c r="O88" i="15"/>
  <c r="B209" i="15"/>
  <c r="O83" i="15"/>
  <c r="B204" i="15"/>
  <c r="O98" i="15"/>
  <c r="B219" i="15"/>
  <c r="B201" i="15"/>
  <c r="O80" i="15"/>
  <c r="B225" i="15"/>
  <c r="O104" i="15"/>
  <c r="B216" i="15"/>
  <c r="O95" i="15"/>
  <c r="O81" i="15"/>
  <c r="B202" i="15"/>
  <c r="O102" i="15"/>
  <c r="B223" i="15"/>
  <c r="B193" i="15"/>
  <c r="O72" i="15"/>
  <c r="B194" i="15"/>
  <c r="O73" i="15"/>
  <c r="B210" i="15"/>
  <c r="O89" i="15"/>
  <c r="O85" i="15"/>
  <c r="B206" i="15"/>
  <c r="B218" i="15"/>
  <c r="O97" i="15"/>
  <c r="O71" i="15"/>
  <c r="B192" i="15"/>
  <c r="O69" i="15"/>
  <c r="B190" i="15"/>
  <c r="B226" i="15"/>
  <c r="O105" i="15"/>
  <c r="O91" i="15"/>
  <c r="B212" i="15"/>
  <c r="O78" i="15"/>
  <c r="B199" i="15"/>
  <c r="O96" i="15"/>
  <c r="B217" i="15"/>
  <c r="O68" i="15"/>
  <c r="B189" i="15"/>
  <c r="O99" i="15"/>
  <c r="B220" i="15"/>
  <c r="O90" i="15"/>
  <c r="B211" i="15"/>
  <c r="B208" i="15"/>
  <c r="O87" i="15"/>
  <c r="B200" i="15"/>
  <c r="O79" i="15"/>
  <c r="O70" i="15"/>
  <c r="B191" i="15"/>
  <c r="B205" i="15"/>
  <c r="O84" i="15"/>
  <c r="O100" i="15"/>
  <c r="B221" i="15"/>
  <c r="O92" i="15"/>
  <c r="B213" i="15"/>
  <c r="B197" i="15"/>
  <c r="O76" i="15"/>
  <c r="B215" i="15"/>
  <c r="O94" i="15"/>
  <c r="G231" i="15"/>
  <c r="G232" i="15" s="1"/>
  <c r="G233" i="15" s="1"/>
  <c r="I38" i="34" s="1"/>
  <c r="F100" i="34"/>
  <c r="F101" i="34"/>
  <c r="D38" i="34"/>
  <c r="D116" i="34"/>
  <c r="D67" i="34"/>
  <c r="C116" i="34"/>
  <c r="C67" i="34"/>
  <c r="E67" i="34"/>
  <c r="E116" i="34"/>
  <c r="E66" i="34"/>
  <c r="D66" i="34"/>
  <c r="E115" i="34"/>
  <c r="C115" i="34"/>
  <c r="D37" i="34"/>
  <c r="D115" i="34"/>
  <c r="C66" i="34"/>
  <c r="C54" i="34"/>
  <c r="F95" i="34"/>
  <c r="G85" i="34" s="1"/>
  <c r="G86" i="34" s="1"/>
  <c r="E85" i="34"/>
  <c r="E86" i="34" s="1"/>
  <c r="C203" i="119"/>
  <c r="D203" i="119" s="1"/>
  <c r="I232" i="15"/>
  <c r="M232" i="15"/>
  <c r="D232" i="15"/>
  <c r="E232" i="15"/>
  <c r="H232" i="15"/>
  <c r="L232" i="15"/>
  <c r="C232" i="15"/>
  <c r="N232" i="15"/>
  <c r="F110" i="34"/>
  <c r="P106" i="15"/>
  <c r="P84" i="15"/>
  <c r="P107" i="15"/>
  <c r="P93" i="15"/>
  <c r="P101" i="15"/>
  <c r="P72" i="15"/>
  <c r="P104" i="15"/>
  <c r="P92" i="15"/>
  <c r="P75" i="15"/>
  <c r="P94" i="15"/>
  <c r="P98" i="15"/>
  <c r="P82" i="15"/>
  <c r="P81" i="15"/>
  <c r="P95" i="15"/>
  <c r="P80" i="15"/>
  <c r="P70" i="15"/>
  <c r="P105" i="15"/>
  <c r="P103" i="15"/>
  <c r="P91" i="15"/>
  <c r="P85" i="15"/>
  <c r="P99" i="15"/>
  <c r="P88" i="15"/>
  <c r="P86" i="15"/>
  <c r="P79" i="15"/>
  <c r="P89" i="15"/>
  <c r="P73" i="15"/>
  <c r="P76" i="15"/>
  <c r="P100" i="15"/>
  <c r="P83" i="15"/>
  <c r="P78" i="15"/>
  <c r="P96" i="15"/>
  <c r="P90" i="15"/>
  <c r="P69" i="15"/>
  <c r="P87" i="15"/>
  <c r="P97" i="15"/>
  <c r="P77" i="15"/>
  <c r="P71" i="15"/>
  <c r="P102" i="15"/>
  <c r="P74" i="15"/>
  <c r="P68" i="15"/>
  <c r="C22" i="33"/>
  <c r="D86" i="34"/>
  <c r="AC55" i="15"/>
  <c r="AC57" i="15" s="1"/>
  <c r="C5" i="24"/>
  <c r="C90" i="6"/>
  <c r="C122" i="6" s="1"/>
  <c r="F231" i="15" l="1"/>
  <c r="F232" i="15" s="1"/>
  <c r="F233" i="15" s="1"/>
  <c r="I37" i="34" s="1"/>
  <c r="B231" i="15"/>
  <c r="B232" i="15" s="1"/>
  <c r="B233" i="15" s="1"/>
  <c r="I32" i="34" s="1"/>
  <c r="O116" i="15"/>
  <c r="O117" i="15" s="1"/>
  <c r="T48" i="119" s="1"/>
  <c r="E165" i="119" s="1"/>
  <c r="O115" i="15"/>
  <c r="B122" i="15" s="1"/>
  <c r="O114" i="15"/>
  <c r="F116" i="34"/>
  <c r="F115" i="34"/>
  <c r="B204" i="119"/>
  <c r="C204" i="119" s="1"/>
  <c r="B205" i="119" s="1"/>
  <c r="J36" i="33"/>
  <c r="C21" i="33"/>
  <c r="C23" i="33"/>
  <c r="D121" i="6"/>
  <c r="E121" i="6" s="1"/>
  <c r="D122" i="6"/>
  <c r="D123" i="6"/>
  <c r="E123" i="6" s="1"/>
  <c r="D125" i="6"/>
  <c r="E125" i="6" s="1"/>
  <c r="D118" i="6"/>
  <c r="E118" i="6" s="1"/>
  <c r="D105" i="6"/>
  <c r="E105" i="6" s="1"/>
  <c r="E106" i="6" s="1"/>
  <c r="E108" i="6" s="1"/>
  <c r="B52" i="15" s="1"/>
  <c r="K65" i="15" s="1"/>
  <c r="P114" i="15"/>
  <c r="P116" i="15"/>
  <c r="P117" i="15" s="1"/>
  <c r="U48" i="119" s="1"/>
  <c r="E166" i="119" s="1"/>
  <c r="P115" i="15"/>
  <c r="B123" i="15" s="1"/>
  <c r="C38" i="33"/>
  <c r="D204" i="119" l="1"/>
  <c r="C205" i="119"/>
  <c r="D205" i="119" s="1"/>
  <c r="C53" i="33"/>
  <c r="C55" i="33" s="1"/>
  <c r="E122" i="6"/>
  <c r="C68" i="33"/>
  <c r="C26" i="33" s="1"/>
  <c r="C24" i="33"/>
  <c r="K114" i="15"/>
  <c r="K116" i="15"/>
  <c r="K117" i="15" s="1"/>
  <c r="Q48" i="119" s="1"/>
  <c r="E162" i="119" s="1"/>
  <c r="K115" i="15"/>
  <c r="J133" i="15" l="1"/>
  <c r="F42" i="34" s="1"/>
  <c r="B206" i="119"/>
  <c r="C54" i="33"/>
  <c r="C107" i="33"/>
  <c r="C99" i="33"/>
  <c r="C95" i="33"/>
  <c r="C83" i="33"/>
  <c r="C106" i="33"/>
  <c r="C82" i="33"/>
  <c r="C94" i="33"/>
  <c r="C98" i="33"/>
  <c r="C56" i="33"/>
  <c r="C57" i="33"/>
  <c r="C75" i="33"/>
  <c r="C70" i="33"/>
  <c r="C71" i="33" s="1"/>
  <c r="C74" i="33"/>
  <c r="J31" i="33" s="1"/>
  <c r="J34" i="33" s="1"/>
  <c r="J131" i="15" l="1"/>
  <c r="J185" i="15" s="1"/>
  <c r="D87" i="34"/>
  <c r="D88" i="34" s="1"/>
  <c r="F47" i="34"/>
  <c r="C47" i="34" s="1"/>
  <c r="K139" i="15"/>
  <c r="K140" i="15"/>
  <c r="K141" i="15"/>
  <c r="K142" i="15"/>
  <c r="Q68" i="15" s="1"/>
  <c r="K143" i="15"/>
  <c r="Q69" i="15" s="1"/>
  <c r="K144" i="15"/>
  <c r="Q70" i="15" s="1"/>
  <c r="K145" i="15"/>
  <c r="Q71" i="15" s="1"/>
  <c r="K146" i="15"/>
  <c r="Q72" i="15" s="1"/>
  <c r="K147" i="15"/>
  <c r="Q73" i="15" s="1"/>
  <c r="K148" i="15"/>
  <c r="Q74" i="15" s="1"/>
  <c r="K149" i="15"/>
  <c r="Q75" i="15" s="1"/>
  <c r="K150" i="15"/>
  <c r="Q76" i="15" s="1"/>
  <c r="K151" i="15"/>
  <c r="Q77" i="15" s="1"/>
  <c r="K152" i="15"/>
  <c r="Q78" i="15" s="1"/>
  <c r="K153" i="15"/>
  <c r="Q79" i="15" s="1"/>
  <c r="K154" i="15"/>
  <c r="Q80" i="15" s="1"/>
  <c r="K155" i="15"/>
  <c r="Q81" i="15" s="1"/>
  <c r="K156" i="15"/>
  <c r="Q82" i="15" s="1"/>
  <c r="K157" i="15"/>
  <c r="Q83" i="15" s="1"/>
  <c r="K158" i="15"/>
  <c r="Q84" i="15" s="1"/>
  <c r="K159" i="15"/>
  <c r="Q85" i="15" s="1"/>
  <c r="K160" i="15"/>
  <c r="Q86" i="15" s="1"/>
  <c r="K161" i="15"/>
  <c r="Q87" i="15" s="1"/>
  <c r="K162" i="15"/>
  <c r="Q88" i="15" s="1"/>
  <c r="K163" i="15"/>
  <c r="Q89" i="15" s="1"/>
  <c r="K164" i="15"/>
  <c r="Q90" i="15" s="1"/>
  <c r="K165" i="15"/>
  <c r="Q91" i="15" s="1"/>
  <c r="K166" i="15"/>
  <c r="Q92" i="15" s="1"/>
  <c r="K167" i="15"/>
  <c r="Q93" i="15" s="1"/>
  <c r="K168" i="15"/>
  <c r="Q94" i="15" s="1"/>
  <c r="K169" i="15"/>
  <c r="Q95" i="15" s="1"/>
  <c r="K170" i="15"/>
  <c r="Q96" i="15" s="1"/>
  <c r="K171" i="15"/>
  <c r="Q97" i="15" s="1"/>
  <c r="K172" i="15"/>
  <c r="Q98" i="15" s="1"/>
  <c r="K173" i="15"/>
  <c r="Q99" i="15" s="1"/>
  <c r="K174" i="15"/>
  <c r="Q100" i="15" s="1"/>
  <c r="K175" i="15"/>
  <c r="Q101" i="15" s="1"/>
  <c r="K176" i="15"/>
  <c r="Q102" i="15" s="1"/>
  <c r="K177" i="15"/>
  <c r="Q103" i="15" s="1"/>
  <c r="K178" i="15"/>
  <c r="Q104" i="15" s="1"/>
  <c r="K179" i="15"/>
  <c r="Q105" i="15" s="1"/>
  <c r="K180" i="15"/>
  <c r="Q106" i="15" s="1"/>
  <c r="K181" i="15"/>
  <c r="Q107" i="15" s="1"/>
  <c r="C206" i="119"/>
  <c r="D206" i="119" s="1"/>
  <c r="C100" i="33"/>
  <c r="E18" i="17" s="1"/>
  <c r="F18" i="17" s="1"/>
  <c r="C58" i="33"/>
  <c r="J40" i="33"/>
  <c r="J22" i="33"/>
  <c r="G21" i="34"/>
  <c r="K45" i="33"/>
  <c r="J25" i="33"/>
  <c r="C78" i="33"/>
  <c r="J38" i="33" s="1"/>
  <c r="J23" i="33"/>
  <c r="C86" i="33"/>
  <c r="J39" i="33" s="1"/>
  <c r="J24" i="33"/>
  <c r="J27" i="33" l="1"/>
  <c r="J135" i="15"/>
  <c r="J137" i="15"/>
  <c r="J132" i="15"/>
  <c r="J136" i="15" s="1"/>
  <c r="B42" i="34"/>
  <c r="H42" i="34" s="1"/>
  <c r="J134" i="15"/>
  <c r="K224" i="15"/>
  <c r="K216" i="15"/>
  <c r="K208" i="15"/>
  <c r="K200" i="15"/>
  <c r="K192" i="15"/>
  <c r="K223" i="15"/>
  <c r="K215" i="15"/>
  <c r="K207" i="15"/>
  <c r="K199" i="15"/>
  <c r="K191" i="15"/>
  <c r="K222" i="15"/>
  <c r="K214" i="15"/>
  <c r="K206" i="15"/>
  <c r="K198" i="15"/>
  <c r="K190" i="15"/>
  <c r="K221" i="15"/>
  <c r="K213" i="15"/>
  <c r="K205" i="15"/>
  <c r="K197" i="15"/>
  <c r="K189" i="15"/>
  <c r="K228" i="15"/>
  <c r="K220" i="15"/>
  <c r="K212" i="15"/>
  <c r="K204" i="15"/>
  <c r="K196" i="15"/>
  <c r="K227" i="15"/>
  <c r="K219" i="15"/>
  <c r="K211" i="15"/>
  <c r="K203" i="15"/>
  <c r="K195" i="15"/>
  <c r="K226" i="15"/>
  <c r="K218" i="15"/>
  <c r="K210" i="15"/>
  <c r="K202" i="15"/>
  <c r="K194" i="15"/>
  <c r="K225" i="15"/>
  <c r="K217" i="15"/>
  <c r="K209" i="15"/>
  <c r="K201" i="15"/>
  <c r="K193" i="15"/>
  <c r="D47" i="34"/>
  <c r="C57" i="34"/>
  <c r="B207" i="119"/>
  <c r="E46" i="17"/>
  <c r="F46" i="17" s="1"/>
  <c r="E27" i="17"/>
  <c r="F27" i="17" s="1"/>
  <c r="E26" i="17"/>
  <c r="F26" i="17" s="1"/>
  <c r="E47" i="17"/>
  <c r="F47" i="17" s="1"/>
  <c r="E29" i="17"/>
  <c r="F29" i="17" s="1"/>
  <c r="E21" i="17"/>
  <c r="F21" i="17" s="1"/>
  <c r="E42" i="17"/>
  <c r="F42" i="17" s="1"/>
  <c r="E40" i="17"/>
  <c r="F40" i="17" s="1"/>
  <c r="E36" i="17"/>
  <c r="F36" i="17" s="1"/>
  <c r="E25" i="17"/>
  <c r="F25" i="17" s="1"/>
  <c r="E32" i="17"/>
  <c r="F32" i="17" s="1"/>
  <c r="E53" i="17"/>
  <c r="F53" i="17" s="1"/>
  <c r="E39" i="17"/>
  <c r="F39" i="17" s="1"/>
  <c r="E43" i="17"/>
  <c r="F43" i="17" s="1"/>
  <c r="E31" i="17"/>
  <c r="F31" i="17" s="1"/>
  <c r="E57" i="17"/>
  <c r="F57" i="17" s="1"/>
  <c r="E28" i="17"/>
  <c r="F28" i="17" s="1"/>
  <c r="E20" i="17"/>
  <c r="F20" i="17" s="1"/>
  <c r="E54" i="17"/>
  <c r="F54" i="17" s="1"/>
  <c r="E30" i="17"/>
  <c r="F30" i="17" s="1"/>
  <c r="E45" i="17"/>
  <c r="F45" i="17" s="1"/>
  <c r="E24" i="17"/>
  <c r="F24" i="17" s="1"/>
  <c r="E50" i="17"/>
  <c r="F50" i="17" s="1"/>
  <c r="E49" i="17"/>
  <c r="F49" i="17" s="1"/>
  <c r="E19" i="17"/>
  <c r="F19" i="17" s="1"/>
  <c r="E38" i="17"/>
  <c r="F38" i="17" s="1"/>
  <c r="E34" i="17"/>
  <c r="F34" i="17" s="1"/>
  <c r="E35" i="17"/>
  <c r="F35" i="17" s="1"/>
  <c r="E52" i="17"/>
  <c r="F52" i="17" s="1"/>
  <c r="E33" i="17"/>
  <c r="F33" i="17" s="1"/>
  <c r="E37" i="17"/>
  <c r="F37" i="17" s="1"/>
  <c r="E41" i="17"/>
  <c r="F41" i="17" s="1"/>
  <c r="E51" i="17"/>
  <c r="F51" i="17" s="1"/>
  <c r="E55" i="17"/>
  <c r="F55" i="17" s="1"/>
  <c r="E48" i="17"/>
  <c r="F48" i="17" s="1"/>
  <c r="E22" i="17"/>
  <c r="F22" i="17" s="1"/>
  <c r="E44" i="17"/>
  <c r="F44" i="17" s="1"/>
  <c r="E23" i="17"/>
  <c r="F23" i="17" s="1"/>
  <c r="E56" i="17"/>
  <c r="F56" i="17" s="1"/>
  <c r="G20" i="34"/>
  <c r="H21" i="34"/>
  <c r="J26" i="33"/>
  <c r="J148" i="15"/>
  <c r="J172" i="15"/>
  <c r="J178" i="15"/>
  <c r="J154" i="15"/>
  <c r="J150" i="15"/>
  <c r="J141" i="15"/>
  <c r="J174" i="15"/>
  <c r="J173" i="15"/>
  <c r="J177" i="15"/>
  <c r="J143" i="15"/>
  <c r="J162" i="15"/>
  <c r="J169" i="15"/>
  <c r="J155" i="15"/>
  <c r="J165" i="15"/>
  <c r="J175" i="15"/>
  <c r="J164" i="15"/>
  <c r="J140" i="15"/>
  <c r="J170" i="15"/>
  <c r="J160" i="15"/>
  <c r="J158" i="15"/>
  <c r="J176" i="15"/>
  <c r="J161" i="15"/>
  <c r="J171" i="15"/>
  <c r="J168" i="15"/>
  <c r="J139" i="15"/>
  <c r="J144" i="15"/>
  <c r="J181" i="15"/>
  <c r="J157" i="15"/>
  <c r="J153" i="15"/>
  <c r="J179" i="15"/>
  <c r="J142" i="15"/>
  <c r="J146" i="15"/>
  <c r="J167" i="15"/>
  <c r="J145" i="15"/>
  <c r="J166" i="15"/>
  <c r="J151" i="15"/>
  <c r="J159" i="15"/>
  <c r="J180" i="15"/>
  <c r="E42" i="34" l="1"/>
  <c r="C42" i="34" s="1"/>
  <c r="C55" i="34" s="1"/>
  <c r="D52" i="34" s="1"/>
  <c r="B71" i="34"/>
  <c r="B120" i="34"/>
  <c r="B105" i="34"/>
  <c r="G42" i="34"/>
  <c r="J197" i="15"/>
  <c r="Q116" i="15"/>
  <c r="Q118" i="15" s="1"/>
  <c r="L48" i="119" s="1"/>
  <c r="E156" i="119" s="1"/>
  <c r="Q115" i="15"/>
  <c r="B124" i="15" s="1"/>
  <c r="Q114" i="15"/>
  <c r="K231" i="15"/>
  <c r="K232" i="15" s="1"/>
  <c r="K233" i="15" s="1"/>
  <c r="I47" i="34" s="1"/>
  <c r="J225" i="15"/>
  <c r="J205" i="15"/>
  <c r="J227" i="15"/>
  <c r="J215" i="15"/>
  <c r="J189" i="15"/>
  <c r="J223" i="15"/>
  <c r="J209" i="15"/>
  <c r="J206" i="15"/>
  <c r="J208" i="15"/>
  <c r="J218" i="15"/>
  <c r="J226" i="15"/>
  <c r="J216" i="15"/>
  <c r="J195" i="15"/>
  <c r="J201" i="15"/>
  <c r="J202" i="15"/>
  <c r="J217" i="15"/>
  <c r="J211" i="15"/>
  <c r="J190" i="15"/>
  <c r="J198" i="15"/>
  <c r="J193" i="15"/>
  <c r="J207" i="15"/>
  <c r="J212" i="15"/>
  <c r="J214" i="15"/>
  <c r="J191" i="15"/>
  <c r="J219" i="15"/>
  <c r="J192" i="15"/>
  <c r="J220" i="15"/>
  <c r="J213" i="15"/>
  <c r="J222" i="15"/>
  <c r="J224" i="15"/>
  <c r="J204" i="15"/>
  <c r="J228" i="15"/>
  <c r="J221" i="15"/>
  <c r="J200" i="15"/>
  <c r="C207" i="119"/>
  <c r="D207" i="119" s="1"/>
  <c r="E160" i="6"/>
  <c r="B58" i="15" s="1"/>
  <c r="C91" i="6"/>
  <c r="J43" i="33"/>
  <c r="K46" i="33" s="1"/>
  <c r="G19" i="34"/>
  <c r="G22" i="34" s="1"/>
  <c r="K47" i="33"/>
  <c r="H19" i="34" s="1"/>
  <c r="J152" i="15"/>
  <c r="J147" i="15"/>
  <c r="J156" i="15"/>
  <c r="J163" i="15"/>
  <c r="J149" i="15"/>
  <c r="C100" i="6" l="1"/>
  <c r="E100" i="6" s="1"/>
  <c r="C94" i="6"/>
  <c r="E94" i="6" s="1"/>
  <c r="C97" i="6"/>
  <c r="E97" i="6" s="1"/>
  <c r="J196" i="15"/>
  <c r="J210" i="15"/>
  <c r="J194" i="15"/>
  <c r="J203" i="15"/>
  <c r="J199" i="15"/>
  <c r="E105" i="34"/>
  <c r="F83" i="34" s="1"/>
  <c r="F89" i="34" s="1"/>
  <c r="C105" i="34"/>
  <c r="D83" i="34" s="1"/>
  <c r="D84" i="34" s="1"/>
  <c r="E162" i="6" s="1"/>
  <c r="D105" i="34"/>
  <c r="E83" i="34" s="1"/>
  <c r="E84" i="34" s="1"/>
  <c r="B208" i="119"/>
  <c r="C120" i="34"/>
  <c r="C121" i="34" s="1"/>
  <c r="D77" i="34" s="1"/>
  <c r="D120" i="34"/>
  <c r="D121" i="34" s="1"/>
  <c r="E77" i="34" s="1"/>
  <c r="E120" i="34"/>
  <c r="E121" i="34" s="1"/>
  <c r="F77" i="34" s="1"/>
  <c r="C71" i="34"/>
  <c r="E71" i="34"/>
  <c r="D71" i="34"/>
  <c r="D42" i="34"/>
  <c r="H20" i="34"/>
  <c r="H22" i="34" s="1"/>
  <c r="K48" i="33"/>
  <c r="R104" i="15"/>
  <c r="R88" i="15"/>
  <c r="R77" i="15"/>
  <c r="R74" i="15"/>
  <c r="R68" i="15"/>
  <c r="R100" i="15"/>
  <c r="R96" i="15"/>
  <c r="R92" i="15"/>
  <c r="R71" i="15"/>
  <c r="R79" i="15"/>
  <c r="R103" i="15"/>
  <c r="R91" i="15"/>
  <c r="R87" i="15"/>
  <c r="R69" i="15"/>
  <c r="R107" i="15"/>
  <c r="R99" i="15"/>
  <c r="R95" i="15"/>
  <c r="R70" i="15"/>
  <c r="R81" i="15"/>
  <c r="R78" i="15"/>
  <c r="R98" i="15"/>
  <c r="R94" i="15"/>
  <c r="R86" i="15"/>
  <c r="R85" i="15"/>
  <c r="R75" i="15"/>
  <c r="R106" i="15"/>
  <c r="R102" i="15"/>
  <c r="R90" i="15"/>
  <c r="R83" i="15"/>
  <c r="R80" i="15"/>
  <c r="R76" i="15"/>
  <c r="R105" i="15"/>
  <c r="R101" i="15"/>
  <c r="R97" i="15"/>
  <c r="R93" i="15"/>
  <c r="R89" i="15"/>
  <c r="R72" i="15"/>
  <c r="R84" i="15"/>
  <c r="R82" i="15"/>
  <c r="R73" i="15"/>
  <c r="C95" i="6"/>
  <c r="E95" i="6" s="1"/>
  <c r="J231" i="15" l="1"/>
  <c r="J232" i="15" s="1"/>
  <c r="J233" i="15" s="1"/>
  <c r="D89" i="34"/>
  <c r="D78" i="34" s="1"/>
  <c r="D80" i="34" s="1"/>
  <c r="F84" i="34"/>
  <c r="E89" i="34"/>
  <c r="E90" i="34" s="1"/>
  <c r="F105" i="34"/>
  <c r="G83" i="34" s="1"/>
  <c r="G84" i="34" s="1"/>
  <c r="C208" i="119"/>
  <c r="D208" i="119" s="1"/>
  <c r="F120" i="34"/>
  <c r="F121" i="34" s="1"/>
  <c r="G77" i="34" s="1"/>
  <c r="E164" i="6" s="1"/>
  <c r="E165" i="6" s="1"/>
  <c r="E101" i="6"/>
  <c r="G26" i="17" s="1"/>
  <c r="H26" i="17" s="1"/>
  <c r="I76" i="15" s="1"/>
  <c r="R114" i="15"/>
  <c r="R116" i="15"/>
  <c r="R117" i="15" s="1"/>
  <c r="V48" i="119" s="1"/>
  <c r="E167" i="119" s="1"/>
  <c r="R115" i="15"/>
  <c r="B125" i="15" s="1"/>
  <c r="F78" i="34"/>
  <c r="F80" i="34" s="1"/>
  <c r="F90" i="34"/>
  <c r="G89" i="34" l="1"/>
  <c r="G90" i="34" s="1"/>
  <c r="D90" i="34"/>
  <c r="E78" i="34"/>
  <c r="E80" i="34" s="1"/>
  <c r="B209" i="119"/>
  <c r="G49" i="17"/>
  <c r="H49" i="17" s="1"/>
  <c r="I99" i="15" s="1"/>
  <c r="B83" i="14" s="1"/>
  <c r="G37" i="17"/>
  <c r="H37" i="17" s="1"/>
  <c r="I87" i="15" s="1"/>
  <c r="B71" i="14" s="1"/>
  <c r="G20" i="17"/>
  <c r="H20" i="17" s="1"/>
  <c r="I70" i="15" s="1"/>
  <c r="B54" i="14" s="1"/>
  <c r="G43" i="17"/>
  <c r="H43" i="17" s="1"/>
  <c r="I93" i="15" s="1"/>
  <c r="B77" i="14" s="1"/>
  <c r="G39" i="17"/>
  <c r="H39" i="17" s="1"/>
  <c r="I89" i="15" s="1"/>
  <c r="B73" i="14" s="1"/>
  <c r="G30" i="17"/>
  <c r="H30" i="17" s="1"/>
  <c r="I80" i="15" s="1"/>
  <c r="B64" i="14" s="1"/>
  <c r="G54" i="17"/>
  <c r="H54" i="17" s="1"/>
  <c r="I104" i="15" s="1"/>
  <c r="B88" i="14" s="1"/>
  <c r="G40" i="17"/>
  <c r="H40" i="17" s="1"/>
  <c r="I90" i="15" s="1"/>
  <c r="B74" i="14" s="1"/>
  <c r="G18" i="17"/>
  <c r="H18" i="17" s="1"/>
  <c r="I68" i="15" s="1"/>
  <c r="G47" i="17"/>
  <c r="H47" i="17" s="1"/>
  <c r="I97" i="15" s="1"/>
  <c r="B81" i="14" s="1"/>
  <c r="G46" i="17"/>
  <c r="H46" i="17" s="1"/>
  <c r="I96" i="15" s="1"/>
  <c r="B80" i="14" s="1"/>
  <c r="G57" i="17"/>
  <c r="H57" i="17" s="1"/>
  <c r="I107" i="15" s="1"/>
  <c r="B91" i="14" s="1"/>
  <c r="G23" i="17"/>
  <c r="H23" i="17" s="1"/>
  <c r="I73" i="15" s="1"/>
  <c r="B57" i="14" s="1"/>
  <c r="G56" i="17"/>
  <c r="H56" i="17" s="1"/>
  <c r="I106" i="15" s="1"/>
  <c r="B90" i="14" s="1"/>
  <c r="G53" i="17"/>
  <c r="H53" i="17" s="1"/>
  <c r="I103" i="15" s="1"/>
  <c r="B87" i="14" s="1"/>
  <c r="G51" i="17"/>
  <c r="H51" i="17" s="1"/>
  <c r="I101" i="15" s="1"/>
  <c r="B85" i="14" s="1"/>
  <c r="G25" i="17"/>
  <c r="H25" i="17" s="1"/>
  <c r="I75" i="15" s="1"/>
  <c r="B59" i="14" s="1"/>
  <c r="G38" i="17"/>
  <c r="H38" i="17" s="1"/>
  <c r="I88" i="15" s="1"/>
  <c r="B72" i="14" s="1"/>
  <c r="G34" i="17"/>
  <c r="H34" i="17" s="1"/>
  <c r="I84" i="15" s="1"/>
  <c r="B68" i="14" s="1"/>
  <c r="G31" i="17"/>
  <c r="H31" i="17" s="1"/>
  <c r="I81" i="15" s="1"/>
  <c r="B65" i="14" s="1"/>
  <c r="G19" i="17"/>
  <c r="H19" i="17" s="1"/>
  <c r="I69" i="15" s="1"/>
  <c r="B53" i="14" s="1"/>
  <c r="C110" i="6"/>
  <c r="C15" i="34" s="1"/>
  <c r="G50" i="17"/>
  <c r="H50" i="17" s="1"/>
  <c r="I100" i="15" s="1"/>
  <c r="B84" i="14" s="1"/>
  <c r="G27" i="17"/>
  <c r="H27" i="17" s="1"/>
  <c r="I77" i="15" s="1"/>
  <c r="B61" i="14" s="1"/>
  <c r="G21" i="17"/>
  <c r="H21" i="17" s="1"/>
  <c r="I71" i="15" s="1"/>
  <c r="B55" i="14" s="1"/>
  <c r="G48" i="17"/>
  <c r="H48" i="17" s="1"/>
  <c r="I98" i="15" s="1"/>
  <c r="B82" i="14" s="1"/>
  <c r="G42" i="17"/>
  <c r="H42" i="17" s="1"/>
  <c r="I92" i="15" s="1"/>
  <c r="B76" i="14" s="1"/>
  <c r="G35" i="17"/>
  <c r="H35" i="17" s="1"/>
  <c r="I85" i="15" s="1"/>
  <c r="B69" i="14" s="1"/>
  <c r="G32" i="17"/>
  <c r="H32" i="17" s="1"/>
  <c r="I82" i="15" s="1"/>
  <c r="B66" i="14" s="1"/>
  <c r="G55" i="17"/>
  <c r="H55" i="17" s="1"/>
  <c r="I105" i="15" s="1"/>
  <c r="B89" i="14" s="1"/>
  <c r="G41" i="17"/>
  <c r="H41" i="17" s="1"/>
  <c r="I91" i="15" s="1"/>
  <c r="B75" i="14" s="1"/>
  <c r="G24" i="17"/>
  <c r="H24" i="17" s="1"/>
  <c r="I74" i="15" s="1"/>
  <c r="B58" i="14" s="1"/>
  <c r="G22" i="17"/>
  <c r="H22" i="17" s="1"/>
  <c r="I72" i="15" s="1"/>
  <c r="B56" i="14" s="1"/>
  <c r="G33" i="17"/>
  <c r="H33" i="17" s="1"/>
  <c r="I83" i="15" s="1"/>
  <c r="B67" i="14" s="1"/>
  <c r="G44" i="17"/>
  <c r="H44" i="17" s="1"/>
  <c r="I94" i="15" s="1"/>
  <c r="B78" i="14" s="1"/>
  <c r="G52" i="17"/>
  <c r="H52" i="17" s="1"/>
  <c r="I102" i="15" s="1"/>
  <c r="B86" i="14" s="1"/>
  <c r="G36" i="17"/>
  <c r="H36" i="17" s="1"/>
  <c r="I86" i="15" s="1"/>
  <c r="B70" i="14" s="1"/>
  <c r="G45" i="17"/>
  <c r="H45" i="17" s="1"/>
  <c r="I95" i="15" s="1"/>
  <c r="B79" i="14" s="1"/>
  <c r="G29" i="17"/>
  <c r="H29" i="17" s="1"/>
  <c r="I79" i="15" s="1"/>
  <c r="B63" i="14" s="1"/>
  <c r="G28" i="17"/>
  <c r="H28" i="17" s="1"/>
  <c r="I78" i="15" s="1"/>
  <c r="B62" i="14" s="1"/>
  <c r="B60" i="14"/>
  <c r="G78" i="34" l="1"/>
  <c r="G80" i="34" s="1"/>
  <c r="C209" i="119"/>
  <c r="D209" i="119" s="1"/>
  <c r="B51" i="15"/>
  <c r="H65" i="15" s="1"/>
  <c r="E120" i="6"/>
  <c r="E126" i="6" s="1"/>
  <c r="C9" i="119" s="1"/>
  <c r="I199" i="119" s="1"/>
  <c r="C8" i="119"/>
  <c r="I116" i="15"/>
  <c r="I117" i="15" s="1"/>
  <c r="O48" i="119" s="1"/>
  <c r="E160" i="119" s="1"/>
  <c r="I114" i="15"/>
  <c r="I115" i="15"/>
  <c r="F60" i="14"/>
  <c r="Q60" i="14"/>
  <c r="U60" i="14"/>
  <c r="H60" i="14"/>
  <c r="T60" i="14"/>
  <c r="D60" i="14"/>
  <c r="O60" i="14"/>
  <c r="P60" i="14"/>
  <c r="K60" i="14"/>
  <c r="L60" i="14"/>
  <c r="V60" i="14"/>
  <c r="I60" i="14"/>
  <c r="R60" i="14"/>
  <c r="J60" i="14"/>
  <c r="S60" i="14"/>
  <c r="M60" i="14"/>
  <c r="E60" i="14"/>
  <c r="N60" i="14"/>
  <c r="G60" i="14"/>
  <c r="C60" i="14"/>
  <c r="W60" i="14"/>
  <c r="F79" i="14"/>
  <c r="S79" i="14"/>
  <c r="G79" i="14"/>
  <c r="O79" i="14"/>
  <c r="J79" i="14"/>
  <c r="N79" i="14"/>
  <c r="T79" i="14"/>
  <c r="K79" i="14"/>
  <c r="M79" i="14"/>
  <c r="U79" i="14"/>
  <c r="D79" i="14"/>
  <c r="L79" i="14"/>
  <c r="H79" i="14"/>
  <c r="P79" i="14"/>
  <c r="I79" i="14"/>
  <c r="V79" i="14"/>
  <c r="Q79" i="14"/>
  <c r="R79" i="14"/>
  <c r="E79" i="14"/>
  <c r="W79" i="14"/>
  <c r="C79" i="14"/>
  <c r="R74" i="14"/>
  <c r="H74" i="14"/>
  <c r="N74" i="14"/>
  <c r="K74" i="14"/>
  <c r="U74" i="14"/>
  <c r="M74" i="14"/>
  <c r="D74" i="14"/>
  <c r="L74" i="14"/>
  <c r="T74" i="14"/>
  <c r="V74" i="14"/>
  <c r="S74" i="14"/>
  <c r="G74" i="14"/>
  <c r="W74" i="14"/>
  <c r="J74" i="14"/>
  <c r="I74" i="14"/>
  <c r="Q74" i="14"/>
  <c r="E74" i="14"/>
  <c r="F74" i="14"/>
  <c r="P74" i="14"/>
  <c r="O74" i="14"/>
  <c r="C74" i="14"/>
  <c r="G56" i="14"/>
  <c r="U56" i="14"/>
  <c r="L56" i="14"/>
  <c r="R56" i="14"/>
  <c r="T56" i="14"/>
  <c r="H56" i="14"/>
  <c r="D56" i="14"/>
  <c r="I56" i="14"/>
  <c r="O56" i="14"/>
  <c r="K56" i="14"/>
  <c r="J56" i="14"/>
  <c r="S56" i="14"/>
  <c r="N56" i="14"/>
  <c r="F56" i="14"/>
  <c r="M56" i="14"/>
  <c r="Q56" i="14"/>
  <c r="E56" i="14"/>
  <c r="P56" i="14"/>
  <c r="V56" i="14"/>
  <c r="C56" i="14"/>
  <c r="W56" i="14"/>
  <c r="I73" i="14"/>
  <c r="N73" i="14"/>
  <c r="R73" i="14"/>
  <c r="H73" i="14"/>
  <c r="E73" i="14"/>
  <c r="M73" i="14"/>
  <c r="L73" i="14"/>
  <c r="V73" i="14"/>
  <c r="G73" i="14"/>
  <c r="J73" i="14"/>
  <c r="D73" i="14"/>
  <c r="W73" i="14"/>
  <c r="K73" i="14"/>
  <c r="T73" i="14"/>
  <c r="U73" i="14"/>
  <c r="Q73" i="14"/>
  <c r="F73" i="14"/>
  <c r="S73" i="14"/>
  <c r="O73" i="14"/>
  <c r="P73" i="14"/>
  <c r="C73" i="14"/>
  <c r="O71" i="14"/>
  <c r="Q71" i="14"/>
  <c r="S71" i="14"/>
  <c r="F71" i="14"/>
  <c r="L71" i="14"/>
  <c r="I71" i="14"/>
  <c r="T71" i="14"/>
  <c r="V71" i="14"/>
  <c r="M71" i="14"/>
  <c r="G71" i="14"/>
  <c r="J71" i="14"/>
  <c r="H71" i="14"/>
  <c r="N71" i="14"/>
  <c r="K71" i="14"/>
  <c r="E71" i="14"/>
  <c r="R71" i="14"/>
  <c r="P71" i="14"/>
  <c r="U71" i="14"/>
  <c r="D71" i="14"/>
  <c r="C71" i="14"/>
  <c r="W71" i="14"/>
  <c r="T59" i="14"/>
  <c r="E59" i="14"/>
  <c r="I59" i="14"/>
  <c r="V59" i="14"/>
  <c r="G59" i="14"/>
  <c r="F59" i="14"/>
  <c r="L59" i="14"/>
  <c r="M59" i="14"/>
  <c r="O59" i="14"/>
  <c r="R59" i="14"/>
  <c r="P59" i="14"/>
  <c r="K59" i="14"/>
  <c r="U59" i="14"/>
  <c r="S59" i="14"/>
  <c r="D59" i="14"/>
  <c r="N59" i="14"/>
  <c r="H59" i="14"/>
  <c r="J59" i="14"/>
  <c r="Q59" i="14"/>
  <c r="C59" i="14"/>
  <c r="W59" i="14"/>
  <c r="F68" i="14"/>
  <c r="R68" i="14"/>
  <c r="J68" i="14"/>
  <c r="G68" i="14"/>
  <c r="P68" i="14"/>
  <c r="L68" i="14"/>
  <c r="I68" i="14"/>
  <c r="O68" i="14"/>
  <c r="T68" i="14"/>
  <c r="E68" i="14"/>
  <c r="D68" i="14"/>
  <c r="Q68" i="14"/>
  <c r="N68" i="14"/>
  <c r="U68" i="14"/>
  <c r="K68" i="14"/>
  <c r="S68" i="14"/>
  <c r="V68" i="14"/>
  <c r="M68" i="14"/>
  <c r="H68" i="14"/>
  <c r="C68" i="14"/>
  <c r="W68" i="14"/>
  <c r="O85" i="14"/>
  <c r="U85" i="14"/>
  <c r="W85" i="14"/>
  <c r="J85" i="14"/>
  <c r="L85" i="14"/>
  <c r="V85" i="14"/>
  <c r="H85" i="14"/>
  <c r="D85" i="14"/>
  <c r="F85" i="14"/>
  <c r="Q85" i="14"/>
  <c r="K85" i="14"/>
  <c r="T85" i="14"/>
  <c r="S85" i="14"/>
  <c r="R85" i="14"/>
  <c r="G85" i="14"/>
  <c r="I85" i="14"/>
  <c r="N85" i="14"/>
  <c r="M85" i="14"/>
  <c r="P85" i="14"/>
  <c r="E85" i="14"/>
  <c r="C85" i="14"/>
  <c r="K63" i="14"/>
  <c r="O63" i="14"/>
  <c r="L63" i="14"/>
  <c r="D63" i="14"/>
  <c r="M63" i="14"/>
  <c r="H63" i="14"/>
  <c r="G63" i="14"/>
  <c r="F63" i="14"/>
  <c r="I63" i="14"/>
  <c r="S63" i="14"/>
  <c r="U63" i="14"/>
  <c r="E63" i="14"/>
  <c r="T63" i="14"/>
  <c r="Q63" i="14"/>
  <c r="N63" i="14"/>
  <c r="R63" i="14"/>
  <c r="J63" i="14"/>
  <c r="V63" i="14"/>
  <c r="P63" i="14"/>
  <c r="C63" i="14"/>
  <c r="W63" i="14"/>
  <c r="L53" i="14"/>
  <c r="V53" i="14"/>
  <c r="E53" i="14"/>
  <c r="F53" i="14"/>
  <c r="Q53" i="14"/>
  <c r="G53" i="14"/>
  <c r="R53" i="14"/>
  <c r="J53" i="14"/>
  <c r="K53" i="14"/>
  <c r="I53" i="14"/>
  <c r="O53" i="14"/>
  <c r="S53" i="14"/>
  <c r="U53" i="14"/>
  <c r="T53" i="14"/>
  <c r="D53" i="14"/>
  <c r="P53" i="14"/>
  <c r="M53" i="14"/>
  <c r="H53" i="14"/>
  <c r="N53" i="14"/>
  <c r="C53" i="14"/>
  <c r="W53" i="14"/>
  <c r="H86" i="14"/>
  <c r="I86" i="14"/>
  <c r="L86" i="14"/>
  <c r="J86" i="14"/>
  <c r="R86" i="14"/>
  <c r="T86" i="14"/>
  <c r="N86" i="14"/>
  <c r="D86" i="14"/>
  <c r="O86" i="14"/>
  <c r="F86" i="14"/>
  <c r="E86" i="14"/>
  <c r="K86" i="14"/>
  <c r="W86" i="14"/>
  <c r="U86" i="14"/>
  <c r="S86" i="14"/>
  <c r="Q86" i="14"/>
  <c r="M86" i="14"/>
  <c r="V86" i="14"/>
  <c r="P86" i="14"/>
  <c r="G86" i="14"/>
  <c r="C86" i="14"/>
  <c r="I80" i="14"/>
  <c r="U80" i="14"/>
  <c r="T80" i="14"/>
  <c r="H80" i="14"/>
  <c r="R80" i="14"/>
  <c r="S80" i="14"/>
  <c r="O80" i="14"/>
  <c r="G80" i="14"/>
  <c r="M80" i="14"/>
  <c r="P80" i="14"/>
  <c r="W80" i="14"/>
  <c r="V80" i="14"/>
  <c r="F80" i="14"/>
  <c r="Q80" i="14"/>
  <c r="K80" i="14"/>
  <c r="L80" i="14"/>
  <c r="D80" i="14"/>
  <c r="E80" i="14"/>
  <c r="N80" i="14"/>
  <c r="J80" i="14"/>
  <c r="C80" i="14"/>
  <c r="H75" i="14"/>
  <c r="L75" i="14"/>
  <c r="I75" i="14"/>
  <c r="F75" i="14"/>
  <c r="O75" i="14"/>
  <c r="J75" i="14"/>
  <c r="W75" i="14"/>
  <c r="V75" i="14"/>
  <c r="K75" i="14"/>
  <c r="N75" i="14"/>
  <c r="G75" i="14"/>
  <c r="U75" i="14"/>
  <c r="R75" i="14"/>
  <c r="E75" i="14"/>
  <c r="Q75" i="14"/>
  <c r="P75" i="14"/>
  <c r="M75" i="14"/>
  <c r="T75" i="14"/>
  <c r="S75" i="14"/>
  <c r="D75" i="14"/>
  <c r="C75" i="14"/>
  <c r="D82" i="14"/>
  <c r="E82" i="14"/>
  <c r="P82" i="14"/>
  <c r="U82" i="14"/>
  <c r="F82" i="14"/>
  <c r="S82" i="14"/>
  <c r="G82" i="14"/>
  <c r="O82" i="14"/>
  <c r="R82" i="14"/>
  <c r="V82" i="14"/>
  <c r="J82" i="14"/>
  <c r="M82" i="14"/>
  <c r="Q82" i="14"/>
  <c r="W82" i="14"/>
  <c r="I82" i="14"/>
  <c r="L82" i="14"/>
  <c r="T82" i="14"/>
  <c r="K82" i="14"/>
  <c r="N82" i="14"/>
  <c r="H82" i="14"/>
  <c r="C82" i="14"/>
  <c r="K69" i="14"/>
  <c r="O69" i="14"/>
  <c r="D69" i="14"/>
  <c r="S69" i="14"/>
  <c r="E69" i="14"/>
  <c r="P69" i="14"/>
  <c r="F69" i="14"/>
  <c r="Q69" i="14"/>
  <c r="U69" i="14"/>
  <c r="I69" i="14"/>
  <c r="G69" i="14"/>
  <c r="M69" i="14"/>
  <c r="R69" i="14"/>
  <c r="L69" i="14"/>
  <c r="T69" i="14"/>
  <c r="V69" i="14"/>
  <c r="J69" i="14"/>
  <c r="H69" i="14"/>
  <c r="N69" i="14"/>
  <c r="C69" i="14"/>
  <c r="W69" i="14"/>
  <c r="M55" i="14"/>
  <c r="H55" i="14"/>
  <c r="R55" i="14"/>
  <c r="N55" i="14"/>
  <c r="E55" i="14"/>
  <c r="G55" i="14"/>
  <c r="I55" i="14"/>
  <c r="F55" i="14"/>
  <c r="O55" i="14"/>
  <c r="V55" i="14"/>
  <c r="K55" i="14"/>
  <c r="T55" i="14"/>
  <c r="L55" i="14"/>
  <c r="D55" i="14"/>
  <c r="Q55" i="14"/>
  <c r="U55" i="14"/>
  <c r="S55" i="14"/>
  <c r="J55" i="14"/>
  <c r="P55" i="14"/>
  <c r="C55" i="14"/>
  <c r="W55" i="14"/>
  <c r="E78" i="14"/>
  <c r="U78" i="14"/>
  <c r="O78" i="14"/>
  <c r="P78" i="14"/>
  <c r="T78" i="14"/>
  <c r="S78" i="14"/>
  <c r="Q78" i="14"/>
  <c r="J78" i="14"/>
  <c r="D78" i="14"/>
  <c r="W78" i="14"/>
  <c r="F78" i="14"/>
  <c r="V78" i="14"/>
  <c r="H78" i="14"/>
  <c r="G78" i="14"/>
  <c r="L78" i="14"/>
  <c r="R78" i="14"/>
  <c r="K78" i="14"/>
  <c r="N78" i="14"/>
  <c r="I78" i="14"/>
  <c r="M78" i="14"/>
  <c r="C78" i="14"/>
  <c r="D62" i="14"/>
  <c r="G62" i="14"/>
  <c r="R62" i="14"/>
  <c r="I62" i="14"/>
  <c r="E62" i="14"/>
  <c r="V62" i="14"/>
  <c r="P62" i="14"/>
  <c r="J62" i="14"/>
  <c r="F62" i="14"/>
  <c r="U62" i="14"/>
  <c r="O62" i="14"/>
  <c r="M62" i="14"/>
  <c r="H62" i="14"/>
  <c r="T62" i="14"/>
  <c r="L62" i="14"/>
  <c r="S62" i="14"/>
  <c r="K62" i="14"/>
  <c r="N62" i="14"/>
  <c r="Q62" i="14"/>
  <c r="C62" i="14"/>
  <c r="W62" i="14"/>
  <c r="L87" i="14"/>
  <c r="P87" i="14"/>
  <c r="S87" i="14"/>
  <c r="E87" i="14"/>
  <c r="N87" i="14"/>
  <c r="O87" i="14"/>
  <c r="T87" i="14"/>
  <c r="J87" i="14"/>
  <c r="V87" i="14"/>
  <c r="M87" i="14"/>
  <c r="G87" i="14"/>
  <c r="D87" i="14"/>
  <c r="R87" i="14"/>
  <c r="F87" i="14"/>
  <c r="W87" i="14"/>
  <c r="H87" i="14"/>
  <c r="U87" i="14"/>
  <c r="I87" i="14"/>
  <c r="K87" i="14"/>
  <c r="Q87" i="14"/>
  <c r="C87" i="14"/>
  <c r="Q58" i="14"/>
  <c r="N58" i="14"/>
  <c r="P58" i="14"/>
  <c r="L58" i="14"/>
  <c r="I58" i="14"/>
  <c r="J58" i="14"/>
  <c r="S58" i="14"/>
  <c r="U58" i="14"/>
  <c r="H58" i="14"/>
  <c r="G58" i="14"/>
  <c r="E58" i="14"/>
  <c r="K58" i="14"/>
  <c r="V58" i="14"/>
  <c r="O58" i="14"/>
  <c r="M58" i="14"/>
  <c r="T58" i="14"/>
  <c r="F58" i="14"/>
  <c r="D58" i="14"/>
  <c r="R58" i="14"/>
  <c r="C58" i="14"/>
  <c r="W58" i="14"/>
  <c r="K77" i="14"/>
  <c r="T77" i="14"/>
  <c r="O77" i="14"/>
  <c r="E77" i="14"/>
  <c r="Q77" i="14"/>
  <c r="L77" i="14"/>
  <c r="S77" i="14"/>
  <c r="D77" i="14"/>
  <c r="U77" i="14"/>
  <c r="I77" i="14"/>
  <c r="P77" i="14"/>
  <c r="F77" i="14"/>
  <c r="V77" i="14"/>
  <c r="J77" i="14"/>
  <c r="H77" i="14"/>
  <c r="N77" i="14"/>
  <c r="W77" i="14"/>
  <c r="M77" i="14"/>
  <c r="R77" i="14"/>
  <c r="G77" i="14"/>
  <c r="C77" i="14"/>
  <c r="K57" i="14"/>
  <c r="P57" i="14"/>
  <c r="S57" i="14"/>
  <c r="L57" i="14"/>
  <c r="T57" i="14"/>
  <c r="G57" i="14"/>
  <c r="J57" i="14"/>
  <c r="Q57" i="14"/>
  <c r="I57" i="14"/>
  <c r="H57" i="14"/>
  <c r="F57" i="14"/>
  <c r="N57" i="14"/>
  <c r="O57" i="14"/>
  <c r="M57" i="14"/>
  <c r="D57" i="14"/>
  <c r="U57" i="14"/>
  <c r="R57" i="14"/>
  <c r="E57" i="14"/>
  <c r="V57" i="14"/>
  <c r="C57" i="14"/>
  <c r="W57" i="14"/>
  <c r="M89" i="14"/>
  <c r="F89" i="14"/>
  <c r="T89" i="14"/>
  <c r="R89" i="14"/>
  <c r="V89" i="14"/>
  <c r="U89" i="14"/>
  <c r="G89" i="14"/>
  <c r="S89" i="14"/>
  <c r="P89" i="14"/>
  <c r="N89" i="14"/>
  <c r="H89" i="14"/>
  <c r="K89" i="14"/>
  <c r="L89" i="14"/>
  <c r="D89" i="14"/>
  <c r="O89" i="14"/>
  <c r="E89" i="14"/>
  <c r="W89" i="14"/>
  <c r="Q89" i="14"/>
  <c r="I89" i="14"/>
  <c r="J89" i="14"/>
  <c r="C89" i="14"/>
  <c r="P70" i="14"/>
  <c r="Q70" i="14"/>
  <c r="M70" i="14"/>
  <c r="R70" i="14"/>
  <c r="T70" i="14"/>
  <c r="O70" i="14"/>
  <c r="K70" i="14"/>
  <c r="E70" i="14"/>
  <c r="I70" i="14"/>
  <c r="L70" i="14"/>
  <c r="U70" i="14"/>
  <c r="S70" i="14"/>
  <c r="V70" i="14"/>
  <c r="J70" i="14"/>
  <c r="D70" i="14"/>
  <c r="N70" i="14"/>
  <c r="G70" i="14"/>
  <c r="F70" i="14"/>
  <c r="H70" i="14"/>
  <c r="C70" i="14"/>
  <c r="W70" i="14"/>
  <c r="V81" i="14"/>
  <c r="F81" i="14"/>
  <c r="S81" i="14"/>
  <c r="L81" i="14"/>
  <c r="Q81" i="14"/>
  <c r="J81" i="14"/>
  <c r="W81" i="14"/>
  <c r="R81" i="14"/>
  <c r="K81" i="14"/>
  <c r="N81" i="14"/>
  <c r="M81" i="14"/>
  <c r="E81" i="14"/>
  <c r="T81" i="14"/>
  <c r="U81" i="14"/>
  <c r="I81" i="14"/>
  <c r="H81" i="14"/>
  <c r="O81" i="14"/>
  <c r="D81" i="14"/>
  <c r="P81" i="14"/>
  <c r="G81" i="14"/>
  <c r="C81" i="14"/>
  <c r="P88" i="14"/>
  <c r="T88" i="14"/>
  <c r="G88" i="14"/>
  <c r="N88" i="14"/>
  <c r="O88" i="14"/>
  <c r="L88" i="14"/>
  <c r="D88" i="14"/>
  <c r="F88" i="14"/>
  <c r="V88" i="14"/>
  <c r="R88" i="14"/>
  <c r="E88" i="14"/>
  <c r="U88" i="14"/>
  <c r="M88" i="14"/>
  <c r="J88" i="14"/>
  <c r="W88" i="14"/>
  <c r="K88" i="14"/>
  <c r="I88" i="14"/>
  <c r="H88" i="14"/>
  <c r="Q88" i="14"/>
  <c r="S88" i="14"/>
  <c r="C88" i="14"/>
  <c r="V83" i="14"/>
  <c r="Q83" i="14"/>
  <c r="U83" i="14"/>
  <c r="P83" i="14"/>
  <c r="D83" i="14"/>
  <c r="J83" i="14"/>
  <c r="E83" i="14"/>
  <c r="R83" i="14"/>
  <c r="M83" i="14"/>
  <c r="T83" i="14"/>
  <c r="I83" i="14"/>
  <c r="G83" i="14"/>
  <c r="L83" i="14"/>
  <c r="H83" i="14"/>
  <c r="F83" i="14"/>
  <c r="O83" i="14"/>
  <c r="N83" i="14"/>
  <c r="K83" i="14"/>
  <c r="W83" i="14"/>
  <c r="S83" i="14"/>
  <c r="C83" i="14"/>
  <c r="T76" i="14"/>
  <c r="H76" i="14"/>
  <c r="M76" i="14"/>
  <c r="N76" i="14"/>
  <c r="Q76" i="14"/>
  <c r="R76" i="14"/>
  <c r="G76" i="14"/>
  <c r="V76" i="14"/>
  <c r="I76" i="14"/>
  <c r="E76" i="14"/>
  <c r="J76" i="14"/>
  <c r="D76" i="14"/>
  <c r="W76" i="14"/>
  <c r="S76" i="14"/>
  <c r="O76" i="14"/>
  <c r="L76" i="14"/>
  <c r="F76" i="14"/>
  <c r="P76" i="14"/>
  <c r="K76" i="14"/>
  <c r="U76" i="14"/>
  <c r="C76" i="14"/>
  <c r="H61" i="14"/>
  <c r="U61" i="14"/>
  <c r="E61" i="14"/>
  <c r="M61" i="14"/>
  <c r="Q61" i="14"/>
  <c r="S61" i="14"/>
  <c r="J61" i="14"/>
  <c r="D61" i="14"/>
  <c r="N61" i="14"/>
  <c r="F61" i="14"/>
  <c r="K61" i="14"/>
  <c r="O61" i="14"/>
  <c r="G61" i="14"/>
  <c r="L61" i="14"/>
  <c r="V61" i="14"/>
  <c r="P61" i="14"/>
  <c r="T61" i="14"/>
  <c r="R61" i="14"/>
  <c r="I61" i="14"/>
  <c r="C61" i="14"/>
  <c r="W61" i="14"/>
  <c r="M65" i="14"/>
  <c r="F65" i="14"/>
  <c r="G65" i="14"/>
  <c r="I65" i="14"/>
  <c r="R65" i="14"/>
  <c r="P65" i="14"/>
  <c r="T65" i="14"/>
  <c r="H65" i="14"/>
  <c r="K65" i="14"/>
  <c r="O65" i="14"/>
  <c r="N65" i="14"/>
  <c r="Q65" i="14"/>
  <c r="S65" i="14"/>
  <c r="U65" i="14"/>
  <c r="E65" i="14"/>
  <c r="V65" i="14"/>
  <c r="L65" i="14"/>
  <c r="D65" i="14"/>
  <c r="J65" i="14"/>
  <c r="C65" i="14"/>
  <c r="W65" i="14"/>
  <c r="M72" i="14"/>
  <c r="G72" i="14"/>
  <c r="K72" i="14"/>
  <c r="E72" i="14"/>
  <c r="O72" i="14"/>
  <c r="T72" i="14"/>
  <c r="J72" i="14"/>
  <c r="P72" i="14"/>
  <c r="S72" i="14"/>
  <c r="U72" i="14"/>
  <c r="V72" i="14"/>
  <c r="Q72" i="14"/>
  <c r="D72" i="14"/>
  <c r="N72" i="14"/>
  <c r="L72" i="14"/>
  <c r="H72" i="14"/>
  <c r="R72" i="14"/>
  <c r="F72" i="14"/>
  <c r="I72" i="14"/>
  <c r="C72" i="14"/>
  <c r="W72" i="14"/>
  <c r="H90" i="14"/>
  <c r="K90" i="14"/>
  <c r="U90" i="14"/>
  <c r="T90" i="14"/>
  <c r="G90" i="14"/>
  <c r="I90" i="14"/>
  <c r="J90" i="14"/>
  <c r="S90" i="14"/>
  <c r="V90" i="14"/>
  <c r="D90" i="14"/>
  <c r="M90" i="14"/>
  <c r="N90" i="14"/>
  <c r="W90" i="14"/>
  <c r="O90" i="14"/>
  <c r="P90" i="14"/>
  <c r="F90" i="14"/>
  <c r="L90" i="14"/>
  <c r="Q90" i="14"/>
  <c r="E90" i="14"/>
  <c r="R90" i="14"/>
  <c r="C90" i="14"/>
  <c r="K64" i="14"/>
  <c r="G64" i="14"/>
  <c r="E64" i="14"/>
  <c r="T64" i="14"/>
  <c r="U64" i="14"/>
  <c r="S64" i="14"/>
  <c r="M64" i="14"/>
  <c r="R64" i="14"/>
  <c r="J64" i="14"/>
  <c r="F64" i="14"/>
  <c r="H64" i="14"/>
  <c r="V64" i="14"/>
  <c r="P64" i="14"/>
  <c r="O64" i="14"/>
  <c r="Q64" i="14"/>
  <c r="D64" i="14"/>
  <c r="N64" i="14"/>
  <c r="I64" i="14"/>
  <c r="L64" i="14"/>
  <c r="C64" i="14"/>
  <c r="W64" i="14"/>
  <c r="F54" i="14"/>
  <c r="R54" i="14"/>
  <c r="I54" i="14"/>
  <c r="J54" i="14"/>
  <c r="M54" i="14"/>
  <c r="T54" i="14"/>
  <c r="H54" i="14"/>
  <c r="V54" i="14"/>
  <c r="Q54" i="14"/>
  <c r="P54" i="14"/>
  <c r="K54" i="14"/>
  <c r="U54" i="14"/>
  <c r="S54" i="14"/>
  <c r="G54" i="14"/>
  <c r="D54" i="14"/>
  <c r="O54" i="14"/>
  <c r="L54" i="14"/>
  <c r="E54" i="14"/>
  <c r="N54" i="14"/>
  <c r="C54" i="14"/>
  <c r="W54" i="14"/>
  <c r="J84" i="14"/>
  <c r="R84" i="14"/>
  <c r="O84" i="14"/>
  <c r="H84" i="14"/>
  <c r="I84" i="14"/>
  <c r="V84" i="14"/>
  <c r="G84" i="14"/>
  <c r="N84" i="14"/>
  <c r="S84" i="14"/>
  <c r="M84" i="14"/>
  <c r="U84" i="14"/>
  <c r="F84" i="14"/>
  <c r="T84" i="14"/>
  <c r="W84" i="14"/>
  <c r="L84" i="14"/>
  <c r="Q84" i="14"/>
  <c r="E84" i="14"/>
  <c r="D84" i="14"/>
  <c r="P84" i="14"/>
  <c r="K84" i="14"/>
  <c r="C84" i="14"/>
  <c r="S91" i="14"/>
  <c r="J91" i="14"/>
  <c r="O91" i="14"/>
  <c r="R91" i="14"/>
  <c r="H91" i="14"/>
  <c r="D91" i="14"/>
  <c r="V91" i="14"/>
  <c r="T91" i="14"/>
  <c r="L91" i="14"/>
  <c r="W91" i="14"/>
  <c r="B164" i="14" s="1"/>
  <c r="N91" i="14"/>
  <c r="Q91" i="14"/>
  <c r="K91" i="14"/>
  <c r="U91" i="14"/>
  <c r="C91" i="14"/>
  <c r="P91" i="14"/>
  <c r="E91" i="14"/>
  <c r="I91" i="14"/>
  <c r="F91" i="14"/>
  <c r="M91" i="14"/>
  <c r="G91" i="14"/>
  <c r="L67" i="14"/>
  <c r="K67" i="14"/>
  <c r="F67" i="14"/>
  <c r="D67" i="14"/>
  <c r="G67" i="14"/>
  <c r="P67" i="14"/>
  <c r="N67" i="14"/>
  <c r="S67" i="14"/>
  <c r="M67" i="14"/>
  <c r="I67" i="14"/>
  <c r="O67" i="14"/>
  <c r="T67" i="14"/>
  <c r="R67" i="14"/>
  <c r="V67" i="14"/>
  <c r="U67" i="14"/>
  <c r="E67" i="14"/>
  <c r="J67" i="14"/>
  <c r="Q67" i="14"/>
  <c r="H67" i="14"/>
  <c r="C67" i="14"/>
  <c r="W67" i="14"/>
  <c r="G66" i="14"/>
  <c r="H66" i="14"/>
  <c r="R66" i="14"/>
  <c r="M66" i="14"/>
  <c r="D66" i="14"/>
  <c r="J66" i="14"/>
  <c r="O66" i="14"/>
  <c r="I66" i="14"/>
  <c r="V66" i="14"/>
  <c r="E66" i="14"/>
  <c r="P66" i="14"/>
  <c r="K66" i="14"/>
  <c r="T66" i="14"/>
  <c r="U66" i="14"/>
  <c r="F66" i="14"/>
  <c r="S66" i="14"/>
  <c r="Q66" i="14"/>
  <c r="L66" i="14"/>
  <c r="N66" i="14"/>
  <c r="C66" i="14"/>
  <c r="W66" i="14"/>
  <c r="B210" i="119" l="1"/>
  <c r="C93" i="119"/>
  <c r="D93" i="119" s="1"/>
  <c r="H199" i="119"/>
  <c r="C198" i="119" s="1"/>
  <c r="B56" i="15"/>
  <c r="N86" i="15" s="1"/>
  <c r="H8" i="119"/>
  <c r="C92" i="119" s="1"/>
  <c r="D92" i="119" s="1"/>
  <c r="I8" i="119"/>
  <c r="C94" i="119" s="1"/>
  <c r="D94" i="119" s="1"/>
  <c r="G65" i="15"/>
  <c r="B53" i="15"/>
  <c r="B55" i="15" s="1"/>
  <c r="L107" i="15" s="1"/>
  <c r="L115" i="15" s="1"/>
  <c r="H67" i="15"/>
  <c r="H66" i="15"/>
  <c r="B54" i="15"/>
  <c r="M107" i="15" s="1"/>
  <c r="M114" i="15" s="1"/>
  <c r="B160" i="14"/>
  <c r="B163" i="14"/>
  <c r="B161" i="14"/>
  <c r="B158" i="14"/>
  <c r="B155" i="14"/>
  <c r="B162" i="14"/>
  <c r="B154" i="14"/>
  <c r="X72" i="14"/>
  <c r="X88" i="14"/>
  <c r="X80" i="14"/>
  <c r="X68" i="14"/>
  <c r="X74" i="14"/>
  <c r="B148" i="14"/>
  <c r="B152" i="14"/>
  <c r="B149" i="14"/>
  <c r="X66" i="14"/>
  <c r="B159" i="14"/>
  <c r="X60" i="14"/>
  <c r="B147" i="14"/>
  <c r="B135" i="14"/>
  <c r="U103" i="15" s="1"/>
  <c r="B150" i="14"/>
  <c r="B151" i="14"/>
  <c r="B153" i="14"/>
  <c r="X58" i="14"/>
  <c r="X82" i="14"/>
  <c r="X63" i="14"/>
  <c r="X73" i="14"/>
  <c r="X84" i="14"/>
  <c r="X54" i="14"/>
  <c r="B129" i="14"/>
  <c r="U97" i="15" s="1"/>
  <c r="B130" i="14"/>
  <c r="U98" i="15" s="1"/>
  <c r="X78" i="14"/>
  <c r="B136" i="14"/>
  <c r="U104" i="15" s="1"/>
  <c r="B156" i="14"/>
  <c r="X90" i="14"/>
  <c r="X61" i="14"/>
  <c r="B138" i="14"/>
  <c r="U106" i="15" s="1"/>
  <c r="X77" i="14"/>
  <c r="X62" i="14"/>
  <c r="B121" i="14"/>
  <c r="U89" i="15" s="1"/>
  <c r="X83" i="14"/>
  <c r="X70" i="14"/>
  <c r="B137" i="14"/>
  <c r="U105" i="15" s="1"/>
  <c r="X53" i="14"/>
  <c r="B139" i="14"/>
  <c r="X67" i="14"/>
  <c r="B146" i="14"/>
  <c r="B133" i="14"/>
  <c r="U101" i="15" s="1"/>
  <c r="X87" i="14"/>
  <c r="X69" i="14"/>
  <c r="X85" i="14"/>
  <c r="X71" i="14"/>
  <c r="B128" i="14"/>
  <c r="U96" i="15" s="1"/>
  <c r="B157" i="14"/>
  <c r="B132" i="14"/>
  <c r="U100" i="15" s="1"/>
  <c r="X65" i="14"/>
  <c r="X81" i="14"/>
  <c r="B125" i="14"/>
  <c r="U93" i="15" s="1"/>
  <c r="X75" i="14"/>
  <c r="B124" i="14"/>
  <c r="U92" i="15" s="1"/>
  <c r="B134" i="14"/>
  <c r="U102" i="15" s="1"/>
  <c r="X91" i="14"/>
  <c r="X64" i="14"/>
  <c r="X76" i="14"/>
  <c r="X57" i="14"/>
  <c r="B123" i="14"/>
  <c r="U91" i="15" s="1"/>
  <c r="B127" i="14"/>
  <c r="U95" i="15" s="1"/>
  <c r="X56" i="14"/>
  <c r="C96" i="119"/>
  <c r="D96" i="119" s="1"/>
  <c r="H9" i="119"/>
  <c r="I9" i="119"/>
  <c r="C97" i="119" s="1"/>
  <c r="D97" i="119" s="1"/>
  <c r="D147" i="119" s="1"/>
  <c r="B140" i="14"/>
  <c r="C140" i="14" s="1"/>
  <c r="C141" i="14" s="1"/>
  <c r="X89" i="14"/>
  <c r="B126" i="14"/>
  <c r="U94" i="15" s="1"/>
  <c r="X55" i="14"/>
  <c r="X86" i="14"/>
  <c r="B131" i="14"/>
  <c r="U99" i="15" s="1"/>
  <c r="X59" i="14"/>
  <c r="X79" i="14"/>
  <c r="B122" i="14"/>
  <c r="U90" i="15" s="1"/>
  <c r="G114" i="15" l="1"/>
  <c r="C14" i="13"/>
  <c r="D117" i="119"/>
  <c r="D132" i="119"/>
  <c r="D142" i="119"/>
  <c r="D137" i="119"/>
  <c r="D127" i="119"/>
  <c r="D122" i="119"/>
  <c r="W14" i="119"/>
  <c r="W34" i="119"/>
  <c r="C210" i="119"/>
  <c r="D210" i="119" s="1"/>
  <c r="W15" i="119"/>
  <c r="W23" i="119"/>
  <c r="W31" i="119"/>
  <c r="W16" i="119"/>
  <c r="W24" i="119"/>
  <c r="W32" i="119"/>
  <c r="W17" i="119"/>
  <c r="W25" i="119"/>
  <c r="W33" i="119"/>
  <c r="W18" i="119"/>
  <c r="W26" i="119"/>
  <c r="W19" i="119"/>
  <c r="W27" i="119"/>
  <c r="W30" i="119"/>
  <c r="W20" i="119"/>
  <c r="W28" i="119"/>
  <c r="W21" i="119"/>
  <c r="W29" i="119"/>
  <c r="W22" i="119"/>
  <c r="E202" i="119"/>
  <c r="F202" i="119"/>
  <c r="E203" i="119"/>
  <c r="F203" i="119"/>
  <c r="E204" i="119"/>
  <c r="F204" i="119"/>
  <c r="E205" i="119"/>
  <c r="F205" i="119"/>
  <c r="E206" i="119"/>
  <c r="F206" i="119"/>
  <c r="E207" i="119"/>
  <c r="F207" i="119"/>
  <c r="E208" i="119"/>
  <c r="F208" i="119"/>
  <c r="E209" i="119"/>
  <c r="N74" i="15"/>
  <c r="N77" i="15"/>
  <c r="N99" i="15"/>
  <c r="N102" i="15"/>
  <c r="N97" i="15"/>
  <c r="N106" i="15"/>
  <c r="N101" i="15"/>
  <c r="N69" i="15"/>
  <c r="N104" i="15"/>
  <c r="N79" i="15"/>
  <c r="N100" i="15"/>
  <c r="N89" i="15"/>
  <c r="N103" i="15"/>
  <c r="N71" i="15"/>
  <c r="N92" i="15"/>
  <c r="N70" i="15"/>
  <c r="N95" i="15"/>
  <c r="N75" i="15"/>
  <c r="N68" i="15"/>
  <c r="N94" i="15"/>
  <c r="N81" i="15"/>
  <c r="N90" i="15"/>
  <c r="N87" i="15"/>
  <c r="N98" i="15"/>
  <c r="N91" i="15"/>
  <c r="N76" i="15"/>
  <c r="N105" i="15"/>
  <c r="N83" i="15"/>
  <c r="N73" i="15"/>
  <c r="N72" i="15"/>
  <c r="N96" i="15"/>
  <c r="N93" i="15"/>
  <c r="N80" i="15"/>
  <c r="N85" i="15"/>
  <c r="N107" i="15"/>
  <c r="N88" i="15"/>
  <c r="N82" i="15"/>
  <c r="N84" i="15"/>
  <c r="N78" i="15"/>
  <c r="L106" i="119"/>
  <c r="D101" i="119" s="1"/>
  <c r="L116" i="15"/>
  <c r="L118" i="15" s="1"/>
  <c r="M48" i="119" s="1"/>
  <c r="E157" i="119" s="1"/>
  <c r="L114" i="15"/>
  <c r="M115" i="15"/>
  <c r="B120" i="15" s="1"/>
  <c r="H115" i="15"/>
  <c r="H116" i="15"/>
  <c r="H117" i="15" s="1"/>
  <c r="G115" i="15"/>
  <c r="H114" i="15"/>
  <c r="G116" i="15"/>
  <c r="B44" i="14"/>
  <c r="B52" i="14" s="1"/>
  <c r="S52" i="14" s="1"/>
  <c r="B116" i="14" s="1"/>
  <c r="U84" i="15" s="1"/>
  <c r="M116" i="15"/>
  <c r="M117" i="15" s="1"/>
  <c r="R48" i="119" s="1"/>
  <c r="E163" i="119" s="1"/>
  <c r="L107" i="119"/>
  <c r="D107" i="119" s="1"/>
  <c r="C95" i="119"/>
  <c r="D95" i="119" s="1"/>
  <c r="D115" i="119" s="1"/>
  <c r="B166" i="14"/>
  <c r="U107" i="15" s="1"/>
  <c r="D125" i="119" l="1"/>
  <c r="D145" i="119"/>
  <c r="D130" i="119"/>
  <c r="D104" i="119"/>
  <c r="D120" i="119"/>
  <c r="D140" i="119"/>
  <c r="D135" i="119"/>
  <c r="D106" i="119"/>
  <c r="D105" i="119"/>
  <c r="D103" i="119"/>
  <c r="D102" i="119"/>
  <c r="G207" i="119"/>
  <c r="G203" i="119"/>
  <c r="G205" i="119"/>
  <c r="G208" i="119"/>
  <c r="G204" i="119"/>
  <c r="G206" i="119"/>
  <c r="G202" i="119"/>
  <c r="B211" i="119"/>
  <c r="F209" i="119"/>
  <c r="G209" i="119" s="1"/>
  <c r="J74" i="15"/>
  <c r="J75" i="15"/>
  <c r="J89" i="15"/>
  <c r="J77" i="15"/>
  <c r="J72" i="15"/>
  <c r="J100" i="15"/>
  <c r="J99" i="15"/>
  <c r="J97" i="15"/>
  <c r="J102" i="15"/>
  <c r="J103" i="15"/>
  <c r="J82" i="15"/>
  <c r="J101" i="15"/>
  <c r="J69" i="15"/>
  <c r="J94" i="15"/>
  <c r="J71" i="15"/>
  <c r="J79" i="15"/>
  <c r="J84" i="15"/>
  <c r="J90" i="15"/>
  <c r="J83" i="15"/>
  <c r="J80" i="15"/>
  <c r="J88" i="15"/>
  <c r="J95" i="15"/>
  <c r="J70" i="15"/>
  <c r="J104" i="15"/>
  <c r="J92" i="15"/>
  <c r="J96" i="15"/>
  <c r="J105" i="15"/>
  <c r="J87" i="15"/>
  <c r="J98" i="15"/>
  <c r="N115" i="15"/>
  <c r="B121" i="15" s="1"/>
  <c r="J68" i="15"/>
  <c r="J73" i="15"/>
  <c r="J93" i="15"/>
  <c r="J85" i="15"/>
  <c r="J91" i="15"/>
  <c r="J86" i="15"/>
  <c r="J81" i="15"/>
  <c r="J106" i="15"/>
  <c r="J76" i="15"/>
  <c r="N114" i="15"/>
  <c r="J78" i="15"/>
  <c r="N116" i="15"/>
  <c r="N117" i="15" s="1"/>
  <c r="S48" i="119" s="1"/>
  <c r="E164" i="119" s="1"/>
  <c r="P52" i="14"/>
  <c r="B113" i="14" s="1"/>
  <c r="U81" i="15" s="1"/>
  <c r="I52" i="14"/>
  <c r="B106" i="14" s="1"/>
  <c r="U74" i="15" s="1"/>
  <c r="W52" i="14"/>
  <c r="B120" i="14" s="1"/>
  <c r="U88" i="15" s="1"/>
  <c r="M52" i="14"/>
  <c r="B110" i="14" s="1"/>
  <c r="U78" i="15" s="1"/>
  <c r="T52" i="14"/>
  <c r="B117" i="14" s="1"/>
  <c r="U85" i="15" s="1"/>
  <c r="K52" i="14"/>
  <c r="B108" i="14" s="1"/>
  <c r="U76" i="15" s="1"/>
  <c r="J52" i="14"/>
  <c r="B107" i="14" s="1"/>
  <c r="U75" i="15" s="1"/>
  <c r="V52" i="14"/>
  <c r="B119" i="14" s="1"/>
  <c r="U87" i="15" s="1"/>
  <c r="H52" i="14"/>
  <c r="B105" i="14" s="1"/>
  <c r="U73" i="15" s="1"/>
  <c r="Q52" i="14"/>
  <c r="B114" i="14" s="1"/>
  <c r="U82" i="15" s="1"/>
  <c r="E52" i="14"/>
  <c r="B102" i="14" s="1"/>
  <c r="U70" i="15" s="1"/>
  <c r="C52" i="14"/>
  <c r="B100" i="14" s="1"/>
  <c r="N52" i="14"/>
  <c r="B111" i="14" s="1"/>
  <c r="U79" i="15" s="1"/>
  <c r="R52" i="14"/>
  <c r="B115" i="14" s="1"/>
  <c r="U83" i="15" s="1"/>
  <c r="D52" i="14"/>
  <c r="B101" i="14" s="1"/>
  <c r="U69" i="15" s="1"/>
  <c r="G52" i="14"/>
  <c r="B104" i="14" s="1"/>
  <c r="U72" i="15" s="1"/>
  <c r="U52" i="14"/>
  <c r="B118" i="14" s="1"/>
  <c r="U86" i="15" s="1"/>
  <c r="F52" i="14"/>
  <c r="B103" i="14" s="1"/>
  <c r="U71" i="15" s="1"/>
  <c r="O52" i="14"/>
  <c r="B112" i="14" s="1"/>
  <c r="U80" i="15" s="1"/>
  <c r="L52" i="14"/>
  <c r="B109" i="14" s="1"/>
  <c r="U77" i="15" s="1"/>
  <c r="N48" i="119"/>
  <c r="E159" i="119" s="1"/>
  <c r="C211" i="119" l="1"/>
  <c r="D211" i="119" s="1"/>
  <c r="E210" i="119"/>
  <c r="J107" i="15"/>
  <c r="J114" i="15" s="1"/>
  <c r="X52" i="14"/>
  <c r="U68" i="15"/>
  <c r="B141" i="14"/>
  <c r="B212" i="119" l="1"/>
  <c r="F210" i="119"/>
  <c r="G210" i="119" s="1"/>
  <c r="J116" i="15"/>
  <c r="J117" i="15" s="1"/>
  <c r="J115" i="15"/>
  <c r="U114" i="15"/>
  <c r="U116" i="15"/>
  <c r="Y55" i="15" s="1"/>
  <c r="Y57" i="15" s="1"/>
  <c r="U115" i="15"/>
  <c r="C212" i="119" l="1"/>
  <c r="D212" i="119" s="1"/>
  <c r="E211" i="119"/>
  <c r="X55" i="15"/>
  <c r="X57" i="15" s="1"/>
  <c r="P48" i="119"/>
  <c r="E161" i="119" s="1"/>
  <c r="B213" i="119" l="1"/>
  <c r="F211" i="119"/>
  <c r="G211" i="119" s="1"/>
  <c r="C213" i="119" l="1"/>
  <c r="D213" i="119" s="1"/>
  <c r="E212" i="119"/>
  <c r="B214" i="119" l="1"/>
  <c r="F212" i="119"/>
  <c r="G212" i="119" s="1"/>
  <c r="C214" i="119" l="1"/>
  <c r="D214" i="119" s="1"/>
  <c r="E213" i="119"/>
  <c r="B215" i="119" l="1"/>
  <c r="F213" i="119"/>
  <c r="G213" i="119" s="1"/>
  <c r="C215" i="119" l="1"/>
  <c r="D215" i="119" s="1"/>
  <c r="E214" i="119"/>
  <c r="B216" i="119" l="1"/>
  <c r="F214" i="119"/>
  <c r="G214" i="119" s="1"/>
  <c r="C216" i="119" l="1"/>
  <c r="D216" i="119" s="1"/>
  <c r="E215" i="119"/>
  <c r="B217" i="119" l="1"/>
  <c r="F215" i="119"/>
  <c r="G215" i="119" s="1"/>
  <c r="C217" i="119" l="1"/>
  <c r="D217" i="119" s="1"/>
  <c r="E216" i="119"/>
  <c r="B218" i="119" l="1"/>
  <c r="F216" i="119"/>
  <c r="G216" i="119" s="1"/>
  <c r="C218" i="119" l="1"/>
  <c r="D218" i="119" s="1"/>
  <c r="E217" i="119"/>
  <c r="B219" i="119" l="1"/>
  <c r="F217" i="119"/>
  <c r="G217" i="119" s="1"/>
  <c r="C219" i="119" l="1"/>
  <c r="D219" i="119" s="1"/>
  <c r="E218" i="119"/>
  <c r="B220" i="119" l="1"/>
  <c r="F218" i="119"/>
  <c r="G218" i="119" s="1"/>
  <c r="C220" i="119" l="1"/>
  <c r="D220" i="119" s="1"/>
  <c r="E219" i="119"/>
  <c r="B221" i="119" l="1"/>
  <c r="F219" i="119"/>
  <c r="G219" i="119" s="1"/>
  <c r="C221" i="119" l="1"/>
  <c r="D221" i="119" s="1"/>
  <c r="F222" i="119"/>
  <c r="G222" i="119" s="1"/>
  <c r="E220" i="119"/>
  <c r="D223" i="119" l="1"/>
  <c r="H220" i="119" s="1"/>
  <c r="F220" i="119"/>
  <c r="G220" i="119" s="1"/>
  <c r="H221" i="119" l="1"/>
  <c r="H202" i="119"/>
  <c r="I202" i="119" s="1"/>
  <c r="H203" i="119"/>
  <c r="H204" i="119"/>
  <c r="H205" i="119"/>
  <c r="H206" i="119"/>
  <c r="H207" i="119"/>
  <c r="H208" i="119"/>
  <c r="H209" i="119"/>
  <c r="H210" i="119"/>
  <c r="H211" i="119"/>
  <c r="H212" i="119"/>
  <c r="H213" i="119"/>
  <c r="H214" i="119"/>
  <c r="H215" i="119"/>
  <c r="H216" i="119"/>
  <c r="H217" i="119"/>
  <c r="H218" i="119"/>
  <c r="H219" i="119"/>
  <c r="F221" i="119"/>
  <c r="E221"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G221" i="119"/>
  <c r="F14" i="13" l="1"/>
  <c r="E14" i="13"/>
  <c r="S65" i="15" s="1"/>
  <c r="T65" i="15" l="1"/>
  <c r="G14" i="13"/>
  <c r="C15" i="13" s="1"/>
  <c r="Z65" i="15"/>
  <c r="D14" i="13"/>
  <c r="V65" i="15" l="1"/>
  <c r="AC65" i="15"/>
  <c r="E15" i="13"/>
  <c r="S66" i="15" s="1"/>
  <c r="T66" i="15" l="1"/>
  <c r="X65" i="15"/>
  <c r="F15" i="13"/>
  <c r="D15" i="13" s="1"/>
  <c r="AA65" i="15" l="1"/>
  <c r="Y65" i="15"/>
  <c r="V66" i="15"/>
  <c r="G15" i="13"/>
  <c r="C16" i="13" s="1"/>
  <c r="E16" i="13" s="1"/>
  <c r="S67" i="15" s="1"/>
  <c r="Z66" i="15"/>
  <c r="AC66" i="15" s="1"/>
  <c r="T67" i="15" l="1"/>
  <c r="X66" i="15"/>
  <c r="AB65" i="15"/>
  <c r="F16" i="13"/>
  <c r="G16" i="13" l="1"/>
  <c r="C17" i="13" s="1"/>
  <c r="E17" i="13" s="1"/>
  <c r="S68" i="15" s="1"/>
  <c r="Z67" i="15"/>
  <c r="Y66" i="15"/>
  <c r="AA66" i="15"/>
  <c r="AB66" i="15" s="1"/>
  <c r="V67" i="15"/>
  <c r="AC67" i="15"/>
  <c r="D16" i="13"/>
  <c r="F17" i="13"/>
  <c r="G17" i="13" l="1"/>
  <c r="C18" i="13" s="1"/>
  <c r="Z68" i="15"/>
  <c r="X67" i="15"/>
  <c r="D17" i="13"/>
  <c r="Y67" i="15" l="1"/>
  <c r="AA67" i="15"/>
  <c r="F18" i="13"/>
  <c r="E18" i="13"/>
  <c r="AB67" i="15" l="1"/>
  <c r="D18" i="13"/>
  <c r="S69" i="15"/>
  <c r="G18" i="13"/>
  <c r="C19" i="13" s="1"/>
  <c r="Z69" i="15"/>
  <c r="E19" i="13" l="1"/>
  <c r="F19" i="13"/>
  <c r="G19" i="13" l="1"/>
  <c r="C20" i="13" s="1"/>
  <c r="Z70" i="15"/>
  <c r="D19" i="13"/>
  <c r="S70" i="15"/>
  <c r="E20" i="13" l="1"/>
  <c r="F20" i="13"/>
  <c r="G20" i="13" l="1"/>
  <c r="C21" i="13" s="1"/>
  <c r="Z71" i="15"/>
  <c r="D20" i="13"/>
  <c r="S71" i="15"/>
  <c r="F21" i="13" l="1"/>
  <c r="Z72" i="15" s="1"/>
  <c r="E21" i="13"/>
  <c r="G21" i="13"/>
  <c r="C22" i="13" s="1"/>
  <c r="D21" i="13" l="1"/>
  <c r="S72" i="15"/>
  <c r="E22" i="13" l="1"/>
  <c r="S73" i="15" s="1"/>
  <c r="F22" i="13" l="1"/>
  <c r="D22" i="13"/>
  <c r="G22" i="13" l="1"/>
  <c r="C23" i="13" s="1"/>
  <c r="E23" i="13" s="1"/>
  <c r="S74" i="15" s="1"/>
  <c r="Z73" i="15"/>
  <c r="F23" i="13" l="1"/>
  <c r="D23" i="13"/>
  <c r="G23" i="13" l="1"/>
  <c r="C24" i="13" s="1"/>
  <c r="E24" i="13" s="1"/>
  <c r="S75" i="15" s="1"/>
  <c r="Z74" i="15"/>
  <c r="F24" i="13" l="1"/>
  <c r="D24" i="13"/>
  <c r="G24" i="13" l="1"/>
  <c r="C25" i="13" s="1"/>
  <c r="E25" i="13" s="1"/>
  <c r="S76" i="15" s="1"/>
  <c r="Z75" i="15"/>
  <c r="F25" i="13" l="1"/>
  <c r="G25" i="13" l="1"/>
  <c r="C26" i="13" s="1"/>
  <c r="E26" i="13" s="1"/>
  <c r="S77" i="15" s="1"/>
  <c r="Z76" i="15"/>
  <c r="D25" i="13"/>
  <c r="F26" i="13" l="1"/>
  <c r="D26" i="13"/>
  <c r="G26" i="13" l="1"/>
  <c r="C27" i="13" s="1"/>
  <c r="E27" i="13" s="1"/>
  <c r="S78" i="15" s="1"/>
  <c r="Z77" i="15"/>
  <c r="F27" i="13" l="1"/>
  <c r="G27" i="13" l="1"/>
  <c r="C28" i="13" s="1"/>
  <c r="E28" i="13" s="1"/>
  <c r="S79" i="15" s="1"/>
  <c r="Z78" i="15"/>
  <c r="D27" i="13"/>
  <c r="F28" i="13"/>
  <c r="G28" i="13" l="1"/>
  <c r="C29" i="13" s="1"/>
  <c r="Z79" i="15"/>
  <c r="D28" i="13"/>
  <c r="E29" i="13" l="1"/>
  <c r="S80" i="15" s="1"/>
  <c r="F29" i="13" l="1"/>
  <c r="G29" i="13" l="1"/>
  <c r="C30" i="13" s="1"/>
  <c r="E30" i="13" s="1"/>
  <c r="S81" i="15" s="1"/>
  <c r="Z80" i="15"/>
  <c r="D29" i="13"/>
  <c r="F30" i="13"/>
  <c r="G30" i="13" l="1"/>
  <c r="C31" i="13" s="1"/>
  <c r="Z81" i="15"/>
  <c r="D30" i="13"/>
  <c r="E31" i="13" l="1"/>
  <c r="S82" i="15" s="1"/>
  <c r="F31" i="13"/>
  <c r="G31" i="13" l="1"/>
  <c r="C32" i="13" s="1"/>
  <c r="Z82" i="15"/>
  <c r="D31" i="13"/>
  <c r="E32" i="13" l="1"/>
  <c r="S83" i="15" s="1"/>
  <c r="F32" i="13" l="1"/>
  <c r="D32" i="13"/>
  <c r="G32" i="13" l="1"/>
  <c r="C33" i="13" s="1"/>
  <c r="E33" i="13" s="1"/>
  <c r="Z83" i="15"/>
  <c r="F33" i="13"/>
  <c r="D33" i="13" l="1"/>
  <c r="S84" i="15"/>
  <c r="G33" i="13"/>
  <c r="C34" i="13" s="1"/>
  <c r="Z84" i="15"/>
  <c r="E34" i="13" l="1"/>
  <c r="S85" i="15" s="1"/>
  <c r="F34" i="13"/>
  <c r="G34" i="13" l="1"/>
  <c r="C35" i="13" s="1"/>
  <c r="Z85" i="15"/>
  <c r="D34" i="13"/>
  <c r="E35" i="13" l="1"/>
  <c r="S86" i="15" s="1"/>
  <c r="F35" i="13" l="1"/>
  <c r="D35" i="13"/>
  <c r="G35" i="13" l="1"/>
  <c r="C36" i="13" s="1"/>
  <c r="E36" i="13" s="1"/>
  <c r="S87" i="15" s="1"/>
  <c r="Z86" i="15"/>
  <c r="F36" i="13"/>
  <c r="G36" i="13" l="1"/>
  <c r="C37" i="13" s="1"/>
  <c r="Z87" i="15"/>
  <c r="D36" i="13"/>
  <c r="E37" i="13" l="1"/>
  <c r="S88" i="15" s="1"/>
  <c r="F37" i="13"/>
  <c r="G37" i="13" l="1"/>
  <c r="C38" i="13" s="1"/>
  <c r="Z88" i="15"/>
  <c r="D37" i="13"/>
  <c r="E38" i="13" l="1"/>
  <c r="S89" i="15" s="1"/>
  <c r="F38" i="13" l="1"/>
  <c r="D38" i="13"/>
  <c r="G38" i="13" l="1"/>
  <c r="C39" i="13" s="1"/>
  <c r="E39" i="13" s="1"/>
  <c r="S90" i="15" s="1"/>
  <c r="Z89" i="15"/>
  <c r="F39" i="13"/>
  <c r="G39" i="13" l="1"/>
  <c r="C40" i="13" s="1"/>
  <c r="Z90" i="15"/>
  <c r="D39" i="13"/>
  <c r="E40" i="13" l="1"/>
  <c r="S91" i="15" s="1"/>
  <c r="F40" i="13"/>
  <c r="G40" i="13" l="1"/>
  <c r="C41" i="13" s="1"/>
  <c r="Z91" i="15"/>
  <c r="D40" i="13"/>
  <c r="E41" i="13" l="1"/>
  <c r="S92" i="15" s="1"/>
  <c r="F41" i="13" l="1"/>
  <c r="D41" i="13" s="1"/>
  <c r="G41" i="13" l="1"/>
  <c r="C42" i="13" s="1"/>
  <c r="E42" i="13" s="1"/>
  <c r="S93" i="15" s="1"/>
  <c r="Z92" i="15"/>
  <c r="F42" i="13" l="1"/>
  <c r="D42" i="13" s="1"/>
  <c r="G42" i="13" l="1"/>
  <c r="C43" i="13" s="1"/>
  <c r="E43" i="13" s="1"/>
  <c r="S94" i="15" s="1"/>
  <c r="Z93" i="15"/>
  <c r="F43" i="13" l="1"/>
  <c r="G43" i="13" l="1"/>
  <c r="C44" i="13" s="1"/>
  <c r="E44" i="13" s="1"/>
  <c r="S95" i="15" s="1"/>
  <c r="Z94" i="15"/>
  <c r="D43" i="13"/>
  <c r="F44" i="13"/>
  <c r="G44" i="13" l="1"/>
  <c r="C45" i="13" s="1"/>
  <c r="Z95" i="15"/>
  <c r="D44" i="13"/>
  <c r="E45" i="13" l="1"/>
  <c r="S96" i="15" s="1"/>
  <c r="F45" i="13" l="1"/>
  <c r="G45" i="13" l="1"/>
  <c r="C46" i="13" s="1"/>
  <c r="E46" i="13" s="1"/>
  <c r="S97" i="15" s="1"/>
  <c r="Z96" i="15"/>
  <c r="D45" i="13"/>
  <c r="F46" i="13" l="1"/>
  <c r="D46" i="13" s="1"/>
  <c r="G46" i="13" l="1"/>
  <c r="C47" i="13" s="1"/>
  <c r="E47" i="13" s="1"/>
  <c r="S98" i="15" s="1"/>
  <c r="Z97" i="15"/>
  <c r="F47" i="13"/>
  <c r="G47" i="13" l="1"/>
  <c r="C48" i="13" s="1"/>
  <c r="Z98" i="15"/>
  <c r="D47" i="13"/>
  <c r="E48" i="13" l="1"/>
  <c r="S99" i="15" s="1"/>
  <c r="F48" i="13" l="1"/>
  <c r="G48" i="13" l="1"/>
  <c r="C49" i="13" s="1"/>
  <c r="E49" i="13" s="1"/>
  <c r="S100" i="15" s="1"/>
  <c r="Z99" i="15"/>
  <c r="D48" i="13"/>
  <c r="F49" i="13" l="1"/>
  <c r="D49" i="13"/>
  <c r="G49" i="13" l="1"/>
  <c r="C50" i="13" s="1"/>
  <c r="E50" i="13" s="1"/>
  <c r="S101" i="15" s="1"/>
  <c r="Z100" i="15"/>
  <c r="F50" i="13"/>
  <c r="G50" i="13" l="1"/>
  <c r="C51" i="13" s="1"/>
  <c r="Z101" i="15"/>
  <c r="D50" i="13"/>
  <c r="E51" i="13" l="1"/>
  <c r="S102" i="15" s="1"/>
  <c r="F51" i="13"/>
  <c r="G51" i="13" l="1"/>
  <c r="C52" i="13" s="1"/>
  <c r="Z102" i="15"/>
  <c r="D51" i="13"/>
  <c r="E52" i="13" l="1"/>
  <c r="S103" i="15" s="1"/>
  <c r="F52" i="13" l="1"/>
  <c r="G52" i="13" l="1"/>
  <c r="C53" i="13" s="1"/>
  <c r="E53" i="13" s="1"/>
  <c r="S104" i="15" s="1"/>
  <c r="Z103" i="15"/>
  <c r="D52" i="13"/>
  <c r="F53" i="13" l="1"/>
  <c r="G53" i="13" l="1"/>
  <c r="C54" i="13" s="1"/>
  <c r="Z104" i="15"/>
  <c r="D53" i="13"/>
  <c r="G54" i="13" l="1"/>
  <c r="C55" i="13" s="1"/>
  <c r="E54" i="13"/>
  <c r="E55" i="13" l="1"/>
  <c r="G55" i="13"/>
  <c r="C56" i="13" s="1"/>
  <c r="D54" i="13"/>
  <c r="S105" i="15"/>
  <c r="D55" i="13" l="1"/>
  <c r="S106" i="15"/>
  <c r="F56" i="13"/>
  <c r="Z107" i="15" s="1"/>
  <c r="E56" i="13"/>
  <c r="D56" i="13" l="1"/>
  <c r="S107" i="15"/>
  <c r="G56" i="13"/>
  <c r="Z115" i="15"/>
  <c r="Z116" i="15"/>
  <c r="Z114" i="15"/>
  <c r="Z55" i="15" l="1"/>
  <c r="Z57" i="15" s="1"/>
  <c r="Z117" i="15"/>
  <c r="Y48" i="119" s="1"/>
  <c r="E170" i="119" s="1"/>
  <c r="S115" i="15"/>
  <c r="B119" i="15" s="1"/>
  <c r="S114" i="15"/>
  <c r="S116" i="15"/>
  <c r="S117" i="15" l="1"/>
  <c r="AA55" i="15"/>
  <c r="AA57" i="15" s="1"/>
  <c r="E17" i="15" s="1"/>
  <c r="C119" i="15"/>
  <c r="D19" i="34" s="1"/>
  <c r="C121" i="15"/>
  <c r="D21" i="34" s="1"/>
  <c r="C120" i="15"/>
  <c r="D20" i="34" s="1"/>
  <c r="C124" i="15"/>
  <c r="D24" i="34" s="1"/>
  <c r="C122" i="15"/>
  <c r="D22" i="34" s="1"/>
  <c r="C125" i="15"/>
  <c r="D25" i="34" s="1"/>
  <c r="C123" i="15"/>
  <c r="D23" i="34" s="1"/>
  <c r="X60" i="15" l="1"/>
  <c r="F105" i="15"/>
  <c r="T105" i="15" s="1"/>
  <c r="F99" i="15"/>
  <c r="T99" i="15" s="1"/>
  <c r="F92" i="15"/>
  <c r="T92" i="15" s="1"/>
  <c r="F93" i="15"/>
  <c r="T93" i="15" s="1"/>
  <c r="F78" i="15"/>
  <c r="T78" i="15" s="1"/>
  <c r="F74" i="15"/>
  <c r="T74" i="15" s="1"/>
  <c r="F70" i="15"/>
  <c r="T70" i="15" s="1"/>
  <c r="F84" i="15"/>
  <c r="T84" i="15" s="1"/>
  <c r="F79" i="15"/>
  <c r="T79" i="15" s="1"/>
  <c r="F86" i="15"/>
  <c r="T86" i="15" s="1"/>
  <c r="F100" i="15"/>
  <c r="T100" i="15" s="1"/>
  <c r="F82" i="15"/>
  <c r="T82" i="15" s="1"/>
  <c r="F76" i="15"/>
  <c r="T76" i="15" s="1"/>
  <c r="F83" i="15"/>
  <c r="T83" i="15" s="1"/>
  <c r="F68" i="15"/>
  <c r="F80" i="15"/>
  <c r="T80" i="15" s="1"/>
  <c r="F90" i="15"/>
  <c r="T90" i="15" s="1"/>
  <c r="F87" i="15"/>
  <c r="T87" i="15" s="1"/>
  <c r="F85" i="15"/>
  <c r="T85" i="15" s="1"/>
  <c r="F91" i="15"/>
  <c r="T91" i="15" s="1"/>
  <c r="F98" i="15"/>
  <c r="T98" i="15" s="1"/>
  <c r="F88" i="15"/>
  <c r="T88" i="15" s="1"/>
  <c r="F103" i="15"/>
  <c r="T103" i="15" s="1"/>
  <c r="F94" i="15"/>
  <c r="T94" i="15" s="1"/>
  <c r="F107" i="15"/>
  <c r="T107" i="15" s="1"/>
  <c r="F106" i="15"/>
  <c r="T106" i="15" s="1"/>
  <c r="F95" i="15"/>
  <c r="T95" i="15" s="1"/>
  <c r="F101" i="15"/>
  <c r="T101" i="15" s="1"/>
  <c r="F97" i="15"/>
  <c r="T97" i="15" s="1"/>
  <c r="E16" i="15"/>
  <c r="F69" i="15"/>
  <c r="T69" i="15" s="1"/>
  <c r="F96" i="15"/>
  <c r="T96" i="15" s="1"/>
  <c r="F75" i="15"/>
  <c r="T75" i="15" s="1"/>
  <c r="F104" i="15"/>
  <c r="T104" i="15" s="1"/>
  <c r="F73" i="15"/>
  <c r="T73" i="15" s="1"/>
  <c r="F89" i="15"/>
  <c r="T89" i="15" s="1"/>
  <c r="F77" i="15"/>
  <c r="T77" i="15" s="1"/>
  <c r="F71" i="15"/>
  <c r="T71" i="15" s="1"/>
  <c r="F72" i="15"/>
  <c r="T72" i="15" s="1"/>
  <c r="F102" i="15"/>
  <c r="T102" i="15" s="1"/>
  <c r="F81" i="15"/>
  <c r="T81" i="15" s="1"/>
  <c r="W48" i="119"/>
  <c r="E168" i="119" s="1"/>
  <c r="V102" i="15" l="1"/>
  <c r="X102" i="15" s="1"/>
  <c r="Y102" i="15" s="1"/>
  <c r="AC102" i="15"/>
  <c r="V96" i="15"/>
  <c r="X96" i="15" s="1"/>
  <c r="AA96" i="15" s="1"/>
  <c r="AC96" i="15"/>
  <c r="V94" i="15"/>
  <c r="X94" i="15" s="1"/>
  <c r="AA94" i="15" s="1"/>
  <c r="AC94" i="15"/>
  <c r="V80" i="15"/>
  <c r="X80" i="15" s="1"/>
  <c r="Y80" i="15" s="1"/>
  <c r="AC80" i="15"/>
  <c r="V84" i="15"/>
  <c r="X84" i="15" s="1"/>
  <c r="Y84" i="15" s="1"/>
  <c r="AC84" i="15"/>
  <c r="V81" i="15"/>
  <c r="X81" i="15" s="1"/>
  <c r="Y81" i="15" s="1"/>
  <c r="AC81" i="15"/>
  <c r="V69" i="15"/>
  <c r="X69" i="15" s="1"/>
  <c r="AA69" i="15" s="1"/>
  <c r="AC69" i="15"/>
  <c r="V103" i="15"/>
  <c r="X103" i="15" s="1"/>
  <c r="Y103" i="15" s="1"/>
  <c r="AC103" i="15"/>
  <c r="T68" i="15"/>
  <c r="F115" i="15"/>
  <c r="F116" i="15"/>
  <c r="F118" i="15" s="1"/>
  <c r="F114" i="15"/>
  <c r="AC70" i="15"/>
  <c r="V70" i="15"/>
  <c r="X70" i="15" s="1"/>
  <c r="Y70" i="15" s="1"/>
  <c r="V72" i="15"/>
  <c r="X72" i="15" s="1"/>
  <c r="Y72" i="15" s="1"/>
  <c r="AC72" i="15"/>
  <c r="V71" i="15"/>
  <c r="X71" i="15" s="1"/>
  <c r="Y71" i="15" s="1"/>
  <c r="AC71" i="15"/>
  <c r="D121" i="15"/>
  <c r="C21" i="34" s="1"/>
  <c r="D120" i="15"/>
  <c r="C20" i="34" s="1"/>
  <c r="D123" i="15"/>
  <c r="C23" i="34" s="1"/>
  <c r="D124" i="15"/>
  <c r="C24" i="34" s="1"/>
  <c r="D122" i="15"/>
  <c r="C22" i="34" s="1"/>
  <c r="D119" i="15"/>
  <c r="C19" i="34" s="1"/>
  <c r="D125" i="15"/>
  <c r="C25" i="34" s="1"/>
  <c r="V88" i="15"/>
  <c r="X88" i="15" s="1"/>
  <c r="AA88" i="15" s="1"/>
  <c r="AC88" i="15"/>
  <c r="V83" i="15"/>
  <c r="X83" i="15" s="1"/>
  <c r="Y83" i="15" s="1"/>
  <c r="AC83" i="15"/>
  <c r="V74" i="15"/>
  <c r="X74" i="15" s="1"/>
  <c r="Y74" i="15" s="1"/>
  <c r="AC74" i="15"/>
  <c r="V77" i="15"/>
  <c r="X77" i="15" s="1"/>
  <c r="Y77" i="15" s="1"/>
  <c r="AC77" i="15"/>
  <c r="V97" i="15"/>
  <c r="X97" i="15" s="1"/>
  <c r="Y97" i="15" s="1"/>
  <c r="AC97" i="15"/>
  <c r="V98" i="15"/>
  <c r="X98" i="15" s="1"/>
  <c r="Y98" i="15" s="1"/>
  <c r="AC98" i="15"/>
  <c r="V76" i="15"/>
  <c r="X76" i="15" s="1"/>
  <c r="Y76" i="15" s="1"/>
  <c r="AC76" i="15"/>
  <c r="AC78" i="15"/>
  <c r="V78" i="15"/>
  <c r="X78" i="15" s="1"/>
  <c r="Y78" i="15" s="1"/>
  <c r="V89" i="15"/>
  <c r="X89" i="15" s="1"/>
  <c r="Y89" i="15" s="1"/>
  <c r="AC89" i="15"/>
  <c r="AC101" i="15"/>
  <c r="V101" i="15"/>
  <c r="X101" i="15" s="1"/>
  <c r="Y101" i="15" s="1"/>
  <c r="V91" i="15"/>
  <c r="X91" i="15" s="1"/>
  <c r="AA91" i="15" s="1"/>
  <c r="AC91" i="15"/>
  <c r="V82" i="15"/>
  <c r="X82" i="15" s="1"/>
  <c r="Y82" i="15" s="1"/>
  <c r="AC82" i="15"/>
  <c r="V93" i="15"/>
  <c r="X93" i="15" s="1"/>
  <c r="Y93" i="15" s="1"/>
  <c r="AC93" i="15"/>
  <c r="AC73" i="15"/>
  <c r="V73" i="15"/>
  <c r="X73" i="15" s="1"/>
  <c r="Y73" i="15" s="1"/>
  <c r="AC95" i="15"/>
  <c r="V95" i="15"/>
  <c r="X95" i="15" s="1"/>
  <c r="Y95" i="15" s="1"/>
  <c r="V85" i="15"/>
  <c r="X85" i="15" s="1"/>
  <c r="Y85" i="15" s="1"/>
  <c r="AC85" i="15"/>
  <c r="AC100" i="15"/>
  <c r="V100" i="15"/>
  <c r="X100" i="15" s="1"/>
  <c r="Y100" i="15" s="1"/>
  <c r="V92" i="15"/>
  <c r="X92" i="15" s="1"/>
  <c r="Y92" i="15" s="1"/>
  <c r="AC92" i="15"/>
  <c r="AC104" i="15"/>
  <c r="V104" i="15"/>
  <c r="X104" i="15" s="1"/>
  <c r="Y104" i="15" s="1"/>
  <c r="AC106" i="15"/>
  <c r="V106" i="15"/>
  <c r="X106" i="15" s="1"/>
  <c r="Y106" i="15" s="1"/>
  <c r="V87" i="15"/>
  <c r="X87" i="15" s="1"/>
  <c r="Y87" i="15" s="1"/>
  <c r="AC87" i="15"/>
  <c r="V86" i="15"/>
  <c r="X86" i="15" s="1"/>
  <c r="Y86" i="15" s="1"/>
  <c r="AC86" i="15"/>
  <c r="AC99" i="15"/>
  <c r="V99" i="15"/>
  <c r="X99" i="15" s="1"/>
  <c r="Y99" i="15" s="1"/>
  <c r="V75" i="15"/>
  <c r="X75" i="15" s="1"/>
  <c r="Y75" i="15" s="1"/>
  <c r="AC75" i="15"/>
  <c r="V107" i="15"/>
  <c r="X107" i="15" s="1"/>
  <c r="Y107" i="15" s="1"/>
  <c r="AC107" i="15"/>
  <c r="V90" i="15"/>
  <c r="X90" i="15" s="1"/>
  <c r="Y90" i="15" s="1"/>
  <c r="AC90" i="15"/>
  <c r="V79" i="15"/>
  <c r="X79" i="15" s="1"/>
  <c r="Y79" i="15" s="1"/>
  <c r="AC79" i="15"/>
  <c r="V105" i="15"/>
  <c r="X105" i="15" s="1"/>
  <c r="Y105" i="15" s="1"/>
  <c r="AC105" i="15"/>
  <c r="AA107" i="15" l="1"/>
  <c r="AA75" i="15"/>
  <c r="AA79" i="15"/>
  <c r="AA85" i="15"/>
  <c r="AA78" i="15"/>
  <c r="AA100" i="15"/>
  <c r="Y91" i="15"/>
  <c r="AA77" i="15"/>
  <c r="Y88" i="15"/>
  <c r="AA82" i="15"/>
  <c r="AA89" i="15"/>
  <c r="AA102" i="15"/>
  <c r="AA70" i="15"/>
  <c r="AA103" i="15"/>
  <c r="AA80" i="15"/>
  <c r="AA105" i="15"/>
  <c r="AA86" i="15"/>
  <c r="AA104" i="15"/>
  <c r="AA98" i="15"/>
  <c r="AA87" i="15"/>
  <c r="AA93" i="15"/>
  <c r="AA97" i="15"/>
  <c r="AA84" i="15"/>
  <c r="AA101" i="15"/>
  <c r="AA74" i="15"/>
  <c r="AA71" i="15"/>
  <c r="Y69" i="15"/>
  <c r="Y96" i="15"/>
  <c r="AA90" i="15"/>
  <c r="AA99" i="15"/>
  <c r="AA92" i="15"/>
  <c r="AA95" i="15"/>
  <c r="AA106" i="15"/>
  <c r="AA76" i="15"/>
  <c r="C26" i="34"/>
  <c r="AG118" i="15"/>
  <c r="K48" i="119"/>
  <c r="E155" i="119" s="1"/>
  <c r="AA72" i="15"/>
  <c r="AA73" i="15"/>
  <c r="AA83" i="15"/>
  <c r="V68" i="15"/>
  <c r="AC68" i="15"/>
  <c r="T115" i="15"/>
  <c r="T116" i="15"/>
  <c r="T114" i="15"/>
  <c r="AA81" i="15"/>
  <c r="Y94" i="15"/>
  <c r="F155" i="119" l="1"/>
  <c r="F156" i="119"/>
  <c r="F157" i="119"/>
  <c r="AC114" i="15"/>
  <c r="E21" i="15"/>
  <c r="E19" i="15" s="1"/>
  <c r="AC115" i="15"/>
  <c r="AC116" i="15"/>
  <c r="X68" i="15"/>
  <c r="V116" i="15"/>
  <c r="V114" i="15"/>
  <c r="V115" i="15"/>
  <c r="X116" i="15" l="1"/>
  <c r="X117" i="15" s="1"/>
  <c r="X115" i="15"/>
  <c r="X114" i="15"/>
  <c r="Y68" i="15"/>
  <c r="AA68" i="15"/>
  <c r="H157" i="119"/>
  <c r="K157" i="119" s="1"/>
  <c r="I155" i="119"/>
  <c r="L155" i="119" s="1"/>
  <c r="I156" i="119"/>
  <c r="L156" i="119" s="1"/>
  <c r="H155" i="119"/>
  <c r="K155" i="119" s="1"/>
  <c r="I157" i="119"/>
  <c r="L157" i="119" s="1"/>
  <c r="N157" i="119" s="1"/>
  <c r="H156" i="119"/>
  <c r="K156" i="119" s="1"/>
  <c r="N156" i="119" l="1"/>
  <c r="N155" i="119"/>
  <c r="L171" i="119"/>
  <c r="E20" i="15"/>
  <c r="E18" i="15" s="1"/>
  <c r="AA115" i="15"/>
  <c r="AA116" i="15"/>
  <c r="AA114" i="15"/>
  <c r="E26" i="15"/>
  <c r="H17" i="6" s="1"/>
  <c r="AB68" i="15"/>
  <c r="Y116" i="15"/>
  <c r="Y114" i="15"/>
  <c r="Y115" i="15"/>
  <c r="X48" i="119"/>
  <c r="E169" i="119" s="1"/>
  <c r="AG117" i="15"/>
  <c r="F169" i="119" l="1"/>
  <c r="F162" i="119"/>
  <c r="F163" i="119"/>
  <c r="F160" i="119"/>
  <c r="F165" i="119"/>
  <c r="F166" i="119"/>
  <c r="F161" i="119"/>
  <c r="F168" i="119"/>
  <c r="F159" i="119"/>
  <c r="F167" i="119"/>
  <c r="F164" i="119"/>
  <c r="F170" i="119"/>
  <c r="AB69" i="15"/>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AB114" i="15" l="1"/>
  <c r="AB116" i="15"/>
  <c r="AB115" i="15"/>
  <c r="H161" i="119"/>
  <c r="K161" i="119" s="1"/>
  <c r="H167" i="119"/>
  <c r="K167" i="119" s="1"/>
  <c r="H165" i="119"/>
  <c r="K165" i="119" s="1"/>
  <c r="H163" i="119"/>
  <c r="K163" i="119" s="1"/>
  <c r="H162" i="119"/>
  <c r="K162" i="119" s="1"/>
  <c r="I164" i="119"/>
  <c r="M164" i="119" s="1"/>
  <c r="I167" i="119"/>
  <c r="M167" i="119" s="1"/>
  <c r="I160" i="119"/>
  <c r="M160" i="119" s="1"/>
  <c r="I165" i="119"/>
  <c r="M165" i="119" s="1"/>
  <c r="H159" i="119"/>
  <c r="K159" i="119" s="1"/>
  <c r="H170" i="119"/>
  <c r="K170" i="119" s="1"/>
  <c r="I166" i="119"/>
  <c r="M166" i="119" s="1"/>
  <c r="H168" i="119"/>
  <c r="K168" i="119" s="1"/>
  <c r="H169" i="119"/>
  <c r="K169" i="119" s="1"/>
  <c r="H166" i="119"/>
  <c r="K166" i="119" s="1"/>
  <c r="I161" i="119"/>
  <c r="M161" i="119" s="1"/>
  <c r="I159" i="119"/>
  <c r="M159" i="119" s="1"/>
  <c r="I169" i="119"/>
  <c r="M169" i="119" s="1"/>
  <c r="H160" i="119"/>
  <c r="K160" i="119" s="1"/>
  <c r="I170" i="119"/>
  <c r="M170" i="119" s="1"/>
  <c r="I163" i="119"/>
  <c r="M163" i="119" s="1"/>
  <c r="I162" i="119"/>
  <c r="M162" i="119" s="1"/>
  <c r="I168" i="119"/>
  <c r="M168" i="119" s="1"/>
  <c r="H164" i="119"/>
  <c r="K164" i="119" s="1"/>
  <c r="N163" i="119" l="1"/>
  <c r="N161" i="119"/>
  <c r="N169" i="119"/>
  <c r="N170" i="119"/>
  <c r="N165" i="119"/>
  <c r="N162" i="119"/>
  <c r="N166" i="119"/>
  <c r="M171" i="119"/>
  <c r="N171" i="119" s="1"/>
  <c r="N159" i="119"/>
  <c r="N160" i="119"/>
  <c r="N168" i="119"/>
  <c r="N167" i="119"/>
  <c r="N164"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C30" authorId="0" shapeId="0" xr:uid="{46269D44-DA77-40B6-A6F6-09406CB060A0}">
      <text>
        <r>
          <rPr>
            <b/>
            <sz val="9"/>
            <color indexed="81"/>
            <rFont val="Tahoma"/>
            <family val="2"/>
          </rPr>
          <t>Windows User:</t>
        </r>
        <r>
          <rPr>
            <sz val="9"/>
            <color indexed="81"/>
            <rFont val="Tahoma"/>
            <family val="2"/>
          </rPr>
          <t xml:space="preserve">
Set to 0 to turn off carbon sequestration</t>
        </r>
      </text>
    </comment>
    <comment ref="J34"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3"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<sst xmlns="http://schemas.openxmlformats.org/spreadsheetml/2006/main" count="3951" uniqueCount="1407">
  <si>
    <t>Real Present Value of Depreciation</t>
  </si>
  <si>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</si>
  <si>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</si>
  <si>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</si>
  <si>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</si>
  <si>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</si>
  <si>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</si>
  <si>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</si>
  <si>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</si>
  <si>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</si>
  <si>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</si>
  <si>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</si>
  <si>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</si>
  <si>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</si>
  <si>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</si>
  <si>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</si>
  <si>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</si>
  <si>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</si>
  <si>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</si>
  <si>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</si>
  <si>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</si>
  <si>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</si>
  <si>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</si>
  <si>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</si>
  <si>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</si>
  <si>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</si>
  <si>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</si>
  <si>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</si>
  <si>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</si>
  <si>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</si>
  <si>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</si>
  <si>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</si>
  <si>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</si>
  <si>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</si>
  <si>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</si>
  <si>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</si>
  <si>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</si>
  <si>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</si>
  <si>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</si>
  <si>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</si>
  <si>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</si>
  <si>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</si>
  <si>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</si>
  <si>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</si>
  <si>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</si>
  <si>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</si>
  <si>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</si>
  <si>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</si>
  <si>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</si>
  <si>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</si>
  <si>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</si>
  <si>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</si>
  <si>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</si>
  <si>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</si>
  <si>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</si>
  <si>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</si>
  <si>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</si>
  <si>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</si>
  <si>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</si>
  <si>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</si>
  <si>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</si>
  <si>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</si>
  <si>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</si>
  <si>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</si>
  <si>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</si>
  <si>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</si>
  <si>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</si>
  <si>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</si>
  <si>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</si>
  <si>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</si>
  <si>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</si>
  <si>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</si>
  <si>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</si>
  <si>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</si>
  <si>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</si>
  <si>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</si>
  <si>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</si>
  <si>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</si>
  <si>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</si>
  <si>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</si>
  <si>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</si>
  <si>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</si>
  <si>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</si>
  <si>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</si>
  <si>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</si>
  <si>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</si>
  <si>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</si>
  <si>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</si>
  <si>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</si>
  <si>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</si>
  <si>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</si>
  <si>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</si>
  <si>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</si>
  <si>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</si>
  <si>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</si>
  <si>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</si>
  <si>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</si>
  <si>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</si>
  <si>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</si>
  <si>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</si>
  <si>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</si>
  <si>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</si>
  <si>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</si>
  <si>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</si>
  <si>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</si>
  <si>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</si>
  <si>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</si>
  <si>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</si>
  <si>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</si>
  <si>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</si>
  <si>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</si>
  <si>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</si>
  <si>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</si>
  <si>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</si>
  <si>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</si>
  <si>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</si>
  <si>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</si>
  <si>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</si>
  <si>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</si>
  <si>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</si>
  <si>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</si>
  <si>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</si>
  <si>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</si>
  <si>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</si>
  <si>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</si>
  <si>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</si>
  <si>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</si>
  <si>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</si>
  <si>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</si>
  <si>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</si>
  <si>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</si>
  <si>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</si>
  <si>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</si>
  <si>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</si>
  <si>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</si>
  <si>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</si>
  <si>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</si>
  <si>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</si>
  <si>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</si>
  <si>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</si>
  <si>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</si>
  <si>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</si>
  <si>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</si>
  <si>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</si>
  <si>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</si>
  <si>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</si>
  <si>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</si>
  <si>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</si>
  <si>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</si>
  <si>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</si>
  <si>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</si>
  <si>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</si>
  <si>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</si>
  <si>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</si>
  <si>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</si>
  <si>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</si>
  <si>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</si>
  <si>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</si>
  <si>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</si>
  <si>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</si>
  <si>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</si>
  <si>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</si>
  <si>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</si>
  <si>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</si>
  <si>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</si>
  <si>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</si>
  <si>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</si>
  <si>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</si>
  <si>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</si>
  <si>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</si>
  <si>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</si>
  <si>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</si>
  <si>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</si>
  <si>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</si>
  <si>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</si>
  <si>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</si>
  <si>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</si>
  <si>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</si>
  <si>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</si>
  <si>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</si>
  <si>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</si>
  <si>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</si>
  <si>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</si>
  <si>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</si>
  <si>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</si>
  <si>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</si>
  <si>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</si>
  <si>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</si>
  <si>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</si>
  <si>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</si>
  <si>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</si>
  <si>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</si>
  <si>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</si>
  <si>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</si>
  <si>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</si>
  <si>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</si>
  <si>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</si>
  <si>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</si>
  <si>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</si>
  <si>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</si>
  <si>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</si>
  <si>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</si>
  <si>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</si>
  <si>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</si>
  <si>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</si>
  <si>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</si>
  <si>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</si>
  <si>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</si>
  <si>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</si>
  <si>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</si>
  <si>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</si>
  <si>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</si>
  <si>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</si>
  <si>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</si>
  <si>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</si>
  <si>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</si>
  <si>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</si>
  <si>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</si>
  <si>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</si>
  <si>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</si>
  <si>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</si>
  <si>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</si>
  <si>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</si>
  <si>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</si>
  <si>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</si>
  <si>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</si>
  <si>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</si>
  <si>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</si>
  <si>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</si>
  <si>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</si>
  <si>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</si>
  <si>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</si>
  <si>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</si>
  <si>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</si>
  <si>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</si>
  <si>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</si>
  <si>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</si>
  <si>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</si>
  <si>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</si>
  <si>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</si>
  <si>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</si>
  <si>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</si>
  <si>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</si>
  <si>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</si>
  <si>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</si>
  <si>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</si>
  <si>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</si>
  <si>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</si>
  <si>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</si>
  <si>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</si>
  <si>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</si>
  <si>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</si>
  <si>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</si>
  <si>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</si>
  <si>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</si>
  <si>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</si>
  <si>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</si>
  <si>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</si>
  <si>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</si>
  <si>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</si>
  <si>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</si>
  <si>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</si>
  <si>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</si>
  <si>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</si>
  <si>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</si>
  <si>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</si>
  <si>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</si>
  <si>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</si>
  <si>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</si>
  <si>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</si>
  <si>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</si>
  <si>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</si>
  <si>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</si>
  <si>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</si>
  <si>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</si>
  <si>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</si>
  <si>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</si>
  <si>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</si>
  <si>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</si>
  <si>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</si>
  <si>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</si>
  <si>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</si>
  <si>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</si>
  <si>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</si>
  <si>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</si>
  <si>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</si>
  <si>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</si>
  <si>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</si>
  <si>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</si>
  <si>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</si>
  <si>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</si>
  <si>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</si>
  <si>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</si>
  <si>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</si>
  <si>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</si>
  <si>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</si>
  <si>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</si>
  <si>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</si>
  <si>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</si>
  <si>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</si>
  <si>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</si>
  <si>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</si>
  <si>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</si>
  <si>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</si>
  <si>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</si>
  <si>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</si>
  <si>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</si>
  <si>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</si>
  <si>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</si>
  <si>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</si>
  <si>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</si>
  <si>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</si>
  <si>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</si>
  <si>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</si>
  <si>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</si>
  <si>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</si>
  <si>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</si>
  <si>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</si>
  <si>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</si>
  <si>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</si>
  <si>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</si>
  <si>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</si>
  <si>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</si>
  <si>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</si>
  <si>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</si>
  <si>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</si>
  <si>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</si>
  <si>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</si>
  <si>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</si>
  <si>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</si>
  <si>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</si>
  <si>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</si>
  <si>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</si>
  <si>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</si>
  <si>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</si>
  <si>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</si>
  <si>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</si>
  <si>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</si>
  <si>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</si>
  <si>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</si>
  <si>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</si>
  <si>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</si>
  <si>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</si>
  <si>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</si>
  <si>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</si>
  <si>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</si>
  <si>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</si>
  <si>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Process contingency ($)</t>
  </si>
  <si>
    <t>Project contingency ($)</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</si>
  <si>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</si>
  <si>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</si>
  <si>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</si>
  <si>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</si>
  <si>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</si>
  <si>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</si>
  <si>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</si>
  <si>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</si>
  <si>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</si>
  <si>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</si>
  <si>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</si>
  <si>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</si>
  <si>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</si>
  <si>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</si>
  <si>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</si>
  <si>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</si>
  <si>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</si>
  <si>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</si>
  <si>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</si>
  <si>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</si>
  <si>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</si>
  <si>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</si>
  <si>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</si>
  <si>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</si>
  <si>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</si>
  <si>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</si>
  <si>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</si>
  <si>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</si>
  <si>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</si>
  <si>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</si>
  <si>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</si>
  <si>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</si>
  <si>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</si>
  <si>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</si>
  <si>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</si>
  <si>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</si>
  <si>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</si>
  <si>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</si>
  <si>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</si>
  <si>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</si>
  <si>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</si>
  <si>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</si>
  <si>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</si>
  <si>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</si>
  <si>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</si>
  <si>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</si>
  <si>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</si>
  <si>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</si>
  <si>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</si>
  <si>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</si>
  <si>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</si>
  <si>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</si>
  <si>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</si>
  <si>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</si>
  <si>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</si>
  <si>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</si>
  <si>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</si>
  <si>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</si>
  <si>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</si>
  <si>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</si>
  <si>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</si>
  <si>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Costs for carbon (CO2) compression, transport to the sequestration site and injection are calculated in this section.  Capital and operating costs for carbon capture are assumed to be included in the capital and operating costs for the production facility and are not included here.  For H2A analysis of hydrogen production processes, it is assumed that only carbon contained in the process feedstock can be captured.  Carbon contained in fuels such as natural gas used for steam generation (i.e., as a utility) cannot be captured.  Therefore, only CO2 emissions from feedstocks are shown below.  CO2 emissions from fuels used as utilities are included in the total emissions from the process shown on the Results sheet.  All feedstocks and utilities should be specified before completing this section.  See the QuickStart Guide for information on the derivation of the equations used in this section.</t>
  </si>
  <si>
    <t>Carbon Sequestration Information</t>
  </si>
  <si>
    <t>Carbon Sequestration Input Values</t>
  </si>
  <si>
    <t>CO2 emissions are based on the carbon content of the feed.  See the Physical Properties Table for specific values</t>
  </si>
  <si>
    <t>kW</t>
  </si>
  <si>
    <t>psi</t>
  </si>
  <si>
    <t>O&amp;M Costs</t>
  </si>
  <si>
    <t>cultivated land</t>
  </si>
  <si>
    <t>grassland</t>
  </si>
  <si>
    <t>wooded</t>
  </si>
  <si>
    <t>jungle</t>
  </si>
  <si>
    <t>&lt;20% Mountainous</t>
  </si>
  <si>
    <t>stony desert</t>
  </si>
  <si>
    <t>&gt;50% Mountainous</t>
  </si>
  <si>
    <t>UK</t>
  </si>
  <si>
    <t>Summary of Output Values</t>
  </si>
  <si>
    <t>CO2 Compressor</t>
  </si>
  <si>
    <t>CO2 Injection (Site and wells)</t>
  </si>
  <si>
    <t>CO2 Pipeline</t>
  </si>
  <si>
    <t>CO2 Mass Flowrate (metric tons/day)</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</si>
  <si>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</si>
  <si>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</si>
  <si>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</si>
  <si>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</si>
  <si>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</si>
  <si>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</si>
  <si>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</si>
  <si>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</si>
  <si>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</si>
  <si>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</si>
  <si>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</si>
  <si>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</si>
  <si>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</si>
  <si>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</si>
  <si>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</si>
  <si>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</si>
  <si>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</si>
  <si>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</si>
  <si>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</si>
  <si>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</si>
  <si>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</si>
  <si>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</si>
  <si>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</si>
  <si>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</si>
  <si>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</si>
  <si>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</si>
  <si>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</si>
  <si>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</si>
  <si>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</si>
  <si>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</si>
  <si>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</si>
  <si>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</si>
  <si>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</si>
  <si>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</si>
  <si>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</si>
  <si>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</si>
  <si>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</si>
  <si>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</si>
  <si>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</si>
  <si>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</si>
  <si>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</si>
  <si>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</si>
  <si>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</si>
  <si>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</si>
  <si>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</si>
  <si>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</si>
  <si>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</si>
  <si>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</si>
  <si>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</si>
  <si>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</si>
  <si>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</si>
  <si>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</si>
  <si>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</si>
  <si>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</si>
  <si>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</si>
  <si>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</si>
  <si>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</si>
  <si>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</si>
  <si>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</si>
  <si>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</si>
  <si>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</si>
  <si>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</si>
  <si>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</si>
  <si>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</si>
  <si>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</si>
  <si>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</si>
  <si>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</si>
  <si>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</si>
  <si>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</si>
  <si>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</si>
  <si>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</si>
  <si>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</si>
  <si>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</si>
  <si>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</si>
  <si>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</si>
  <si>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</si>
  <si>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</si>
  <si>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</si>
  <si>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</si>
  <si>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</si>
  <si>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</si>
  <si>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</si>
  <si>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</si>
  <si>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</si>
  <si>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</si>
  <si>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</si>
  <si>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</si>
  <si>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</si>
  <si>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</si>
  <si>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</si>
  <si>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</si>
  <si>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</si>
  <si>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</si>
  <si>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</si>
  <si>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</si>
  <si>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</si>
  <si>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</si>
  <si>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</si>
  <si>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</si>
  <si>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</si>
  <si>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</si>
  <si>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</si>
  <si>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</si>
  <si>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</si>
  <si>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</si>
  <si>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</si>
  <si>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</si>
  <si>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</si>
  <si>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</si>
  <si>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</si>
  <si>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</si>
  <si>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</si>
  <si>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</si>
  <si>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</si>
  <si>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</si>
  <si>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</si>
  <si>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</si>
  <si>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</si>
  <si>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</si>
  <si>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 capture process outlet pressure (psia)</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</si>
  <si>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</si>
  <si>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</si>
  <si>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</si>
  <si>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</si>
  <si>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</si>
  <si>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</si>
  <si>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</si>
  <si>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</si>
  <si>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</si>
  <si>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</si>
  <si>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</si>
  <si>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</si>
  <si>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</si>
  <si>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</si>
  <si>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</si>
  <si>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</si>
  <si>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</si>
  <si>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</si>
  <si>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</si>
  <si>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</si>
  <si>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</si>
  <si>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</si>
  <si>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</si>
  <si>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</si>
  <si>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</si>
  <si>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</si>
  <si>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</si>
  <si>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</si>
  <si>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</si>
  <si>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</si>
  <si>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</si>
  <si>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</si>
  <si>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</si>
  <si>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</si>
  <si>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</si>
  <si>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</si>
  <si>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</si>
  <si>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</si>
  <si>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</si>
  <si>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</si>
  <si>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</si>
  <si>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</si>
  <si>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</si>
  <si>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</si>
  <si>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</si>
  <si>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</si>
  <si>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</si>
  <si>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</si>
  <si>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</si>
  <si>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</si>
  <si>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</si>
  <si>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</si>
  <si>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</si>
  <si>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</si>
  <si>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</si>
  <si>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</si>
  <si>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</si>
  <si>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</si>
  <si>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</si>
  <si>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</si>
  <si>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</si>
  <si>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</si>
  <si>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</si>
  <si>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</si>
  <si>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</si>
  <si>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</si>
  <si>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</si>
  <si>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</si>
  <si>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</si>
  <si>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</si>
  <si>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</si>
  <si>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</si>
  <si>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</si>
  <si>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</si>
  <si>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</si>
  <si>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</si>
  <si>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</si>
  <si>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</si>
  <si>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</si>
  <si>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</si>
  <si>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</si>
  <si>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</si>
  <si>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</si>
  <si>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</si>
  <si>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</si>
  <si>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</si>
  <si>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</si>
  <si>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</si>
  <si>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</si>
  <si>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</si>
  <si>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</si>
  <si>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</si>
  <si>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</si>
  <si>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</si>
  <si>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</si>
  <si>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</si>
  <si>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</si>
  <si>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</si>
  <si>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</si>
  <si>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</si>
  <si>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</si>
  <si>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</si>
  <si>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</si>
  <si>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</si>
  <si>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</si>
  <si>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</si>
  <si>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</si>
  <si>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</si>
  <si>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</si>
  <si>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</si>
  <si>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</si>
  <si>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</si>
  <si>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</si>
  <si>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</si>
  <si>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</si>
  <si>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</si>
  <si>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</si>
  <si>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</si>
  <si>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</si>
  <si>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</si>
  <si>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</si>
  <si>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</si>
  <si>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</si>
  <si>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</si>
  <si>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</si>
  <si>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</si>
  <si>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</si>
  <si>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</si>
  <si>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</si>
  <si>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</si>
  <si>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</si>
  <si>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</si>
  <si>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</si>
  <si>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</si>
  <si>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</si>
  <si>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</si>
  <si>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</si>
  <si>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</si>
  <si>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</si>
  <si>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</si>
  <si>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</si>
  <si>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</si>
  <si>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</si>
  <si>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</si>
  <si>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</si>
  <si>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</si>
  <si>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</si>
  <si>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</si>
  <si>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</si>
  <si>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</si>
  <si>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</si>
  <si>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</si>
  <si>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</si>
  <si>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</si>
  <si>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</si>
  <si>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</si>
  <si>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</si>
  <si>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</si>
  <si>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</si>
  <si>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</si>
  <si>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</si>
  <si>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</si>
  <si>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</si>
  <si>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</si>
  <si>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</si>
  <si>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</si>
  <si>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</si>
  <si>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</si>
  <si>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</si>
  <si>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</si>
  <si>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</si>
  <si>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</si>
  <si>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</si>
  <si>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</si>
  <si>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</si>
  <si>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</si>
  <si>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</si>
  <si>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</si>
  <si>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</si>
  <si>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</si>
  <si>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</si>
  <si>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</si>
  <si>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</si>
  <si>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</si>
  <si>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</si>
  <si>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</si>
  <si>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</si>
  <si>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</si>
  <si>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</si>
  <si>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</si>
  <si>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</si>
  <si>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</si>
  <si>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</si>
  <si>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</si>
  <si>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</si>
  <si>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</si>
  <si>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</si>
  <si>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</si>
  <si>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</si>
  <si>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</si>
  <si>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</si>
  <si>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</si>
  <si>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</si>
  <si>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</si>
  <si>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</si>
  <si>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</si>
  <si>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</si>
  <si>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</si>
  <si>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</si>
  <si>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</si>
  <si>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</si>
  <si>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</si>
  <si>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</si>
  <si>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</si>
  <si>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</si>
  <si>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</si>
  <si>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</si>
  <si>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</si>
  <si>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</si>
  <si>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</si>
  <si>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</si>
  <si>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</si>
  <si>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</si>
  <si>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</si>
  <si>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</si>
  <si>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</si>
  <si>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</si>
  <si>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</si>
  <si>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</si>
  <si>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</si>
  <si>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</si>
  <si>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</si>
  <si>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</si>
  <si>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</si>
  <si>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</si>
  <si>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</si>
  <si>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</si>
  <si>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</si>
  <si>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</si>
  <si>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</si>
  <si>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</si>
  <si>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</si>
  <si>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</si>
  <si>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</si>
  <si>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</si>
  <si>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</si>
  <si>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</si>
  <si>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</si>
  <si>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</si>
  <si>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</si>
  <si>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</si>
  <si>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</si>
  <si>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</si>
  <si>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</si>
  <si>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</si>
  <si>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</si>
  <si>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</si>
  <si>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</si>
  <si>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</si>
  <si>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</si>
  <si>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</si>
  <si>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</si>
  <si>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</si>
  <si>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</si>
  <si>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</si>
  <si>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</si>
  <si>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</si>
  <si>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</si>
  <si>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</si>
  <si>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r>
      <t>Summary of Output Values</t>
    </r>
    <r>
      <rPr>
        <b/>
        <sz val="10"/>
        <color indexed="23"/>
        <rFont val="Arial"/>
        <family val="2"/>
      </rPr>
      <t xml:space="preserve"> 
(CO2 Seq. costs are reported on Results Tab as part of total H2 Production cost)</t>
    </r>
  </si>
  <si>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</si>
  <si>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</si>
  <si>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</si>
  <si>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</si>
  <si>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</si>
  <si>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</si>
  <si>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</si>
  <si>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</si>
  <si>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</si>
  <si>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</si>
  <si>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</si>
  <si>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H2A Version 2.1 updates</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</si>
  <si>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</si>
  <si>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</si>
  <si>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</si>
  <si>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</si>
  <si>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</si>
  <si>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</si>
  <si>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</si>
  <si>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</si>
  <si>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</si>
  <si>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</si>
  <si>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</si>
  <si>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</si>
  <si>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</si>
  <si>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</si>
  <si>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</si>
  <si>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</si>
  <si>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</si>
  <si>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</si>
  <si>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</si>
  <si>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</si>
  <si>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</si>
  <si>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</si>
  <si>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</si>
  <si>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</si>
  <si>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</si>
  <si>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</si>
  <si>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</si>
  <si>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</si>
  <si>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</si>
  <si>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</si>
  <si>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</si>
  <si>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</si>
  <si>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</si>
  <si>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</si>
  <si>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</si>
  <si>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</si>
  <si>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</si>
  <si>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</si>
  <si>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</si>
  <si>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</si>
  <si>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</si>
  <si>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</si>
  <si>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</si>
  <si>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</si>
  <si>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</si>
  <si>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</si>
  <si>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</si>
  <si>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</si>
  <si>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</si>
  <si>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</si>
  <si>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</si>
  <si>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</si>
  <si>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</si>
  <si>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</si>
  <si>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</si>
  <si>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</si>
  <si>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</si>
  <si>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</si>
  <si>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</si>
  <si>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</si>
  <si>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</si>
  <si>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</si>
  <si>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</si>
  <si>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</si>
  <si>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</si>
  <si>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</si>
  <si>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</si>
  <si>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</si>
  <si>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</si>
  <si>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</si>
  <si>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</si>
  <si>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</si>
  <si>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</si>
  <si>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</si>
  <si>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</si>
  <si>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</si>
  <si>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</si>
  <si>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</si>
  <si>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</si>
  <si>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</si>
  <si>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</si>
  <si>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</si>
  <si>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</si>
  <si>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</si>
  <si>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</si>
  <si>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</si>
  <si>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</si>
  <si>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</si>
  <si>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</si>
  <si>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</si>
  <si>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</si>
  <si>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</si>
  <si>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</si>
  <si>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</si>
  <si>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</si>
  <si>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</si>
  <si>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</si>
  <si>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</si>
  <si>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</si>
  <si>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</si>
  <si>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</si>
  <si>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</si>
  <si>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</si>
  <si>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</si>
  <si>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</si>
  <si>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</si>
  <si>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</si>
  <si>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</si>
  <si>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</si>
  <si>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</si>
  <si>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</si>
  <si>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</si>
  <si>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</si>
  <si>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</si>
  <si>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</si>
  <si>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</si>
  <si>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</si>
  <si>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</si>
  <si>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</si>
  <si>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</si>
  <si>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</si>
  <si>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</si>
  <si>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CO2 Produced from Feedstock (kg CO2/kg H2)</t>
  </si>
  <si>
    <t>CO2 Produced from Feedstock (metric tons CO2/year)</t>
  </si>
  <si>
    <t>Process Carbon Tax ($/year)</t>
  </si>
  <si>
    <t>Process Carbon Tax ($/metric ton carbon produced as CO2)</t>
  </si>
  <si>
    <t>Upstream Carbon Tax ($/metric ton upstream GHG CO2 eq)</t>
  </si>
  <si>
    <t>Upstream Carbon Tax ($/year)</t>
  </si>
  <si>
    <t>CO2 sequestration O&amp;M costs and credits ($/year)</t>
  </si>
  <si>
    <t>CO2 capture credit ($/metric ton CO2 captured)</t>
  </si>
  <si>
    <t>CO2_credit</t>
  </si>
  <si>
    <t>CO2 Capture 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</si>
  <si>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</si>
  <si>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</si>
  <si>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</si>
  <si>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</si>
  <si>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</si>
  <si>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</si>
  <si>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</si>
  <si>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</si>
  <si>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</si>
  <si>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</si>
  <si>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</si>
  <si>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</si>
  <si>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</si>
  <si>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</si>
  <si>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</si>
  <si>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</si>
  <si>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</si>
  <si>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</si>
  <si>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</si>
  <si>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</si>
  <si>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</si>
  <si>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</si>
  <si>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</si>
  <si>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</si>
  <si>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</si>
  <si>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</si>
  <si>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</si>
  <si>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</si>
  <si>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</si>
  <si>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</si>
  <si>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</si>
  <si>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</si>
  <si>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</si>
  <si>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</si>
  <si>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</si>
  <si>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Carbon Sequestration Electricity Usage (kWh/kg H2)</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</si>
  <si>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</si>
  <si>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</si>
  <si>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</si>
  <si>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</si>
  <si>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</si>
  <si>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</si>
  <si>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</si>
  <si>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</si>
  <si>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</si>
  <si>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</si>
  <si>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</si>
  <si>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</si>
  <si>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</si>
  <si>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</si>
  <si>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</si>
  <si>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</si>
  <si>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</si>
  <si>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</si>
  <si>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</si>
  <si>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</si>
  <si>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</si>
  <si>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</si>
  <si>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</si>
  <si>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</si>
  <si>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</si>
  <si>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</si>
  <si>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</si>
  <si>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</si>
  <si>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</si>
  <si>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</si>
  <si>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</si>
  <si>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</si>
  <si>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</si>
  <si>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</si>
  <si>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</si>
  <si>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</si>
  <si>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</si>
  <si>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</si>
  <si>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</si>
  <si>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</si>
  <si>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</si>
  <si>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</si>
  <si>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</si>
  <si>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</si>
  <si>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</si>
  <si>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</si>
  <si>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</si>
  <si>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</si>
  <si>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</si>
  <si>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</si>
  <si>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</si>
  <si>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</si>
  <si>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</si>
  <si>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</si>
  <si>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</si>
  <si>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</si>
  <si>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</si>
  <si>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</si>
  <si>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</si>
  <si>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</si>
  <si>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</si>
  <si>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</si>
  <si>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</si>
  <si>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</si>
  <si>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</si>
  <si>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</si>
  <si>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</si>
  <si>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</si>
  <si>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</si>
  <si>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</si>
  <si>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</si>
  <si>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</si>
  <si>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</si>
  <si>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</si>
  <si>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</si>
  <si>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</si>
  <si>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</si>
  <si>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</si>
  <si>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</si>
  <si>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</si>
  <si>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</si>
  <si>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</si>
  <si>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</si>
  <si>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</si>
  <si>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</si>
  <si>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</si>
  <si>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</si>
  <si>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</si>
  <si>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</si>
  <si>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</si>
  <si>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</si>
  <si>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</si>
  <si>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</si>
  <si>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</si>
  <si>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</si>
  <si>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</si>
  <si>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Approx. Uninstalled Equipment Cost</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</si>
  <si>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</si>
  <si>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</si>
  <si>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</si>
  <si>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</si>
  <si>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</si>
  <si>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Source: http://data.bls.gov/timeseries/CEU3232500008?data_tool=Xgtable</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</si>
  <si>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</si>
  <si>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</si>
  <si>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</si>
  <si>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</si>
  <si>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</si>
  <si>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</si>
  <si>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</si>
  <si>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</si>
  <si>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</si>
  <si>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</si>
  <si>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</si>
  <si>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</si>
  <si>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</si>
  <si>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</si>
  <si>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</si>
  <si>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</si>
  <si>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</si>
  <si>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</si>
  <si>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</si>
  <si>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</si>
  <si>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</si>
  <si>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</si>
  <si>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</si>
  <si>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</si>
  <si>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</si>
  <si>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</si>
  <si>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</si>
  <si>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</si>
  <si>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</si>
  <si>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</si>
  <si>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</si>
  <si>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</si>
  <si>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</si>
  <si>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</si>
  <si>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</si>
  <si>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</si>
  <si>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</si>
  <si>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</si>
  <si>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</si>
  <si>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</si>
  <si>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</si>
  <si>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</si>
  <si>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</si>
  <si>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</si>
  <si>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</si>
  <si>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</si>
  <si>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</si>
  <si>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</si>
  <si>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</si>
  <si>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</si>
  <si>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</si>
  <si>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</si>
  <si>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</si>
  <si>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</si>
  <si>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</si>
  <si>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</si>
  <si>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</si>
  <si>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</si>
  <si>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</si>
  <si>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</si>
  <si>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</si>
  <si>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</si>
  <si>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</si>
  <si>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</si>
  <si>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</si>
  <si>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</si>
  <si>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</si>
  <si>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</si>
  <si>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</si>
  <si>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</si>
  <si>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</si>
  <si>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</si>
  <si>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</si>
  <si>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</si>
  <si>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</si>
  <si>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</si>
  <si>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</si>
  <si>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</si>
  <si>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</si>
  <si>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</si>
  <si>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</si>
  <si>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</si>
  <si>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</si>
  <si>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</si>
  <si>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</si>
  <si>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</si>
  <si>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</si>
  <si>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</si>
  <si>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</si>
  <si>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</si>
  <si>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</si>
  <si>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</si>
  <si>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</si>
  <si>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</si>
  <si>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</si>
  <si>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</si>
  <si>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</si>
  <si>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</si>
  <si>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</si>
  <si>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</si>
  <si>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</si>
  <si>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</si>
  <si>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</si>
  <si>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CO2 Pump Costs</t>
  </si>
  <si>
    <t>Adjustment factor (Natural Gas Pipeline -&gt; CO2 Pipeline)</t>
  </si>
  <si>
    <t>Pipeline Control System</t>
  </si>
  <si>
    <t>CO2 Other Equipment Costs</t>
  </si>
  <si>
    <t>CO2 Surge Tank</t>
  </si>
  <si>
    <t>Operation and maintenance factor for equipment (pumps, etc.)</t>
  </si>
  <si>
    <t>Inlet Pressure</t>
  </si>
  <si>
    <t>Outlet Pressure</t>
  </si>
  <si>
    <t>psia</t>
  </si>
  <si>
    <t>Pump Power</t>
  </si>
  <si>
    <t>Pump Efficiency</t>
  </si>
  <si>
    <t>Number of Pumps (H2 Production Site + Booster Pumps)</t>
  </si>
  <si>
    <t>Electricity Costs</t>
  </si>
  <si>
    <t>$/yr (start-up year electricity cost)</t>
  </si>
  <si>
    <t>Ecomp = elec cost*Wcomp*(capacity factor*24*365)*n_pumps</t>
  </si>
  <si>
    <t>Carbon Transport Calculations</t>
  </si>
  <si>
    <t>Pipeline Temperature (°F)</t>
  </si>
  <si>
    <t>CO2 Density (kg/m3)</t>
  </si>
  <si>
    <r>
      <t>PR Equation of state:  ρ</t>
    </r>
    <r>
      <rPr>
        <vertAlign val="subscript"/>
        <sz val="10"/>
        <color theme="1"/>
        <rFont val="Calibri"/>
        <family val="2"/>
      </rPr>
      <t>CO2</t>
    </r>
    <r>
      <rPr>
        <sz val="10"/>
        <color theme="1"/>
        <rFont val="Calibri"/>
        <family val="2"/>
      </rPr>
      <t xml:space="preserve"> = denPRCO2(v</t>
    </r>
    <r>
      <rPr>
        <vertAlign val="subscript"/>
        <sz val="10"/>
        <color theme="1"/>
        <rFont val="Calibri"/>
        <family val="2"/>
      </rPr>
      <t>CO2-init</t>
    </r>
    <r>
      <rPr>
        <sz val="10"/>
        <color theme="1"/>
        <rFont val="Calibri"/>
        <family val="2"/>
      </rPr>
      <t>, P</t>
    </r>
    <r>
      <rPr>
        <vertAlign val="subscript"/>
        <sz val="10"/>
        <color theme="1"/>
        <rFont val="Calibri"/>
        <family val="2"/>
      </rPr>
      <t>ave</t>
    </r>
    <r>
      <rPr>
        <sz val="10"/>
        <color theme="1"/>
        <rFont val="Calibri"/>
        <family val="2"/>
      </rPr>
      <t>, T</t>
    </r>
    <r>
      <rPr>
        <vertAlign val="subscript"/>
        <sz val="10"/>
        <color theme="1"/>
        <rFont val="Calibri"/>
        <family val="2"/>
      </rPr>
      <t>Pipeline</t>
    </r>
    <r>
      <rPr>
        <sz val="10"/>
        <color theme="1"/>
        <rFont val="Calibri"/>
        <family val="2"/>
      </rPr>
      <t>)</t>
    </r>
  </si>
  <si>
    <t>Regional Evaluation</t>
  </si>
  <si>
    <t>Site Characterization</t>
  </si>
  <si>
    <t xml:space="preserve">Operations </t>
  </si>
  <si>
    <t>Post Injection Site Care &amp; Site Closure</t>
  </si>
  <si>
    <t>Carbon Storage (Saline) Calculations</t>
  </si>
  <si>
    <t>Expense Costs by Stage</t>
  </si>
  <si>
    <t>5/15/17:  Same information as BLS data for Chemical Mfg:  https://data.bls.gov/pdq/SurveyOutputServlet</t>
  </si>
  <si>
    <t>CEPC Inflation Adj: 2008-&gt;2005</t>
  </si>
  <si>
    <t>CO2 Pumps</t>
  </si>
  <si>
    <t>CO2 Storage Cost Breakdown (2007 USD)</t>
  </si>
  <si>
    <t xml:space="preserve">Capital Costs </t>
  </si>
  <si>
    <t>CO2 Other Equipment</t>
  </si>
  <si>
    <t>CO2 Storage</t>
  </si>
  <si>
    <t>CO2 Storage (annualized)</t>
  </si>
  <si>
    <t>Carbon Sequestration Energy Charge ($/tonne CO2)</t>
  </si>
  <si>
    <t>Carbon Sequestration O&amp;M Charge ($/tonne CO2)</t>
  </si>
  <si>
    <t>Approx Carbon Seq. Cap. Charge ($/tonne CO2)</t>
  </si>
  <si>
    <t>Inlet pressure for CO2 transport (pump suction pressure)</t>
  </si>
  <si>
    <t>Pipeline length (miles)</t>
  </si>
  <si>
    <t>Pipeline Elevation Change (ft)</t>
  </si>
  <si>
    <t>Process Design Parameters</t>
  </si>
  <si>
    <t>Process Conditions</t>
  </si>
  <si>
    <t>Other Considerations</t>
  </si>
  <si>
    <t>Finance Parameters</t>
  </si>
  <si>
    <t>Notes / References</t>
  </si>
  <si>
    <t>Ground temperature</t>
  </si>
  <si>
    <t>Pipeline Nominal Diameter (in)</t>
  </si>
  <si>
    <t>CO2_Pump_Eff</t>
  </si>
  <si>
    <t>CO2_ControlSystem</t>
  </si>
  <si>
    <t>CO2_SurgeTank</t>
  </si>
  <si>
    <t>CO2_PipeElevation</t>
  </si>
  <si>
    <t>CO2_Pipeline_Temp</t>
  </si>
  <si>
    <t>Ongoing Capital Expences</t>
  </si>
  <si>
    <t>Material Capital</t>
  </si>
  <si>
    <t>Electricity consumption</t>
  </si>
  <si>
    <t>kWh/kg H2</t>
  </si>
  <si>
    <t xml:space="preserve">Pump Fixed Cost </t>
  </si>
  <si>
    <t>Pump Variable Cost</t>
  </si>
  <si>
    <t>(Total Other Equipment Cost) * O&amp;M Factor</t>
  </si>
  <si>
    <t>Pipeline Process Control System</t>
  </si>
  <si>
    <t>Pipeline cost of $5000/mi-yr</t>
  </si>
  <si>
    <t>Miscellaneous (Surveying, engineering, supervision, etc.)</t>
  </si>
  <si>
    <t>Right of Way and Damages</t>
  </si>
  <si>
    <t>Labor</t>
  </si>
  <si>
    <t>Pipeline Capital Cost Per Mile</t>
  </si>
  <si>
    <t>n_CO2_pumps</t>
  </si>
  <si>
    <t>Pump Capital Cost</t>
  </si>
  <si>
    <r>
      <t>C</t>
    </r>
    <r>
      <rPr>
        <vertAlign val="subscript"/>
        <sz val="10"/>
        <color theme="1"/>
        <rFont val="Arial"/>
        <family val="2"/>
      </rPr>
      <t>Cost_Type</t>
    </r>
    <r>
      <rPr>
        <sz val="10"/>
        <color theme="1"/>
        <rFont val="Arial"/>
        <family val="2"/>
      </rPr>
      <t xml:space="preserve"> = a</t>
    </r>
    <r>
      <rPr>
        <vertAlign val="subscript"/>
        <sz val="10"/>
        <color theme="1"/>
        <rFont val="Arial"/>
        <family val="2"/>
      </rPr>
      <t>0</t>
    </r>
    <r>
      <rPr>
        <sz val="10"/>
        <color theme="1"/>
        <rFont val="Arial"/>
        <family val="2"/>
      </rPr>
      <t xml:space="preserve"> + L * (a</t>
    </r>
    <r>
      <rPr>
        <vertAlign val="subscript"/>
        <sz val="10"/>
        <color theme="1"/>
        <rFont val="Arial"/>
        <family val="2"/>
      </rPr>
      <t xml:space="preserve">1 </t>
    </r>
    <r>
      <rPr>
        <sz val="10"/>
        <color theme="1"/>
        <rFont val="Arial"/>
        <family val="2"/>
      </rPr>
      <t>* D</t>
    </r>
    <r>
      <rPr>
        <vertAlign val="superscript"/>
        <sz val="10"/>
        <color theme="1"/>
        <rFont val="Arial"/>
        <family val="2"/>
      </rPr>
      <t>2</t>
    </r>
    <r>
      <rPr>
        <sz val="10"/>
        <color theme="1"/>
        <rFont val="Arial"/>
        <family val="2"/>
      </rPr>
      <t xml:space="preserve"> + a</t>
    </r>
    <r>
      <rPr>
        <vertAlign val="subscript"/>
        <sz val="10"/>
        <color theme="1"/>
        <rFont val="Arial"/>
        <family val="2"/>
      </rPr>
      <t xml:space="preserve">2 </t>
    </r>
    <r>
      <rPr>
        <sz val="10"/>
        <color theme="1"/>
        <rFont val="Arial"/>
        <family val="2"/>
      </rPr>
      <t>* D + a</t>
    </r>
    <r>
      <rPr>
        <vertAlign val="subscript"/>
        <sz val="10"/>
        <color theme="1"/>
        <rFont val="Arial"/>
        <family val="2"/>
      </rPr>
      <t>3</t>
    </r>
    <r>
      <rPr>
        <sz val="10"/>
        <color theme="1"/>
        <rFont val="Arial"/>
        <family val="2"/>
      </rPr>
      <t>) based on NETL CO2 Transport Model which uses Parker (2004) UCD-ITS-RR-04-35  basis</t>
    </r>
  </si>
  <si>
    <r>
      <t>C</t>
    </r>
    <r>
      <rPr>
        <vertAlign val="subscript"/>
        <sz val="10"/>
        <color theme="1"/>
        <rFont val="Arial"/>
        <family val="2"/>
      </rPr>
      <t>pump</t>
    </r>
    <r>
      <rPr>
        <sz val="10"/>
        <color theme="1"/>
        <rFont val="Arial"/>
        <family val="2"/>
      </rPr>
      <t xml:space="preserve"> = (C</t>
    </r>
    <r>
      <rPr>
        <vertAlign val="subscript"/>
        <sz val="10"/>
        <color theme="1"/>
        <rFont val="Arial"/>
        <family val="2"/>
      </rPr>
      <t>pump_fix</t>
    </r>
    <r>
      <rPr>
        <sz val="10"/>
        <color theme="1"/>
        <rFont val="Arial"/>
        <family val="2"/>
      </rPr>
      <t xml:space="preserve"> + C</t>
    </r>
    <r>
      <rPr>
        <vertAlign val="subscript"/>
        <sz val="10"/>
        <color theme="1"/>
        <rFont val="Arial"/>
        <family val="2"/>
      </rPr>
      <t xml:space="preserve">pump_var </t>
    </r>
    <r>
      <rPr>
        <sz val="10"/>
        <color theme="1"/>
        <rFont val="Arial"/>
        <family val="2"/>
      </rPr>
      <t>* W</t>
    </r>
    <r>
      <rPr>
        <vertAlign val="subscript"/>
        <sz val="10"/>
        <color theme="1"/>
        <rFont val="Arial"/>
        <family val="2"/>
      </rPr>
      <t>pump</t>
    </r>
    <r>
      <rPr>
        <sz val="10"/>
        <color theme="1"/>
        <rFont val="Arial"/>
        <family val="2"/>
      </rPr>
      <t>)</t>
    </r>
  </si>
  <si>
    <t>Cost of $1,110/kW (2005$) from NETL CO2 Transport Model which uses McCollum &amp; Ogden (2006) UCD-ITS-RR-06-14 basis</t>
  </si>
  <si>
    <r>
      <t>W</t>
    </r>
    <r>
      <rPr>
        <vertAlign val="subscript"/>
        <sz val="10"/>
        <rFont val="Arial"/>
        <family val="2"/>
      </rPr>
      <t>pump</t>
    </r>
    <r>
      <rPr>
        <sz val="10"/>
        <rFont val="Arial"/>
        <family val="2"/>
      </rPr>
      <t xml:space="preserve"> = ((1e3 kg/t * 1e6 Pa/MPa * 1e-3 kW/W)  / (24*3600 s/day))*qmax*dPpump/(ηpump*ρCO2)   from NETL CO2 Transport Model</t>
    </r>
  </si>
  <si>
    <t>Fixed cost of $70,000 (2005$) from NETL CO2 Transport Model which uses McCollum &amp; Ogden (2006) UCD-ITS-RR-06-14 basis</t>
  </si>
  <si>
    <t>Based on NETL CO2 Transport Model which uses NETL (2010) DOE/NETL-2010/1447 basis. Original cost is in 2000$</t>
  </si>
  <si>
    <r>
      <t>a</t>
    </r>
    <r>
      <rPr>
        <vertAlign val="subscript"/>
        <sz val="10"/>
        <color theme="1"/>
        <rFont val="Arial"/>
        <family val="2"/>
      </rPr>
      <t>0</t>
    </r>
    <r>
      <rPr>
        <sz val="10"/>
        <color theme="1"/>
        <rFont val="Arial"/>
        <family val="2"/>
      </rPr>
      <t xml:space="preserve"> = 35,000 $;   a</t>
    </r>
    <r>
      <rPr>
        <vertAlign val="subscript"/>
        <sz val="10"/>
        <color theme="1"/>
        <rFont val="Arial"/>
        <family val="2"/>
      </rPr>
      <t>1</t>
    </r>
    <r>
      <rPr>
        <sz val="10"/>
        <color theme="1"/>
        <rFont val="Arial"/>
        <family val="2"/>
      </rPr>
      <t xml:space="preserve"> = 330.5 $/mi-in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687 $/mi-in;   a</t>
    </r>
    <r>
      <rPr>
        <vertAlign val="subscript"/>
        <sz val="10"/>
        <color theme="1"/>
        <rFont val="Arial"/>
        <family val="2"/>
      </rPr>
      <t xml:space="preserve">3 </t>
    </r>
    <r>
      <rPr>
        <sz val="10"/>
        <color theme="1"/>
        <rFont val="Arial"/>
        <family val="2"/>
      </rPr>
      <t>= 26,960 $/mi   (coefficient basis is 2000$)</t>
    </r>
  </si>
  <si>
    <r>
      <t>a</t>
    </r>
    <r>
      <rPr>
        <vertAlign val="subscript"/>
        <sz val="10"/>
        <color theme="1"/>
        <rFont val="Arial"/>
        <family val="2"/>
      </rPr>
      <t>0</t>
    </r>
    <r>
      <rPr>
        <sz val="10"/>
        <color theme="1"/>
        <rFont val="Arial"/>
        <family val="2"/>
      </rPr>
      <t xml:space="preserve"> = 185,000 $;   a</t>
    </r>
    <r>
      <rPr>
        <vertAlign val="subscript"/>
        <sz val="10"/>
        <color theme="1"/>
        <rFont val="Arial"/>
        <family val="2"/>
      </rPr>
      <t>1</t>
    </r>
    <r>
      <rPr>
        <sz val="10"/>
        <color theme="1"/>
        <rFont val="Arial"/>
        <family val="2"/>
      </rPr>
      <t xml:space="preserve"> = 343 $/mi-in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2,074 $/mi-in;   a</t>
    </r>
    <r>
      <rPr>
        <vertAlign val="subscript"/>
        <sz val="10"/>
        <color theme="1"/>
        <rFont val="Arial"/>
        <family val="2"/>
      </rPr>
      <t xml:space="preserve">3 </t>
    </r>
    <r>
      <rPr>
        <sz val="10"/>
        <color theme="1"/>
        <rFont val="Arial"/>
        <family val="2"/>
      </rPr>
      <t>= 170,013 $/mi   (coefficient basis is 2000$)</t>
    </r>
  </si>
  <si>
    <r>
      <t>a</t>
    </r>
    <r>
      <rPr>
        <vertAlign val="subscript"/>
        <sz val="10"/>
        <color theme="1"/>
        <rFont val="Arial"/>
        <family val="2"/>
      </rPr>
      <t>0</t>
    </r>
    <r>
      <rPr>
        <sz val="10"/>
        <color theme="1"/>
        <rFont val="Arial"/>
        <family val="2"/>
      </rPr>
      <t xml:space="preserve"> = 40,000 $;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577 $/mi-in;   a</t>
    </r>
    <r>
      <rPr>
        <vertAlign val="subscript"/>
        <sz val="10"/>
        <color theme="1"/>
        <rFont val="Arial"/>
        <family val="2"/>
      </rPr>
      <t xml:space="preserve">3 </t>
    </r>
    <r>
      <rPr>
        <sz val="10"/>
        <color theme="1"/>
        <rFont val="Arial"/>
        <family val="2"/>
      </rPr>
      <t>= 29,788 $/mi   (coefficient basis is 2000$)</t>
    </r>
  </si>
  <si>
    <r>
      <t>a</t>
    </r>
    <r>
      <rPr>
        <vertAlign val="subscript"/>
        <sz val="10"/>
        <color theme="1"/>
        <rFont val="Arial"/>
        <family val="2"/>
      </rPr>
      <t>0</t>
    </r>
    <r>
      <rPr>
        <sz val="10"/>
        <color theme="1"/>
        <rFont val="Arial"/>
        <family val="2"/>
      </rPr>
      <t xml:space="preserve"> = 95,000 $;   a</t>
    </r>
    <r>
      <rPr>
        <vertAlign val="subscript"/>
        <sz val="10"/>
        <color theme="1"/>
        <rFont val="Arial"/>
        <family val="2"/>
      </rPr>
      <t>1</t>
    </r>
    <r>
      <rPr>
        <sz val="10"/>
        <color theme="1"/>
        <rFont val="Arial"/>
        <family val="2"/>
      </rPr>
      <t xml:space="preserve"> = 0 $/mi-in</t>
    </r>
    <r>
      <rPr>
        <vertAlign val="superscript"/>
        <sz val="10"/>
        <color theme="1"/>
        <rFont val="Arial"/>
        <family val="2"/>
      </rPr>
      <t xml:space="preserve">2;  </t>
    </r>
    <r>
      <rPr>
        <sz val="10"/>
        <color theme="1"/>
        <rFont val="Arial"/>
        <family val="2"/>
      </rPr>
      <t xml:space="preserve"> a</t>
    </r>
    <r>
      <rPr>
        <vertAlign val="subscript"/>
        <sz val="10"/>
        <color theme="1"/>
        <rFont val="Arial"/>
        <family val="2"/>
      </rPr>
      <t xml:space="preserve">2 </t>
    </r>
    <r>
      <rPr>
        <sz val="10"/>
        <color theme="1"/>
        <rFont val="Arial"/>
        <family val="2"/>
      </rPr>
      <t>= 8,417 $/mi-in;   a</t>
    </r>
    <r>
      <rPr>
        <vertAlign val="subscript"/>
        <sz val="10"/>
        <color theme="1"/>
        <rFont val="Arial"/>
        <family val="2"/>
      </rPr>
      <t xml:space="preserve">3 </t>
    </r>
    <r>
      <rPr>
        <sz val="10"/>
        <color theme="1"/>
        <rFont val="Arial"/>
        <family val="2"/>
      </rPr>
      <t>= 7,324 $/mi   (coefficient basis is 2000$)</t>
    </r>
  </si>
  <si>
    <t>Based on NETL CO2 Transport Model which uses Bock (2003) basis. $5000/mi-yr is based in 1999$</t>
  </si>
  <si>
    <t>Operations</t>
  </si>
  <si>
    <t>Total ongoing capital expenses</t>
  </si>
  <si>
    <t>Based on NETL CO2 Saline Storage Cost Model -- P50 correlation determined (2008$) as function of CO2 flowrate for each stage of cost</t>
  </si>
  <si>
    <t>CO2 Mass Flowrate (G metric tons/year)</t>
  </si>
  <si>
    <t>Set to 0 to turn off CCS</t>
  </si>
  <si>
    <t>a</t>
  </si>
  <si>
    <t>Total transportation and storage cost (w/o capture)</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</si>
  <si>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</si>
  <si>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</si>
  <si>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</si>
  <si>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</si>
  <si>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</si>
  <si>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</si>
  <si>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</si>
  <si>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</si>
  <si>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</si>
  <si>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H2A Version 2</t>
  </si>
  <si>
    <t>H2A Version 3</t>
  </si>
  <si>
    <t>M. Penev</t>
  </si>
  <si>
    <t>Case was ported to H2A version 3</t>
  </si>
  <si>
    <t>Price Conversion Factor (GJ/kg)</t>
  </si>
  <si>
    <t>Price in Startup Year ($2016)/kg</t>
  </si>
  <si>
    <t>Usage (kg/kg H2)</t>
  </si>
  <si>
    <t>$(2016)/ gal</t>
  </si>
  <si>
    <t>Run Risk Analysis?</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</si>
  <si>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</si>
  <si>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</si>
  <si>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</si>
  <si>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</si>
  <si>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</si>
  <si>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</si>
  <si>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</si>
  <si>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</si>
  <si>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</si>
  <si>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</si>
  <si>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</si>
  <si>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</si>
  <si>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</si>
  <si>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</si>
  <si>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</si>
  <si>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</si>
  <si>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</si>
  <si>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</si>
  <si>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</si>
  <si>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</si>
  <si>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</si>
  <si>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</si>
  <si>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</si>
  <si>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</si>
  <si>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</si>
  <si>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</si>
  <si>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</si>
  <si>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</si>
  <si>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</si>
  <si>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</si>
  <si>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</si>
  <si>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</si>
  <si>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</si>
  <si>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</si>
  <si>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</si>
  <si>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</si>
  <si>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</si>
  <si>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</si>
  <si>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</si>
  <si>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</si>
  <si>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</si>
  <si>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</si>
  <si>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</si>
  <si>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</si>
  <si>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</si>
  <si>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</si>
  <si>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</si>
  <si>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NREL - updated for release</t>
  </si>
  <si>
    <t>none</t>
  </si>
  <si>
    <t>M. Mann and D. M. Steward</t>
  </si>
  <si>
    <t>Farmed woody biomass</t>
  </si>
  <si>
    <t>Internally generated steam and electricity; Industrial electricity and Commercial Natural Gas</t>
  </si>
  <si>
    <t>Battelle Columbus Laboratory Indirectly-Heated Gasifier</t>
  </si>
  <si>
    <t>USA, average</t>
  </si>
  <si>
    <t>The purpose of this analysis was to determine the production cost of hydrogen from biomass via the FERCO indirectly-heated gasifier.</t>
  </si>
  <si>
    <t>The systems examined are based on the Battelle/FERCO indirectly-heated biomass gasifier, conventional catalytic steam reforming, water gas shift, and pressure swing adsorption purification.  The indirectly-heated biomass gasifier uses hot sand, circulating between the char combustor and the gasifier, to provide the heat necessary for gasification.  Steam is used as the fluidizing gas; no oxygen (as pure oxygen or air) is fed to the gasifier.  The biomass feedstock is assumed to be a woody biomass, represented as hybrid poplar.</t>
  </si>
  <si>
    <t>Corporate ownership, 100% equity financed</t>
  </si>
  <si>
    <t>Rob Williams, Nathan Parker, Christopher Yang, Joan Ogden and Bryan Jenkins, H2 Production Via Biomass Gasification, Advanced Energy Pathways (AEP) Project Task 4.1 Technology Assessments of Vehicle Fuels and Technologies, Public Interest Energy Research (PIER) Program California Energy Commission, July 2007.</t>
  </si>
  <si>
    <t>Sensitivity ranges derived from; October 2011
Hydrogen Production Cost Estimate Using Biomass Gasification
NREL/BK-6A10-51726</t>
  </si>
  <si>
    <t>feedstock Woody Biomass Usage</t>
  </si>
  <si>
    <t>feedstockWoody_Biomass_Usage</t>
  </si>
  <si>
    <t>utility</t>
  </si>
  <si>
    <t>Price Conversion Factor (GJ/mmBtu)</t>
  </si>
  <si>
    <t>Price in Startup Year ($2016)/mmBtu</t>
  </si>
  <si>
    <t>Usage (mmBtu/kg H2)</t>
  </si>
  <si>
    <t>utility Commercial Natural Gas Usage</t>
  </si>
  <si>
    <t>utilityCommercial_Natural_Gas_Usage</t>
  </si>
  <si>
    <t>Usage (kWh/kg H2)</t>
  </si>
  <si>
    <t xml:space="preserve">      Feed Handling &amp; Drying</t>
  </si>
  <si>
    <t xml:space="preserve">      Gasification, Tar Reforming, &amp; Quench</t>
  </si>
  <si>
    <t xml:space="preserve">      Compression &amp; Sulfur Removal</t>
  </si>
  <si>
    <t xml:space="preserve">      Steam System and Power Generation</t>
  </si>
  <si>
    <t xml:space="preserve">      Cooling Water and Other Utilities</t>
  </si>
  <si>
    <t xml:space="preserve">      Buildings &amp; Structures</t>
  </si>
  <si>
    <t>Central Biomass Gasification - Future Timeframe</t>
  </si>
  <si>
    <t>NREL - G. Saur</t>
  </si>
  <si>
    <t>Fixed Feedstock cost to reference AEO 2009 reference case</t>
  </si>
  <si>
    <t>H2A version 3</t>
  </si>
  <si>
    <t>D.M Steward</t>
  </si>
  <si>
    <t>ported to new structure</t>
  </si>
  <si>
    <t>D.M. Steward</t>
  </si>
  <si>
    <t>Updated to remove hydrogen compression energy usage and capital cost</t>
  </si>
  <si>
    <t>NREL - review</t>
  </si>
  <si>
    <t>H2A Version 1</t>
  </si>
  <si>
    <t>Margaret K. Mann</t>
  </si>
  <si>
    <t>Material and energy balances in Aspen Plus®, equipment costing in Questimate, cash flow analysis, sensitivity analysis (ref. Spath et al)</t>
  </si>
  <si>
    <t xml:space="preserve">P. Spath, A. Aden, T. Eggeman, M. Ringer, B. Wallace, and J. Jechura, 2005 Biomass to Hydrogen Production Detailed Design May 2005 and Economics Utilizing the Battelle Columbus Laboratory Indirectly-Heated Gasifier NREL/TP-510-37408 </t>
  </si>
  <si>
    <t>Published H2A biomass case: h2a_central_biomass_gasification_current_final.xls</t>
  </si>
  <si>
    <t>The feedstock used for this analysis is hybrid poplar wood chips delivered at 50 wt% moisture. The ultimate analysis for the feed used in this study is given in Table 1. The plant capacity is designed to be 2,000 bone dry tonne/day. The plant is considered to be an “nth” plant design (i.e., established and not a first of a kind or pioneer plant).</t>
  </si>
  <si>
    <t>The goal design differs from the current design in that the tar reformer now consists of a reactor vessel and a catalyst regeneration vessel. Additionally, since the tar reformer now reforms a significant amount of the syngas methane, the steam reformer was eliminated from the design. The tar reforming reactor/catalyst regenerator system operates isothermally. The heat required for the tar reforming reactor/catalyst regenerator system is supplied by burning the PSA offgas along with some natural gas. The steam to carbon ratio for the shift conversion step is set at 2 mol of H2O/mol of C. The biomass-to-hydrogen process is integrated with the steam cycle. A block flow diagram of the goal design is shown in Figure 1.</t>
  </si>
  <si>
    <t>utility Industrial Electricity Usage</t>
  </si>
  <si>
    <t>utilityIndustrial_Electricity_Usage</t>
  </si>
  <si>
    <t xml:space="preserve">      Shift and PSA</t>
  </si>
  <si>
    <t xml:space="preserve">      Hydrogen Compression</t>
  </si>
  <si>
    <t>in 2016 $/GJ, LHV</t>
  </si>
  <si>
    <t>NOTE: AEO Prices prior to 2015 were augmented with AEO historical data</t>
  </si>
  <si>
    <t>Enter 0 to enable constant outstanding debt.</t>
  </si>
  <si>
    <t>H2A Hydrogen Production Cash Flow Analysis Tool v3.2018</t>
  </si>
  <si>
    <t>Future Central Hydrogen from Biomass via Gasification and Catalytic Steam Reforming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</si>
</sst>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s>
  <fonts count="84" x14ac:knownFonts="1">
    <font>
      <sz val="10"/>
      <name val="Arial"/>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u/>
      <sz val="10"/>
      <name val="Arial"/>
      <family val="2"/>
    </font>
    <font>
      <sz val="11"/>
      <name val="Arial"/>
      <family val="2"/>
    </font>
    <font>
      <b/>
      <sz val="14"/>
      <color indexed="12"/>
      <name val="Arial Black"/>
      <family val="2"/>
    </font>
    <font>
      <u/>
      <sz val="10"/>
      <name val="Arial"/>
      <family val="2"/>
    </font>
    <font>
      <sz val="14"/>
      <color indexed="12"/>
      <name val="Arial Black"/>
      <family val="2"/>
    </font>
    <font>
      <b/>
      <u/>
      <sz val="11"/>
      <color indexed="12"/>
      <name val="Arial"/>
      <family val="2"/>
    </font>
    <font>
      <b/>
      <sz val="8"/>
      <color indexed="8"/>
      <name val="Verdana"/>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b/>
      <sz val="11"/>
      <color indexed="12"/>
      <name val="Arial"/>
      <family val="2"/>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color theme="0" tint="-0.249977111117893"/>
      <name val="Arial"/>
      <family val="2"/>
    </font>
    <font>
      <sz val="10"/>
      <name val="Calibri"/>
      <family val="2"/>
    </font>
    <font>
      <sz val="10"/>
      <color theme="9"/>
      <name val="Arial"/>
      <family val="2"/>
    </font>
    <font>
      <sz val="10"/>
      <color theme="1"/>
      <name val="Calibri"/>
      <family val="2"/>
    </font>
    <font>
      <vertAlign val="subscript"/>
      <sz val="10"/>
      <color theme="1"/>
      <name val="Calibri"/>
      <family val="2"/>
    </font>
    <font>
      <sz val="11"/>
      <color indexed="8"/>
      <name val="Calibri"/>
      <family val="2"/>
      <scheme val="minor"/>
    </font>
    <font>
      <sz val="11"/>
      <color rgb="FFFF0000"/>
      <name val="Arial"/>
      <family val="2"/>
    </font>
    <font>
      <sz val="10"/>
      <color theme="1"/>
      <name val="Arial"/>
      <family val="2"/>
    </font>
    <font>
      <vertAlign val="subscript"/>
      <sz val="10"/>
      <color theme="1"/>
      <name val="Arial"/>
      <family val="2"/>
    </font>
    <font>
      <vertAlign val="superscript"/>
      <sz val="10"/>
      <color theme="1"/>
      <name val="Arial"/>
      <family val="2"/>
    </font>
    <font>
      <vertAlign val="subscript"/>
      <sz val="10"/>
      <name val="Arial"/>
      <family val="2"/>
    </font>
    <font>
      <sz val="10"/>
      <color theme="9" tint="-0.249977111117893"/>
      <name val="Arial"/>
      <family val="2"/>
    </font>
    <font>
      <sz val="10"/>
      <color theme="3" tint="0.59999389629810485"/>
      <name val="Arial"/>
      <family val="2"/>
    </font>
    <font>
      <b/>
      <sz val="10"/>
      <color theme="3" tint="0.59999389629810485"/>
      <name val="Arial"/>
      <family val="2"/>
    </font>
  </fonts>
  <fills count="27">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7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right style="thin">
        <color indexed="64"/>
      </right>
      <top style="thin">
        <color indexed="64"/>
      </top>
      <bottom/>
      <diagonal/>
    </border>
    <border>
      <left/>
      <right style="thin">
        <color indexed="64"/>
      </right>
      <top/>
      <bottom/>
      <diagonal/>
    </border>
  </borders>
  <cellStyleXfs count="21">
    <xf numFmtId="0" fontId="0" fillId="0" borderId="0"/>
    <xf numFmtId="43" fontId="1" fillId="0" borderId="0" applyFont="0" applyFill="0" applyBorder="0" applyAlignment="0" applyProtection="0"/>
    <xf numFmtId="43" fontId="62" fillId="0" borderId="0" applyFont="0" applyFill="0" applyBorder="0" applyAlignment="0" applyProtection="0"/>
    <xf numFmtId="44" fontId="1" fillId="0" borderId="0" applyFont="0" applyFill="0" applyBorder="0" applyAlignment="0" applyProtection="0"/>
    <xf numFmtId="44" fontId="62" fillId="0" borderId="0" applyFon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1" fillId="0" borderId="0"/>
    <xf numFmtId="0" fontId="63" fillId="0" borderId="0"/>
    <xf numFmtId="0" fontId="63" fillId="0" borderId="0"/>
    <xf numFmtId="0" fontId="59" fillId="0" borderId="0"/>
    <xf numFmtId="0" fontId="63" fillId="0" borderId="0"/>
    <xf numFmtId="173" fontId="53" fillId="0" borderId="0"/>
    <xf numFmtId="173" fontId="53" fillId="0" borderId="0"/>
    <xf numFmtId="0" fontId="11" fillId="0" borderId="0"/>
    <xf numFmtId="0" fontId="11" fillId="0" borderId="0"/>
    <xf numFmtId="173" fontId="15" fillId="0" borderId="0"/>
    <xf numFmtId="9" fontId="1" fillId="0" borderId="0" applyFont="0" applyFill="0" applyBorder="0" applyAlignment="0" applyProtection="0"/>
    <xf numFmtId="9" fontId="11" fillId="0" borderId="0" applyFont="0" applyFill="0" applyBorder="0" applyAlignment="0" applyProtection="0"/>
    <xf numFmtId="9" fontId="62" fillId="0" borderId="0" applyFont="0" applyFill="0" applyBorder="0" applyAlignment="0" applyProtection="0"/>
    <xf numFmtId="0" fontId="75" fillId="0" borderId="0"/>
  </cellStyleXfs>
  <cellXfs count="1700">
    <xf numFmtId="0" fontId="0" fillId="0" borderId="0" xfId="0"/>
    <xf numFmtId="0" fontId="3" fillId="0" borderId="0" xfId="0" applyFont="1"/>
    <xf numFmtId="0" fontId="5" fillId="0" borderId="0" xfId="0" applyFont="1"/>
    <xf numFmtId="0" fontId="8" fillId="2" borderId="1" xfId="0" applyFont="1" applyFill="1" applyBorder="1" applyAlignment="1">
      <alignment wrapText="1"/>
    </xf>
    <xf numFmtId="0" fontId="8" fillId="2" borderId="2" xfId="0" applyFont="1" applyFill="1" applyBorder="1" applyAlignment="1">
      <alignment wrapText="1"/>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8" fillId="3" borderId="4" xfId="0" applyFont="1" applyFill="1" applyBorder="1" applyAlignment="1">
      <alignment vertical="center" wrapText="1"/>
    </xf>
    <xf numFmtId="0" fontId="8" fillId="3" borderId="0" xfId="0" applyFont="1" applyFill="1" applyBorder="1" applyAlignment="1">
      <alignment vertical="center" wrapText="1"/>
    </xf>
    <xf numFmtId="0" fontId="8" fillId="3" borderId="0"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7" fillId="2" borderId="4" xfId="0" applyFont="1" applyFill="1" applyBorder="1" applyAlignment="1">
      <alignment horizontal="left" vertical="center" wrapText="1"/>
    </xf>
    <xf numFmtId="0" fontId="8" fillId="2" borderId="0" xfId="0" applyFont="1" applyFill="1" applyBorder="1" applyAlignment="1">
      <alignment horizontal="left" vertical="center" wrapText="1"/>
    </xf>
    <xf numFmtId="1" fontId="7" fillId="2" borderId="0" xfId="0" applyNumberFormat="1" applyFont="1" applyFill="1" applyBorder="1" applyAlignment="1">
      <alignment horizontal="center" vertical="center"/>
    </xf>
    <xf numFmtId="3" fontId="7" fillId="0" borderId="0" xfId="0" applyNumberFormat="1" applyFont="1" applyFill="1" applyBorder="1" applyAlignment="1">
      <alignment horizontal="center" vertical="center"/>
    </xf>
    <xf numFmtId="0" fontId="7" fillId="2" borderId="4" xfId="0" applyFont="1" applyFill="1" applyBorder="1" applyAlignment="1">
      <alignment vertical="center" wrapText="1"/>
    </xf>
    <xf numFmtId="0" fontId="8" fillId="2" borderId="0" xfId="0" applyFont="1" applyFill="1" applyBorder="1" applyAlignment="1">
      <alignment vertical="center" wrapText="1"/>
    </xf>
    <xf numFmtId="3" fontId="7" fillId="2" borderId="0" xfId="0" applyNumberFormat="1" applyFont="1" applyFill="1" applyBorder="1" applyAlignment="1">
      <alignment horizontal="center" vertical="center"/>
    </xf>
    <xf numFmtId="166" fontId="7" fillId="2" borderId="0" xfId="0" applyNumberFormat="1" applyFont="1" applyFill="1" applyBorder="1" applyAlignment="1">
      <alignment horizontal="center" vertical="center"/>
    </xf>
    <xf numFmtId="3" fontId="7" fillId="2" borderId="0" xfId="0" applyNumberFormat="1" applyFont="1" applyFill="1" applyBorder="1" applyAlignment="1">
      <alignment horizontal="center" vertical="center" wrapText="1"/>
    </xf>
    <xf numFmtId="166" fontId="7" fillId="2" borderId="5" xfId="0" applyNumberFormat="1" applyFont="1" applyFill="1" applyBorder="1" applyAlignment="1">
      <alignment horizontal="center" vertical="center" wrapText="1"/>
    </xf>
    <xf numFmtId="3" fontId="7" fillId="2" borderId="5" xfId="0" applyNumberFormat="1" applyFont="1" applyFill="1" applyBorder="1" applyAlignment="1">
      <alignment horizontal="center" vertical="center" wrapText="1"/>
    </xf>
    <xf numFmtId="3" fontId="7" fillId="2" borderId="5" xfId="0" quotePrefix="1" applyNumberFormat="1" applyFont="1" applyFill="1" applyBorder="1" applyAlignment="1">
      <alignment horizontal="center" vertical="center" wrapText="1"/>
    </xf>
    <xf numFmtId="0" fontId="8" fillId="2" borderId="0" xfId="0" applyFont="1" applyFill="1" applyBorder="1" applyAlignment="1">
      <alignment vertical="center"/>
    </xf>
    <xf numFmtId="3" fontId="7" fillId="2" borderId="0" xfId="0" quotePrefix="1" applyNumberFormat="1" applyFont="1" applyFill="1" applyBorder="1" applyAlignment="1">
      <alignment horizontal="center" vertical="center" wrapText="1"/>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6" xfId="0" applyFont="1" applyBorder="1" applyAlignment="1">
      <alignment vertical="top" wrapText="1"/>
    </xf>
    <xf numFmtId="0" fontId="0" fillId="0" borderId="0" xfId="0" applyFill="1"/>
    <xf numFmtId="0" fontId="0" fillId="0" borderId="0" xfId="0" applyFill="1" applyAlignment="1">
      <alignment vertical="top" wrapText="1"/>
    </xf>
    <xf numFmtId="0" fontId="11" fillId="0" borderId="0" xfId="0" applyFont="1" applyAlignment="1">
      <alignment vertical="top" wrapText="1"/>
    </xf>
    <xf numFmtId="0" fontId="11" fillId="3" borderId="8" xfId="0" applyFont="1" applyFill="1" applyBorder="1" applyAlignment="1" applyProtection="1">
      <alignment horizontal="left" vertical="center" wrapText="1"/>
    </xf>
    <xf numFmtId="0" fontId="16" fillId="0" borderId="0" xfId="0" applyFont="1" applyProtection="1"/>
    <xf numFmtId="0" fontId="0" fillId="0" borderId="0" xfId="0" applyProtection="1"/>
    <xf numFmtId="0" fontId="0" fillId="0" borderId="0" xfId="0" applyFill="1" applyProtection="1"/>
    <xf numFmtId="0" fontId="11" fillId="0" borderId="0" xfId="0" applyFont="1" applyFill="1" applyBorder="1" applyAlignment="1" applyProtection="1">
      <alignment horizontal="left" vertical="center" wrapText="1"/>
    </xf>
    <xf numFmtId="0" fontId="3" fillId="0" borderId="0" xfId="0" quotePrefix="1" applyFont="1" applyFill="1" applyBorder="1" applyAlignment="1" applyProtection="1">
      <alignment horizontal="left" vertical="center"/>
    </xf>
    <xf numFmtId="0" fontId="12" fillId="4" borderId="0" xfId="0" applyFont="1" applyFill="1" applyProtection="1"/>
    <xf numFmtId="0" fontId="11" fillId="4" borderId="0" xfId="0" applyFont="1" applyFill="1" applyProtection="1"/>
    <xf numFmtId="0" fontId="11" fillId="0" borderId="0" xfId="0" applyFont="1" applyFill="1" applyProtection="1"/>
    <xf numFmtId="0" fontId="0" fillId="0" borderId="0" xfId="0" applyFill="1" applyBorder="1" applyProtection="1"/>
    <xf numFmtId="0" fontId="11" fillId="5" borderId="8" xfId="0" applyFont="1" applyFill="1" applyBorder="1" applyAlignment="1" applyProtection="1">
      <alignment horizontal="left" vertical="center" wrapText="1"/>
    </xf>
    <xf numFmtId="0" fontId="11" fillId="6" borderId="8" xfId="0" applyFont="1" applyFill="1" applyBorder="1" applyAlignment="1" applyProtection="1">
      <alignment horizontal="left" vertical="center" wrapText="1"/>
    </xf>
    <xf numFmtId="0" fontId="0" fillId="4" borderId="8" xfId="0" applyFill="1" applyBorder="1" applyProtection="1"/>
    <xf numFmtId="173" fontId="17" fillId="0" borderId="9" xfId="16" applyFont="1" applyBorder="1" applyAlignment="1" applyProtection="1"/>
    <xf numFmtId="173" fontId="17"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1" fillId="0" borderId="0" xfId="16" applyFont="1" applyProtection="1"/>
    <xf numFmtId="173" fontId="3" fillId="0" borderId="13" xfId="16" applyFont="1" applyBorder="1" applyAlignment="1" applyProtection="1">
      <alignment horizontal="center"/>
    </xf>
    <xf numFmtId="173" fontId="3" fillId="0" borderId="14" xfId="16" applyFont="1" applyBorder="1" applyAlignment="1" applyProtection="1">
      <alignment horizontal="center"/>
    </xf>
    <xf numFmtId="173" fontId="3" fillId="0" borderId="15" xfId="16" applyFont="1" applyBorder="1" applyAlignment="1" applyProtection="1">
      <alignment horizontal="center"/>
    </xf>
    <xf numFmtId="173" fontId="3" fillId="0" borderId="16" xfId="16" applyFont="1" applyBorder="1" applyAlignment="1" applyProtection="1">
      <alignment horizontal="center"/>
    </xf>
    <xf numFmtId="173" fontId="11" fillId="3" borderId="17" xfId="16" applyFont="1" applyFill="1" applyBorder="1" applyProtection="1"/>
    <xf numFmtId="170" fontId="11" fillId="3" borderId="8" xfId="16" applyNumberFormat="1" applyFont="1" applyFill="1" applyBorder="1" applyProtection="1"/>
    <xf numFmtId="170" fontId="11" fillId="3" borderId="19" xfId="16" applyNumberFormat="1" applyFont="1" applyFill="1" applyBorder="1" applyProtection="1"/>
    <xf numFmtId="173" fontId="11" fillId="3" borderId="20" xfId="16" applyFont="1" applyFill="1" applyBorder="1" applyProtection="1"/>
    <xf numFmtId="170" fontId="11" fillId="3" borderId="23" xfId="16" applyNumberFormat="1" applyFont="1" applyFill="1" applyBorder="1" applyProtection="1"/>
    <xf numFmtId="0" fontId="17"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7"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7"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3" fillId="3" borderId="13" xfId="0" applyFont="1" applyFill="1" applyBorder="1" applyProtection="1"/>
    <xf numFmtId="0" fontId="3" fillId="3" borderId="15" xfId="0" applyFont="1" applyFill="1" applyBorder="1" applyProtection="1"/>
    <xf numFmtId="0" fontId="3" fillId="3" borderId="16" xfId="0" applyFont="1" applyFill="1" applyBorder="1" applyAlignment="1" applyProtection="1">
      <alignment wrapText="1"/>
    </xf>
    <xf numFmtId="5" fontId="1"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1" fillId="3" borderId="38" xfId="3" applyNumberFormat="1" applyFill="1" applyBorder="1" applyProtection="1"/>
    <xf numFmtId="0" fontId="3" fillId="3" borderId="25" xfId="0" applyFont="1" applyFill="1" applyBorder="1" applyProtection="1"/>
    <xf numFmtId="170" fontId="3" fillId="3" borderId="26" xfId="0" applyNumberFormat="1" applyFont="1" applyFill="1" applyBorder="1" applyProtection="1"/>
    <xf numFmtId="5" fontId="3" fillId="3" borderId="27" xfId="3" applyNumberFormat="1" applyFont="1" applyFill="1" applyBorder="1" applyProtection="1"/>
    <xf numFmtId="0" fontId="3" fillId="0" borderId="0" xfId="0" applyFont="1" applyFill="1" applyBorder="1" applyProtection="1"/>
    <xf numFmtId="170" fontId="3" fillId="0" borderId="0" xfId="0" applyNumberFormat="1" applyFont="1" applyFill="1" applyBorder="1" applyProtection="1"/>
    <xf numFmtId="5" fontId="3" fillId="0" borderId="0" xfId="3" applyNumberFormat="1" applyFont="1" applyFill="1" applyBorder="1" applyProtection="1"/>
    <xf numFmtId="0" fontId="3" fillId="3" borderId="20" xfId="0" applyFont="1" applyFill="1" applyBorder="1" applyAlignment="1" applyProtection="1">
      <alignment wrapText="1"/>
    </xf>
    <xf numFmtId="0" fontId="3" fillId="3" borderId="23" xfId="0" applyFont="1" applyFill="1" applyBorder="1" applyAlignment="1" applyProtection="1">
      <alignment wrapText="1"/>
    </xf>
    <xf numFmtId="0" fontId="0" fillId="3" borderId="39" xfId="0" applyFill="1" applyBorder="1" applyProtection="1"/>
    <xf numFmtId="170" fontId="3" fillId="3" borderId="27" xfId="0" applyNumberFormat="1" applyFont="1" applyFill="1" applyBorder="1" applyProtection="1"/>
    <xf numFmtId="173" fontId="16" fillId="0" borderId="0" xfId="16" applyFont="1" applyAlignment="1" applyProtection="1">
      <alignment horizontal="left"/>
    </xf>
    <xf numFmtId="173" fontId="11" fillId="0" borderId="0" xfId="16" applyFont="1" applyFill="1" applyBorder="1" applyProtection="1"/>
    <xf numFmtId="173" fontId="7" fillId="0" borderId="0" xfId="16" applyFont="1" applyFill="1" applyProtection="1"/>
    <xf numFmtId="173" fontId="19" fillId="0" borderId="0" xfId="16" applyFont="1" applyProtection="1"/>
    <xf numFmtId="173" fontId="20" fillId="0" borderId="0" xfId="16" applyFont="1" applyAlignment="1" applyProtection="1">
      <alignment horizontal="left"/>
    </xf>
    <xf numFmtId="173" fontId="11" fillId="0" borderId="17" xfId="16" applyFont="1" applyBorder="1" applyAlignment="1" applyProtection="1">
      <alignment wrapText="1"/>
    </xf>
    <xf numFmtId="173" fontId="11" fillId="0" borderId="17" xfId="16" applyFont="1" applyBorder="1" applyProtection="1"/>
    <xf numFmtId="164" fontId="11" fillId="3" borderId="19" xfId="16" applyNumberFormat="1" applyFont="1" applyFill="1" applyBorder="1" applyAlignment="1" applyProtection="1">
      <alignment horizontal="center"/>
    </xf>
    <xf numFmtId="173" fontId="11" fillId="0" borderId="36" xfId="16" applyFont="1" applyBorder="1" applyProtection="1"/>
    <xf numFmtId="164" fontId="11" fillId="3" borderId="38" xfId="16" applyNumberFormat="1" applyFont="1" applyFill="1" applyBorder="1" applyAlignment="1" applyProtection="1">
      <alignment horizontal="center"/>
    </xf>
    <xf numFmtId="0" fontId="19" fillId="0" borderId="0" xfId="0" applyFont="1" applyFill="1" applyBorder="1" applyAlignment="1" applyProtection="1">
      <alignment horizontal="left" vertical="center"/>
    </xf>
    <xf numFmtId="173" fontId="11" fillId="0" borderId="36" xfId="16" applyFont="1" applyBorder="1" applyAlignment="1" applyProtection="1">
      <alignment wrapText="1"/>
    </xf>
    <xf numFmtId="165" fontId="11" fillId="3" borderId="38" xfId="16" applyNumberFormat="1" applyFont="1" applyFill="1" applyBorder="1" applyAlignment="1" applyProtection="1">
      <alignment horizontal="center"/>
    </xf>
    <xf numFmtId="173" fontId="11" fillId="0" borderId="20" xfId="16" applyFont="1" applyBorder="1" applyProtection="1"/>
    <xf numFmtId="173" fontId="11" fillId="0" borderId="0" xfId="16" applyFont="1" applyBorder="1" applyProtection="1"/>
    <xf numFmtId="173" fontId="11" fillId="0" borderId="0" xfId="16" applyFont="1" applyFill="1" applyProtection="1"/>
    <xf numFmtId="0" fontId="17" fillId="0" borderId="10" xfId="0" applyFont="1" applyBorder="1" applyAlignment="1" applyProtection="1">
      <alignment wrapText="1"/>
    </xf>
    <xf numFmtId="173" fontId="11" fillId="0" borderId="11" xfId="16" applyFont="1" applyBorder="1" applyProtection="1"/>
    <xf numFmtId="10" fontId="11" fillId="0" borderId="0" xfId="17" applyNumberFormat="1" applyFont="1" applyFill="1" applyBorder="1" applyProtection="1"/>
    <xf numFmtId="173" fontId="3" fillId="0" borderId="40" xfId="16" applyFont="1" applyBorder="1" applyAlignment="1" applyProtection="1">
      <alignment horizontal="center"/>
    </xf>
    <xf numFmtId="164" fontId="11" fillId="3" borderId="31" xfId="16" applyNumberFormat="1" applyFont="1" applyFill="1" applyBorder="1" applyProtection="1"/>
    <xf numFmtId="164" fontId="11" fillId="3" borderId="19" xfId="16" applyNumberFormat="1" applyFont="1" applyFill="1" applyBorder="1" applyProtection="1"/>
    <xf numFmtId="173" fontId="17" fillId="0" borderId="9" xfId="16" applyFont="1" applyBorder="1" applyAlignment="1" applyProtection="1">
      <alignment horizontal="left"/>
    </xf>
    <xf numFmtId="173" fontId="21" fillId="0" borderId="17" xfId="16" applyFont="1" applyBorder="1" applyAlignment="1" applyProtection="1">
      <alignment horizontal="left"/>
    </xf>
    <xf numFmtId="173" fontId="11" fillId="0" borderId="19" xfId="16" applyFont="1" applyBorder="1" applyProtection="1"/>
    <xf numFmtId="173" fontId="11" fillId="0" borderId="17" xfId="16" applyFont="1" applyBorder="1" applyAlignment="1" applyProtection="1">
      <alignment horizontal="left" wrapText="1"/>
    </xf>
    <xf numFmtId="3" fontId="11" fillId="3" borderId="19" xfId="16" applyNumberFormat="1" applyFont="1" applyFill="1" applyBorder="1" applyProtection="1"/>
    <xf numFmtId="173" fontId="11" fillId="0" borderId="17" xfId="16" applyFont="1" applyBorder="1" applyAlignment="1" applyProtection="1">
      <alignment horizontal="left"/>
    </xf>
    <xf numFmtId="0" fontId="11" fillId="0" borderId="17" xfId="0" applyFont="1" applyFill="1" applyBorder="1" applyAlignment="1" applyProtection="1">
      <alignment horizontal="left" vertical="center"/>
    </xf>
    <xf numFmtId="2" fontId="11" fillId="3" borderId="19" xfId="16" applyNumberFormat="1" applyFont="1" applyFill="1" applyBorder="1" applyProtection="1"/>
    <xf numFmtId="173" fontId="11" fillId="0" borderId="19" xfId="16" applyFont="1" applyFill="1" applyBorder="1" applyProtection="1"/>
    <xf numFmtId="1" fontId="11" fillId="3" borderId="19" xfId="16" applyNumberFormat="1" applyFont="1" applyFill="1" applyBorder="1" applyProtection="1"/>
    <xf numFmtId="173" fontId="22" fillId="0" borderId="0" xfId="16" applyFont="1" applyFill="1" applyProtection="1"/>
    <xf numFmtId="0" fontId="0" fillId="0" borderId="0" xfId="0" applyBorder="1" applyProtection="1"/>
    <xf numFmtId="9" fontId="11" fillId="3" borderId="19" xfId="16" applyNumberFormat="1" applyFont="1" applyFill="1" applyBorder="1" applyProtection="1"/>
    <xf numFmtId="9" fontId="11" fillId="3" borderId="7" xfId="16" applyNumberFormat="1" applyFont="1" applyFill="1" applyBorder="1" applyProtection="1"/>
    <xf numFmtId="164" fontId="11" fillId="0" borderId="19" xfId="16" applyNumberFormat="1" applyFont="1" applyFill="1" applyBorder="1" applyProtection="1"/>
    <xf numFmtId="173" fontId="21" fillId="0" borderId="17" xfId="16" applyFont="1" applyBorder="1" applyProtection="1"/>
    <xf numFmtId="9" fontId="11" fillId="0" borderId="19" xfId="16" applyNumberFormat="1" applyFont="1" applyFill="1" applyBorder="1" applyProtection="1"/>
    <xf numFmtId="10" fontId="11" fillId="3" borderId="19" xfId="16" applyNumberFormat="1" applyFont="1" applyFill="1" applyBorder="1" applyProtection="1"/>
    <xf numFmtId="7" fontId="11" fillId="0" borderId="0" xfId="3" applyNumberFormat="1" applyFont="1" applyFill="1" applyBorder="1" applyProtection="1"/>
    <xf numFmtId="1" fontId="11" fillId="3" borderId="19" xfId="16" applyNumberFormat="1" applyFont="1" applyFill="1" applyBorder="1" applyAlignment="1" applyProtection="1">
      <alignment horizontal="right"/>
    </xf>
    <xf numFmtId="170" fontId="11" fillId="3" borderId="19" xfId="16" applyNumberFormat="1" applyFont="1" applyFill="1" applyBorder="1" applyAlignment="1" applyProtection="1">
      <alignment horizontal="right"/>
    </xf>
    <xf numFmtId="173" fontId="11" fillId="0" borderId="20" xfId="16" applyFont="1" applyBorder="1" applyAlignment="1" applyProtection="1">
      <alignment wrapText="1"/>
    </xf>
    <xf numFmtId="0" fontId="0" fillId="0" borderId="10" xfId="0" applyBorder="1" applyAlignment="1" applyProtection="1">
      <alignment wrapText="1"/>
    </xf>
    <xf numFmtId="173" fontId="3" fillId="0" borderId="0" xfId="16" applyFont="1" applyFill="1" applyBorder="1" applyAlignment="1" applyProtection="1">
      <alignment horizontal="center" wrapText="1"/>
    </xf>
    <xf numFmtId="173" fontId="11" fillId="3" borderId="13" xfId="16" applyFont="1" applyFill="1" applyBorder="1" applyProtection="1"/>
    <xf numFmtId="173" fontId="11" fillId="3" borderId="15" xfId="16" applyFont="1" applyFill="1" applyBorder="1" applyProtection="1"/>
    <xf numFmtId="165" fontId="11" fillId="3" borderId="15" xfId="16" applyNumberFormat="1" applyFont="1" applyFill="1" applyBorder="1" applyProtection="1"/>
    <xf numFmtId="170" fontId="11" fillId="3" borderId="15" xfId="16" applyNumberFormat="1" applyFont="1" applyFill="1" applyBorder="1" applyProtection="1"/>
    <xf numFmtId="6" fontId="11" fillId="3" borderId="15" xfId="16" applyNumberFormat="1" applyFont="1" applyFill="1" applyBorder="1" applyProtection="1"/>
    <xf numFmtId="164" fontId="1" fillId="3" borderId="15" xfId="17" applyNumberFormat="1" applyFill="1" applyBorder="1" applyProtection="1"/>
    <xf numFmtId="173" fontId="11" fillId="3" borderId="8" xfId="16" applyFont="1" applyFill="1" applyBorder="1" applyProtection="1"/>
    <xf numFmtId="165" fontId="11" fillId="3" borderId="8" xfId="16" applyNumberFormat="1" applyFont="1" applyFill="1" applyBorder="1" applyProtection="1"/>
    <xf numFmtId="6" fontId="11" fillId="3" borderId="8" xfId="16" applyNumberFormat="1" applyFont="1" applyFill="1" applyBorder="1" applyProtection="1"/>
    <xf numFmtId="164" fontId="1" fillId="3" borderId="8" xfId="17" applyNumberFormat="1" applyFill="1" applyBorder="1" applyProtection="1"/>
    <xf numFmtId="173" fontId="11" fillId="3" borderId="22" xfId="16" applyFont="1" applyFill="1" applyBorder="1" applyProtection="1"/>
    <xf numFmtId="6" fontId="11" fillId="3" borderId="22" xfId="16" applyNumberFormat="1" applyFont="1" applyFill="1" applyBorder="1" applyProtection="1"/>
    <xf numFmtId="173" fontId="11" fillId="0" borderId="0" xfId="16" applyFont="1" applyAlignment="1" applyProtection="1">
      <alignment horizontal="right"/>
    </xf>
    <xf numFmtId="170" fontId="11" fillId="0" borderId="0" xfId="16" applyNumberFormat="1" applyFont="1" applyFill="1" applyProtection="1"/>
    <xf numFmtId="0" fontId="17" fillId="0" borderId="11" xfId="0" applyFont="1" applyBorder="1" applyAlignment="1" applyProtection="1">
      <alignment wrapText="1"/>
    </xf>
    <xf numFmtId="173" fontId="11" fillId="3" borderId="17" xfId="16" applyFont="1" applyFill="1" applyBorder="1" applyAlignment="1" applyProtection="1">
      <alignment horizontal="right"/>
    </xf>
    <xf numFmtId="10" fontId="11" fillId="3" borderId="8" xfId="16" applyNumberFormat="1" applyFont="1" applyFill="1" applyBorder="1" applyProtection="1"/>
    <xf numFmtId="169" fontId="11" fillId="3" borderId="19" xfId="16" applyNumberFormat="1" applyFont="1" applyFill="1" applyBorder="1" applyAlignment="1" applyProtection="1">
      <alignment horizontal="right"/>
    </xf>
    <xf numFmtId="173" fontId="11" fillId="3" borderId="20" xfId="16" applyFont="1" applyFill="1" applyBorder="1" applyAlignment="1" applyProtection="1">
      <alignment horizontal="right" wrapText="1"/>
    </xf>
    <xf numFmtId="10" fontId="11" fillId="3" borderId="22" xfId="16" applyNumberFormat="1" applyFont="1" applyFill="1" applyBorder="1" applyProtection="1"/>
    <xf numFmtId="169" fontId="11" fillId="3" borderId="23" xfId="16" applyNumberFormat="1" applyFont="1" applyFill="1" applyBorder="1" applyAlignment="1" applyProtection="1">
      <alignment horizontal="right"/>
    </xf>
    <xf numFmtId="173" fontId="17" fillId="0" borderId="46" xfId="16" applyFont="1" applyFill="1" applyBorder="1" applyAlignment="1" applyProtection="1"/>
    <xf numFmtId="0" fontId="0" fillId="0" borderId="47" xfId="0" applyBorder="1" applyAlignment="1" applyProtection="1">
      <alignment wrapText="1"/>
    </xf>
    <xf numFmtId="173" fontId="17" fillId="0" borderId="9" xfId="16" applyFont="1" applyFill="1" applyBorder="1" applyAlignment="1" applyProtection="1">
      <alignment wrapText="1"/>
    </xf>
    <xf numFmtId="0" fontId="17" fillId="0" borderId="9" xfId="0" applyFont="1" applyBorder="1" applyAlignment="1" applyProtection="1">
      <alignment wrapText="1"/>
    </xf>
    <xf numFmtId="173" fontId="3" fillId="0" borderId="48" xfId="16" applyFont="1" applyFill="1" applyBorder="1" applyAlignment="1" applyProtection="1">
      <alignment horizontal="center"/>
    </xf>
    <xf numFmtId="173" fontId="11" fillId="3" borderId="49" xfId="16" applyFont="1" applyFill="1" applyBorder="1" applyProtection="1"/>
    <xf numFmtId="169" fontId="11" fillId="3" borderId="17" xfId="16" applyNumberFormat="1" applyFont="1" applyFill="1" applyBorder="1" applyProtection="1"/>
    <xf numFmtId="169" fontId="11" fillId="3" borderId="8" xfId="16" applyNumberFormat="1" applyFont="1" applyFill="1" applyBorder="1" applyProtection="1"/>
    <xf numFmtId="173" fontId="11"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1" fillId="0" borderId="0" xfId="0" applyFont="1" applyFill="1" applyProtection="1">
      <protection locked="0"/>
    </xf>
    <xf numFmtId="0" fontId="3" fillId="0" borderId="0" xfId="0" applyFont="1" applyFill="1" applyProtection="1"/>
    <xf numFmtId="0" fontId="3"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1"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1"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1"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6" fillId="0" borderId="25" xfId="0" applyFont="1" applyBorder="1" applyAlignment="1" applyProtection="1">
      <alignment wrapText="1"/>
    </xf>
    <xf numFmtId="0" fontId="26" fillId="0" borderId="51" xfId="0" applyFont="1" applyFill="1" applyBorder="1" applyAlignment="1" applyProtection="1">
      <alignment horizontal="center" wrapText="1"/>
    </xf>
    <xf numFmtId="0" fontId="26" fillId="0" borderId="52" xfId="0" applyFont="1" applyFill="1" applyBorder="1" applyAlignment="1" applyProtection="1">
      <alignment horizontal="center" wrapText="1"/>
    </xf>
    <xf numFmtId="0" fontId="26" fillId="0" borderId="53" xfId="0" applyFont="1" applyFill="1" applyBorder="1" applyAlignment="1" applyProtection="1">
      <alignment horizontal="center" wrapText="1"/>
    </xf>
    <xf numFmtId="0" fontId="26" fillId="0" borderId="54" xfId="0" applyFont="1" applyFill="1" applyBorder="1" applyAlignment="1" applyProtection="1">
      <alignment horizontal="center" wrapText="1"/>
    </xf>
    <xf numFmtId="173" fontId="3" fillId="0" borderId="0" xfId="16" applyFont="1" applyAlignment="1" applyProtection="1">
      <alignment vertical="top" wrapText="1"/>
    </xf>
    <xf numFmtId="0" fontId="11"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1" fillId="3" borderId="18" xfId="16" applyNumberFormat="1" applyFont="1" applyFill="1" applyBorder="1" applyProtection="1"/>
    <xf numFmtId="0" fontId="17" fillId="0" borderId="25" xfId="0" applyFont="1" applyBorder="1" applyAlignment="1" applyProtection="1">
      <alignment wrapText="1"/>
    </xf>
    <xf numFmtId="169" fontId="11" fillId="3" borderId="55" xfId="16" applyNumberFormat="1" applyFont="1" applyFill="1" applyBorder="1" applyProtection="1"/>
    <xf numFmtId="169" fontId="11" fillId="3" borderId="19" xfId="16" applyNumberFormat="1" applyFont="1" applyFill="1" applyBorder="1" applyProtection="1"/>
    <xf numFmtId="173" fontId="11" fillId="0" borderId="56" xfId="16" applyFont="1" applyBorder="1" applyProtection="1"/>
    <xf numFmtId="173" fontId="3" fillId="0" borderId="34" xfId="16" applyFont="1" applyFill="1" applyBorder="1" applyAlignment="1" applyProtection="1">
      <alignment horizontal="center" wrapText="1"/>
    </xf>
    <xf numFmtId="173" fontId="3" fillId="7" borderId="34" xfId="16" applyFont="1" applyFill="1" applyBorder="1" applyAlignment="1" applyProtection="1">
      <alignment horizontal="center" wrapText="1"/>
    </xf>
    <xf numFmtId="169" fontId="11" fillId="7" borderId="17" xfId="16" applyNumberFormat="1" applyFont="1" applyFill="1" applyBorder="1" applyProtection="1"/>
    <xf numFmtId="174" fontId="11" fillId="7" borderId="17" xfId="16" applyNumberFormat="1" applyFont="1" applyFill="1" applyBorder="1" applyProtection="1"/>
    <xf numFmtId="174" fontId="11" fillId="7" borderId="20" xfId="16" applyNumberFormat="1" applyFont="1" applyFill="1" applyBorder="1" applyProtection="1"/>
    <xf numFmtId="0" fontId="0" fillId="6" borderId="0" xfId="0" applyFill="1" applyBorder="1" applyAlignment="1">
      <alignment horizontal="left" vertical="top" wrapText="1"/>
    </xf>
    <xf numFmtId="170"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0" fontId="0" fillId="3" borderId="57" xfId="0" applyNumberFormat="1" applyFill="1" applyBorder="1" applyAlignment="1">
      <alignment horizontal="right" vertical="top" wrapText="1"/>
    </xf>
    <xf numFmtId="0" fontId="3"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4"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3" fillId="7" borderId="1" xfId="0" applyFont="1" applyFill="1" applyBorder="1"/>
    <xf numFmtId="0" fontId="0" fillId="7" borderId="2" xfId="0" applyFill="1" applyBorder="1"/>
    <xf numFmtId="0" fontId="3"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7"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1" fillId="14" borderId="63" xfId="0" applyFont="1" applyFill="1" applyBorder="1" applyProtection="1"/>
    <xf numFmtId="0" fontId="11" fillId="14" borderId="17" xfId="0" applyFont="1" applyFill="1" applyBorder="1" applyProtection="1"/>
    <xf numFmtId="0" fontId="1" fillId="0" borderId="0" xfId="0" applyFont="1"/>
    <xf numFmtId="0" fontId="1" fillId="7" borderId="0" xfId="0" applyFont="1" applyFill="1"/>
    <xf numFmtId="0" fontId="1" fillId="4" borderId="0" xfId="0" applyFont="1" applyFill="1"/>
    <xf numFmtId="0" fontId="1" fillId="9" borderId="0" xfId="0" applyFont="1" applyFill="1"/>
    <xf numFmtId="0" fontId="1" fillId="11" borderId="0" xfId="0" applyFont="1" applyFill="1"/>
    <xf numFmtId="0" fontId="1" fillId="12" borderId="0" xfId="0" applyFont="1" applyFill="1"/>
    <xf numFmtId="0" fontId="1" fillId="10" borderId="0" xfId="0" applyFont="1" applyFill="1"/>
    <xf numFmtId="164" fontId="12"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3" fillId="0" borderId="17" xfId="16" applyFont="1" applyBorder="1" applyAlignment="1" applyProtection="1">
      <alignment wrapText="1"/>
    </xf>
    <xf numFmtId="0" fontId="25"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1" fillId="2" borderId="4" xfId="0" applyFont="1" applyFill="1" applyBorder="1" applyAlignment="1">
      <alignment vertical="top" wrapText="1"/>
    </xf>
    <xf numFmtId="0" fontId="1" fillId="2" borderId="4" xfId="0" applyFont="1" applyFill="1" applyBorder="1" applyAlignment="1">
      <alignment vertical="top" wrapText="1"/>
    </xf>
    <xf numFmtId="0" fontId="3" fillId="2" borderId="4" xfId="0" applyFont="1" applyFill="1" applyBorder="1" applyAlignment="1">
      <alignment vertical="top" wrapText="1"/>
    </xf>
    <xf numFmtId="0" fontId="11" fillId="2" borderId="0" xfId="0" applyFont="1" applyFill="1" applyBorder="1" applyAlignment="1">
      <alignment vertical="top" wrapText="1"/>
    </xf>
    <xf numFmtId="0" fontId="0" fillId="2" borderId="0" xfId="0" applyFill="1" applyAlignment="1">
      <alignment vertical="top" wrapText="1"/>
    </xf>
    <xf numFmtId="0" fontId="5" fillId="2" borderId="4"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0"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3"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5" fillId="2" borderId="58" xfId="0" applyFont="1" applyFill="1" applyBorder="1" applyAlignment="1">
      <alignment vertical="top" wrapText="1"/>
    </xf>
    <xf numFmtId="0" fontId="13" fillId="2" borderId="24" xfId="0" applyFont="1" applyFill="1" applyBorder="1" applyAlignment="1" applyProtection="1">
      <alignment horizontal="left"/>
    </xf>
    <xf numFmtId="3" fontId="3" fillId="2" borderId="65" xfId="0" applyNumberFormat="1" applyFont="1" applyFill="1" applyBorder="1" applyAlignment="1" applyProtection="1">
      <alignment vertical="center" wrapText="1"/>
    </xf>
    <xf numFmtId="0" fontId="3" fillId="2" borderId="65" xfId="0" applyFont="1" applyFill="1" applyBorder="1" applyAlignment="1" applyProtection="1">
      <alignment horizontal="left" vertical="center" wrapText="1"/>
    </xf>
    <xf numFmtId="0" fontId="11" fillId="2" borderId="65" xfId="0" applyFont="1" applyFill="1" applyBorder="1" applyAlignment="1" applyProtection="1">
      <alignment horizontal="left" vertical="center" wrapText="1"/>
    </xf>
    <xf numFmtId="0" fontId="0" fillId="2" borderId="66" xfId="0" applyFill="1" applyBorder="1" applyProtection="1"/>
    <xf numFmtId="0" fontId="13" fillId="2" borderId="25" xfId="0" applyFont="1" applyFill="1" applyBorder="1" applyAlignment="1" applyProtection="1">
      <alignment horizontal="left"/>
    </xf>
    <xf numFmtId="3" fontId="3" fillId="2" borderId="42" xfId="0" applyNumberFormat="1" applyFont="1" applyFill="1" applyBorder="1" applyAlignment="1" applyProtection="1">
      <alignment vertical="center" wrapText="1"/>
    </xf>
    <xf numFmtId="0" fontId="3" fillId="2" borderId="26" xfId="0" applyFont="1" applyFill="1" applyBorder="1" applyAlignment="1" applyProtection="1">
      <alignment horizontal="left" vertical="center" wrapText="1"/>
    </xf>
    <xf numFmtId="0" fontId="3" fillId="2" borderId="27" xfId="0" applyFont="1" applyFill="1" applyBorder="1" applyAlignment="1" applyProtection="1">
      <alignment vertical="center"/>
    </xf>
    <xf numFmtId="0" fontId="11" fillId="2" borderId="67" xfId="0" applyFont="1" applyFill="1" applyBorder="1" applyAlignment="1" applyProtection="1">
      <alignment wrapText="1"/>
    </xf>
    <xf numFmtId="0" fontId="11" fillId="2" borderId="68" xfId="0" applyFont="1" applyFill="1" applyBorder="1" applyAlignment="1" applyProtection="1">
      <alignment wrapText="1"/>
      <protection locked="0"/>
    </xf>
    <xf numFmtId="0" fontId="11" fillId="2" borderId="69" xfId="0" applyFont="1" applyFill="1" applyBorder="1" applyAlignment="1" applyProtection="1">
      <alignment wrapText="1"/>
      <protection locked="0"/>
    </xf>
    <xf numFmtId="0" fontId="3" fillId="2" borderId="70" xfId="0" applyFont="1" applyFill="1" applyBorder="1" applyAlignment="1" applyProtection="1">
      <alignment wrapText="1"/>
    </xf>
    <xf numFmtId="0" fontId="3" fillId="2" borderId="25" xfId="0" applyFont="1" applyFill="1" applyBorder="1" applyAlignment="1" applyProtection="1">
      <alignment horizontal="center"/>
    </xf>
    <xf numFmtId="0" fontId="3" fillId="2" borderId="69" xfId="0" applyFont="1" applyFill="1" applyBorder="1" applyAlignment="1" applyProtection="1">
      <alignment horizontal="center" wrapText="1"/>
    </xf>
    <xf numFmtId="0" fontId="3" fillId="2" borderId="26" xfId="0" applyFont="1" applyFill="1" applyBorder="1" applyAlignment="1" applyProtection="1">
      <alignment horizontal="center" wrapText="1"/>
    </xf>
    <xf numFmtId="0" fontId="3" fillId="2" borderId="26" xfId="0" applyFont="1" applyFill="1" applyBorder="1" applyAlignment="1" applyProtection="1">
      <alignment wrapText="1"/>
    </xf>
    <xf numFmtId="0" fontId="3" fillId="2" borderId="27" xfId="0" applyFont="1" applyFill="1" applyBorder="1" applyAlignment="1" applyProtection="1">
      <alignment wrapText="1"/>
    </xf>
    <xf numFmtId="0" fontId="3" fillId="2" borderId="41" xfId="0" applyFont="1" applyFill="1" applyBorder="1" applyAlignment="1" applyProtection="1">
      <alignment horizontal="center"/>
    </xf>
    <xf numFmtId="0" fontId="3" fillId="2" borderId="42" xfId="0" applyFont="1" applyFill="1" applyBorder="1" applyAlignment="1" applyProtection="1">
      <alignment horizontal="center" wrapText="1"/>
    </xf>
    <xf numFmtId="0" fontId="3" fillId="2" borderId="42" xfId="0" applyFont="1" applyFill="1" applyBorder="1" applyAlignment="1" applyProtection="1">
      <alignment wrapText="1"/>
    </xf>
    <xf numFmtId="0" fontId="3" fillId="2" borderId="71" xfId="0" applyFont="1" applyFill="1" applyBorder="1" applyAlignment="1" applyProtection="1">
      <alignment wrapText="1"/>
    </xf>
    <xf numFmtId="170" fontId="11" fillId="2" borderId="15" xfId="0" applyNumberFormat="1" applyFont="1" applyFill="1" applyBorder="1" applyAlignment="1" applyProtection="1">
      <alignment horizontal="right" vertical="center" wrapText="1"/>
      <protection locked="0"/>
    </xf>
    <xf numFmtId="171" fontId="11" fillId="2" borderId="15" xfId="0" applyNumberFormat="1" applyFont="1" applyFill="1" applyBorder="1" applyAlignment="1" applyProtection="1">
      <alignment horizontal="right" vertical="center" wrapText="1"/>
      <protection locked="0"/>
    </xf>
    <xf numFmtId="3" fontId="11" fillId="2" borderId="15" xfId="0" applyNumberFormat="1" applyFont="1" applyFill="1" applyBorder="1" applyAlignment="1" applyProtection="1">
      <alignment horizontal="right" vertical="center" wrapText="1"/>
      <protection locked="0"/>
    </xf>
    <xf numFmtId="3" fontId="11" fillId="2" borderId="16" xfId="0" applyNumberFormat="1" applyFont="1" applyFill="1" applyBorder="1" applyAlignment="1" applyProtection="1">
      <alignment horizontal="right" vertical="center" wrapText="1"/>
      <protection locked="0"/>
    </xf>
    <xf numFmtId="170" fontId="11" fillId="2" borderId="8" xfId="0" applyNumberFormat="1" applyFont="1" applyFill="1" applyBorder="1" applyAlignment="1" applyProtection="1">
      <alignment horizontal="right" vertical="center" wrapText="1"/>
      <protection locked="0"/>
    </xf>
    <xf numFmtId="171" fontId="11" fillId="2" borderId="8" xfId="0" applyNumberFormat="1" applyFont="1" applyFill="1" applyBorder="1" applyAlignment="1" applyProtection="1">
      <alignment horizontal="right" vertical="center" wrapText="1"/>
      <protection locked="0"/>
    </xf>
    <xf numFmtId="3" fontId="11" fillId="2" borderId="8" xfId="0" applyNumberFormat="1" applyFont="1" applyFill="1" applyBorder="1" applyAlignment="1" applyProtection="1">
      <alignment horizontal="right" vertical="center" wrapText="1"/>
      <protection locked="0"/>
    </xf>
    <xf numFmtId="3" fontId="11" fillId="2" borderId="19" xfId="0" applyNumberFormat="1" applyFont="1" applyFill="1" applyBorder="1" applyAlignment="1" applyProtection="1">
      <alignment horizontal="right" vertical="center" wrapText="1"/>
      <protection locked="0"/>
    </xf>
    <xf numFmtId="170" fontId="11" fillId="2" borderId="22" xfId="0" applyNumberFormat="1" applyFont="1" applyFill="1" applyBorder="1" applyAlignment="1" applyProtection="1">
      <alignment horizontal="right" vertical="center" wrapText="1"/>
      <protection locked="0"/>
    </xf>
    <xf numFmtId="171" fontId="11" fillId="2" borderId="22" xfId="0" applyNumberFormat="1" applyFont="1" applyFill="1" applyBorder="1" applyAlignment="1" applyProtection="1">
      <alignment horizontal="right" vertical="center" wrapText="1"/>
      <protection locked="0"/>
    </xf>
    <xf numFmtId="3" fontId="11" fillId="2" borderId="22" xfId="0" applyNumberFormat="1" applyFont="1" applyFill="1" applyBorder="1" applyAlignment="1" applyProtection="1">
      <alignment horizontal="right" vertical="center" wrapText="1"/>
      <protection locked="0"/>
    </xf>
    <xf numFmtId="3" fontId="11" fillId="2" borderId="23" xfId="0" applyNumberFormat="1" applyFont="1" applyFill="1" applyBorder="1" applyAlignment="1" applyProtection="1">
      <alignment horizontal="right" vertical="center" wrapText="1"/>
      <protection locked="0"/>
    </xf>
    <xf numFmtId="0" fontId="5"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7" fillId="0" borderId="72" xfId="16" applyFont="1" applyFill="1" applyBorder="1" applyAlignment="1" applyProtection="1">
      <alignment wrapText="1"/>
    </xf>
    <xf numFmtId="173" fontId="17" fillId="0" borderId="73" xfId="16" applyFont="1" applyFill="1" applyBorder="1" applyAlignment="1" applyProtection="1">
      <alignment wrapText="1"/>
    </xf>
    <xf numFmtId="173" fontId="17" fillId="0" borderId="74" xfId="16" applyFont="1" applyFill="1" applyBorder="1" applyAlignment="1" applyProtection="1">
      <alignment wrapText="1"/>
    </xf>
    <xf numFmtId="173" fontId="12" fillId="3" borderId="75" xfId="16" applyFont="1" applyFill="1" applyBorder="1" applyAlignment="1" applyProtection="1">
      <alignment wrapText="1"/>
    </xf>
    <xf numFmtId="0" fontId="12" fillId="3" borderId="76" xfId="0" applyFont="1" applyFill="1" applyBorder="1" applyAlignment="1" applyProtection="1">
      <alignment wrapText="1"/>
    </xf>
    <xf numFmtId="0" fontId="12" fillId="3" borderId="75" xfId="0" applyFont="1" applyFill="1" applyBorder="1" applyAlignment="1" applyProtection="1">
      <alignment wrapText="1"/>
    </xf>
    <xf numFmtId="0" fontId="12" fillId="3" borderId="76" xfId="0" quotePrefix="1" applyFont="1" applyFill="1" applyBorder="1" applyAlignment="1" applyProtection="1">
      <alignment wrapText="1"/>
    </xf>
    <xf numFmtId="0" fontId="17" fillId="3" borderId="76" xfId="0" applyFont="1" applyFill="1" applyBorder="1" applyAlignment="1" applyProtection="1">
      <alignment wrapText="1"/>
    </xf>
    <xf numFmtId="0" fontId="17" fillId="3" borderId="77" xfId="0" applyFont="1" applyFill="1" applyBorder="1" applyAlignment="1" applyProtection="1">
      <alignment wrapText="1"/>
    </xf>
    <xf numFmtId="173" fontId="12" fillId="3" borderId="78" xfId="16" applyFont="1" applyFill="1" applyBorder="1" applyAlignment="1" applyProtection="1">
      <alignment wrapText="1"/>
    </xf>
    <xf numFmtId="0" fontId="12" fillId="3" borderId="79" xfId="0" applyFont="1" applyFill="1" applyBorder="1" applyAlignment="1" applyProtection="1">
      <alignment wrapText="1"/>
    </xf>
    <xf numFmtId="0" fontId="12" fillId="3" borderId="78" xfId="0" applyFont="1" applyFill="1" applyBorder="1" applyAlignment="1" applyProtection="1">
      <alignment wrapText="1"/>
    </xf>
    <xf numFmtId="0" fontId="12" fillId="3" borderId="79" xfId="0" quotePrefix="1" applyFont="1" applyFill="1" applyBorder="1" applyAlignment="1" applyProtection="1">
      <alignment wrapText="1"/>
    </xf>
    <xf numFmtId="0" fontId="17" fillId="3" borderId="79" xfId="0" applyFont="1" applyFill="1" applyBorder="1" applyAlignment="1" applyProtection="1">
      <alignment wrapText="1"/>
    </xf>
    <xf numFmtId="0" fontId="17" fillId="3" borderId="80" xfId="0" applyFont="1" applyFill="1" applyBorder="1" applyAlignment="1" applyProtection="1">
      <alignment wrapText="1"/>
    </xf>
    <xf numFmtId="173" fontId="12" fillId="3" borderId="81" xfId="16" applyFont="1" applyFill="1" applyBorder="1" applyAlignment="1" applyProtection="1">
      <alignment wrapText="1"/>
    </xf>
    <xf numFmtId="0" fontId="12" fillId="3" borderId="2" xfId="0" applyFont="1" applyFill="1" applyBorder="1" applyAlignment="1" applyProtection="1">
      <alignment wrapText="1"/>
    </xf>
    <xf numFmtId="0" fontId="12" fillId="3" borderId="81" xfId="0" applyFont="1" applyFill="1" applyBorder="1" applyAlignment="1" applyProtection="1">
      <alignment wrapText="1"/>
    </xf>
    <xf numFmtId="0" fontId="12" fillId="3" borderId="2" xfId="0" quotePrefix="1" applyFont="1" applyFill="1" applyBorder="1" applyAlignment="1" applyProtection="1">
      <alignment wrapText="1"/>
    </xf>
    <xf numFmtId="0" fontId="17" fillId="3" borderId="2" xfId="0" applyFont="1" applyFill="1" applyBorder="1" applyAlignment="1" applyProtection="1">
      <alignment wrapText="1"/>
    </xf>
    <xf numFmtId="0" fontId="17" fillId="3" borderId="82" xfId="0" applyFont="1" applyFill="1" applyBorder="1" applyAlignment="1" applyProtection="1">
      <alignment wrapText="1"/>
    </xf>
    <xf numFmtId="0" fontId="17" fillId="0" borderId="41" xfId="0" applyFont="1" applyFill="1" applyBorder="1" applyAlignment="1" applyProtection="1">
      <alignment wrapText="1"/>
    </xf>
    <xf numFmtId="0" fontId="17" fillId="0" borderId="13" xfId="0" applyFont="1" applyFill="1" applyBorder="1" applyAlignment="1" applyProtection="1">
      <alignment wrapText="1"/>
    </xf>
    <xf numFmtId="0" fontId="17" fillId="0" borderId="17" xfId="0" applyFont="1" applyFill="1" applyBorder="1" applyAlignment="1" applyProtection="1">
      <alignment wrapText="1"/>
    </xf>
    <xf numFmtId="0" fontId="17" fillId="0" borderId="20" xfId="0" applyFont="1" applyFill="1" applyBorder="1" applyAlignment="1" applyProtection="1">
      <alignment wrapText="1"/>
    </xf>
    <xf numFmtId="0" fontId="17" fillId="0" borderId="83" xfId="0" applyFont="1" applyFill="1" applyBorder="1" applyAlignment="1" applyProtection="1">
      <alignment wrapText="1"/>
    </xf>
    <xf numFmtId="0" fontId="17" fillId="3" borderId="42" xfId="0" applyFont="1" applyFill="1" applyBorder="1" applyAlignment="1" applyProtection="1">
      <alignment wrapText="1"/>
    </xf>
    <xf numFmtId="0" fontId="17" fillId="3" borderId="71" xfId="0" applyFont="1" applyFill="1" applyBorder="1" applyAlignment="1" applyProtection="1">
      <alignment wrapText="1"/>
    </xf>
    <xf numFmtId="0" fontId="17" fillId="3" borderId="15" xfId="0" applyFont="1" applyFill="1" applyBorder="1" applyAlignment="1" applyProtection="1">
      <alignment wrapText="1"/>
    </xf>
    <xf numFmtId="0" fontId="17" fillId="3" borderId="16" xfId="0" applyFont="1" applyFill="1" applyBorder="1" applyAlignment="1" applyProtection="1">
      <alignment wrapText="1"/>
    </xf>
    <xf numFmtId="0" fontId="17" fillId="3" borderId="8" xfId="0" applyFont="1" applyFill="1" applyBorder="1" applyAlignment="1" applyProtection="1">
      <alignment wrapText="1"/>
    </xf>
    <xf numFmtId="0" fontId="17" fillId="3" borderId="19" xfId="0" applyFont="1" applyFill="1" applyBorder="1" applyAlignment="1" applyProtection="1">
      <alignment wrapText="1"/>
    </xf>
    <xf numFmtId="0" fontId="17" fillId="3" borderId="22" xfId="0" applyFont="1" applyFill="1" applyBorder="1" applyAlignment="1" applyProtection="1">
      <alignment wrapText="1"/>
    </xf>
    <xf numFmtId="0" fontId="17" fillId="3" borderId="23" xfId="0" applyFont="1" applyFill="1" applyBorder="1" applyAlignment="1" applyProtection="1">
      <alignment wrapText="1"/>
    </xf>
    <xf numFmtId="0" fontId="17" fillId="3" borderId="84" xfId="0" applyFont="1" applyFill="1" applyBorder="1" applyAlignment="1" applyProtection="1">
      <alignment wrapText="1"/>
    </xf>
    <xf numFmtId="0" fontId="17" fillId="3" borderId="45" xfId="0" applyFont="1" applyFill="1" applyBorder="1" applyAlignment="1" applyProtection="1">
      <alignment wrapText="1"/>
    </xf>
    <xf numFmtId="173" fontId="17" fillId="0" borderId="6" xfId="16" applyFont="1" applyFill="1" applyBorder="1" applyAlignment="1" applyProtection="1">
      <alignment wrapText="1"/>
    </xf>
    <xf numFmtId="173" fontId="17" fillId="3" borderId="10" xfId="16" applyFont="1" applyFill="1" applyBorder="1" applyAlignment="1" applyProtection="1">
      <alignment wrapText="1"/>
    </xf>
    <xf numFmtId="173" fontId="11" fillId="3" borderId="11" xfId="16" applyFont="1" applyFill="1" applyBorder="1" applyProtection="1"/>
    <xf numFmtId="173" fontId="17" fillId="3" borderId="22" xfId="16" applyFont="1" applyFill="1" applyBorder="1" applyAlignment="1" applyProtection="1">
      <alignment wrapText="1"/>
    </xf>
    <xf numFmtId="173" fontId="11" fillId="3" borderId="23" xfId="16" applyFont="1" applyFill="1" applyBorder="1" applyProtection="1"/>
    <xf numFmtId="173" fontId="17" fillId="3" borderId="0" xfId="16" applyFont="1" applyFill="1" applyBorder="1" applyAlignment="1" applyProtection="1">
      <alignment wrapText="1"/>
    </xf>
    <xf numFmtId="173" fontId="11" fillId="3" borderId="7" xfId="16" applyFont="1" applyFill="1" applyBorder="1" applyProtection="1"/>
    <xf numFmtId="173" fontId="5" fillId="3" borderId="0" xfId="16" applyFont="1" applyFill="1" applyAlignment="1" applyProtection="1">
      <alignment horizontal="center" vertical="center"/>
    </xf>
    <xf numFmtId="173" fontId="17" fillId="0" borderId="85" xfId="16" applyFont="1" applyFill="1" applyBorder="1" applyAlignment="1" applyProtection="1">
      <alignment wrapText="1"/>
    </xf>
    <xf numFmtId="0" fontId="17" fillId="3" borderId="47" xfId="0" applyFont="1" applyFill="1" applyBorder="1" applyAlignment="1" applyProtection="1">
      <alignment wrapText="1"/>
    </xf>
    <xf numFmtId="0" fontId="17" fillId="3" borderId="56" xfId="0" applyFont="1" applyFill="1" applyBorder="1" applyAlignment="1" applyProtection="1">
      <alignment wrapText="1"/>
    </xf>
    <xf numFmtId="0" fontId="17" fillId="0" borderId="86" xfId="0" applyFont="1" applyFill="1" applyBorder="1" applyAlignment="1" applyProtection="1">
      <alignment wrapText="1"/>
    </xf>
    <xf numFmtId="173" fontId="17" fillId="0" borderId="86" xfId="16" applyFont="1" applyFill="1" applyBorder="1" applyAlignment="1" applyProtection="1">
      <alignment wrapText="1"/>
    </xf>
    <xf numFmtId="173" fontId="17" fillId="3" borderId="47" xfId="16" applyFont="1" applyFill="1" applyBorder="1" applyAlignment="1" applyProtection="1">
      <alignment wrapText="1"/>
    </xf>
    <xf numFmtId="173" fontId="11" fillId="3" borderId="56" xfId="16" applyFont="1" applyFill="1" applyBorder="1" applyProtection="1"/>
    <xf numFmtId="2" fontId="12" fillId="3" borderId="86" xfId="16" applyNumberFormat="1" applyFont="1" applyFill="1" applyBorder="1" applyAlignment="1" applyProtection="1">
      <alignment wrapText="1"/>
    </xf>
    <xf numFmtId="2" fontId="12" fillId="3" borderId="47" xfId="16" applyNumberFormat="1" applyFont="1" applyFill="1" applyBorder="1" applyAlignment="1" applyProtection="1">
      <alignment wrapText="1"/>
    </xf>
    <xf numFmtId="2" fontId="12" fillId="3" borderId="56" xfId="16" applyNumberFormat="1" applyFont="1" applyFill="1" applyBorder="1" applyAlignment="1" applyProtection="1">
      <alignment wrapText="1"/>
    </xf>
    <xf numFmtId="173" fontId="17" fillId="0" borderId="75" xfId="16" applyFont="1" applyBorder="1" applyProtection="1"/>
    <xf numFmtId="173" fontId="11" fillId="0" borderId="76" xfId="16" applyFont="1" applyBorder="1" applyProtection="1"/>
    <xf numFmtId="173" fontId="3" fillId="0" borderId="16" xfId="16" applyFont="1" applyBorder="1" applyAlignment="1" applyProtection="1">
      <alignment horizontal="center" wrapText="1"/>
    </xf>
    <xf numFmtId="173" fontId="33" fillId="0" borderId="0" xfId="16" applyFont="1" applyAlignment="1" applyProtection="1">
      <alignment horizontal="left"/>
    </xf>
    <xf numFmtId="0" fontId="5" fillId="0" borderId="4" xfId="0" applyFont="1" applyFill="1" applyBorder="1" applyAlignment="1">
      <alignment vertical="top" wrapText="1"/>
    </xf>
    <xf numFmtId="0" fontId="11" fillId="0" borderId="0" xfId="0" applyFont="1" applyFill="1" applyBorder="1" applyAlignment="1">
      <alignment vertical="top" wrapText="1"/>
    </xf>
    <xf numFmtId="0" fontId="0" fillId="0" borderId="0" xfId="0" applyFill="1" applyBorder="1" applyAlignment="1">
      <alignment vertical="top" wrapText="1"/>
    </xf>
    <xf numFmtId="0" fontId="11" fillId="0" borderId="5" xfId="0" applyFont="1" applyFill="1" applyBorder="1" applyAlignment="1">
      <alignment vertical="top" wrapText="1"/>
    </xf>
    <xf numFmtId="0" fontId="5" fillId="0" borderId="0" xfId="0" applyFont="1" applyFill="1" applyBorder="1" applyAlignment="1">
      <alignment vertical="top" wrapText="1"/>
    </xf>
    <xf numFmtId="0" fontId="5" fillId="0" borderId="4" xfId="0" applyFont="1" applyFill="1" applyBorder="1" applyAlignment="1">
      <alignment vertical="center" wrapText="1"/>
    </xf>
    <xf numFmtId="0" fontId="11" fillId="0" borderId="0" xfId="0" applyFont="1" applyFill="1" applyBorder="1" applyAlignment="1">
      <alignment vertical="center" wrapText="1"/>
    </xf>
    <xf numFmtId="0" fontId="0" fillId="0" borderId="0" xfId="0" applyFill="1" applyBorder="1" applyAlignment="1">
      <alignment vertical="center" wrapText="1"/>
    </xf>
    <xf numFmtId="0" fontId="11" fillId="0" borderId="0" xfId="0" applyFont="1" applyFill="1" applyBorder="1" applyAlignment="1">
      <alignment horizontal="center" vertical="center" wrapText="1"/>
    </xf>
    <xf numFmtId="0" fontId="5" fillId="0" borderId="0" xfId="0" applyFont="1" applyFill="1" applyBorder="1" applyAlignment="1">
      <alignment vertical="center" wrapText="1"/>
    </xf>
    <xf numFmtId="0" fontId="5"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5" fillId="3" borderId="57" xfId="0" applyFont="1" applyFill="1" applyBorder="1" applyAlignment="1">
      <alignment vertical="center" wrapText="1"/>
    </xf>
    <xf numFmtId="0" fontId="5" fillId="0" borderId="4" xfId="0" applyFont="1" applyFill="1" applyBorder="1" applyAlignment="1">
      <alignment horizontal="right" vertical="center" wrapText="1"/>
    </xf>
    <xf numFmtId="0" fontId="5" fillId="0" borderId="4" xfId="0" applyFon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5" fillId="0" borderId="58" xfId="0" applyFont="1" applyFill="1" applyBorder="1" applyAlignment="1">
      <alignment vertical="center" wrapText="1"/>
    </xf>
    <xf numFmtId="0" fontId="0" fillId="0" borderId="59" xfId="0" applyFill="1" applyBorder="1" applyAlignment="1">
      <alignment horizontal="center" vertical="top" wrapText="1"/>
    </xf>
    <xf numFmtId="170" fontId="5" fillId="3" borderId="57" xfId="0" applyNumberFormat="1" applyFont="1" applyFill="1" applyBorder="1" applyAlignment="1">
      <alignment horizontal="right" vertical="top" wrapText="1"/>
    </xf>
    <xf numFmtId="0" fontId="27" fillId="3" borderId="57" xfId="0" applyFont="1" applyFill="1" applyBorder="1" applyAlignment="1">
      <alignment vertical="top" wrapText="1"/>
    </xf>
    <xf numFmtId="0" fontId="3" fillId="3" borderId="57" xfId="0" applyFont="1" applyFill="1" applyBorder="1" applyAlignment="1">
      <alignment horizontal="center" vertical="top" wrapText="1"/>
    </xf>
    <xf numFmtId="170" fontId="14" fillId="3" borderId="57" xfId="0" applyNumberFormat="1" applyFont="1" applyFill="1" applyBorder="1" applyAlignment="1">
      <alignment horizontal="center" vertical="center" wrapText="1"/>
    </xf>
    <xf numFmtId="0" fontId="14" fillId="3" borderId="88" xfId="0" applyFont="1" applyFill="1" applyBorder="1" applyAlignment="1">
      <alignment vertical="center" wrapText="1"/>
    </xf>
    <xf numFmtId="0" fontId="3" fillId="3" borderId="4" xfId="0" applyFont="1" applyFill="1" applyBorder="1" applyAlignment="1">
      <alignment horizontal="center" vertical="top" wrapText="1"/>
    </xf>
    <xf numFmtId="0" fontId="3" fillId="3" borderId="0" xfId="0" applyFont="1" applyFill="1" applyBorder="1" applyAlignment="1">
      <alignment horizontal="center" vertical="top" wrapText="1"/>
    </xf>
    <xf numFmtId="170" fontId="3" fillId="3" borderId="0" xfId="0" applyNumberFormat="1" applyFont="1" applyFill="1" applyBorder="1" applyAlignment="1">
      <alignment horizontal="center" vertical="top" wrapText="1"/>
    </xf>
    <xf numFmtId="0" fontId="3" fillId="3" borderId="5" xfId="0" applyFont="1" applyFill="1" applyBorder="1" applyAlignment="1">
      <alignment vertical="top"/>
    </xf>
    <xf numFmtId="170" fontId="14" fillId="3" borderId="89" xfId="0" applyNumberFormat="1" applyFont="1" applyFill="1" applyBorder="1" applyAlignment="1">
      <alignment vertical="center" wrapText="1"/>
    </xf>
    <xf numFmtId="0" fontId="11" fillId="0" borderId="0" xfId="0" applyFont="1"/>
    <xf numFmtId="0" fontId="34" fillId="0" borderId="0" xfId="0" applyFont="1" applyFill="1" applyAlignment="1">
      <alignment vertical="top" wrapText="1"/>
    </xf>
    <xf numFmtId="0" fontId="34" fillId="15" borderId="0" xfId="0" applyFont="1" applyFill="1" applyAlignment="1">
      <alignment vertical="top" wrapText="1"/>
    </xf>
    <xf numFmtId="0" fontId="34" fillId="15" borderId="0" xfId="0" applyFont="1" applyFill="1"/>
    <xf numFmtId="0" fontId="34" fillId="15" borderId="5" xfId="0" applyFont="1" applyFill="1" applyBorder="1" applyAlignment="1">
      <alignment vertical="top" wrapText="1"/>
    </xf>
    <xf numFmtId="0" fontId="34" fillId="15" borderId="0" xfId="0" applyFont="1" applyFill="1" applyAlignment="1">
      <alignment vertical="top"/>
    </xf>
    <xf numFmtId="42" fontId="11" fillId="3" borderId="22" xfId="0" applyNumberFormat="1" applyFont="1" applyFill="1" applyBorder="1" applyAlignment="1" applyProtection="1">
      <alignment wrapText="1"/>
      <protection locked="0"/>
    </xf>
    <xf numFmtId="164" fontId="0" fillId="5" borderId="57" xfId="0" applyNumberFormat="1" applyFill="1" applyBorder="1" applyAlignment="1">
      <alignment vertical="top" wrapText="1"/>
    </xf>
    <xf numFmtId="0" fontId="0" fillId="4" borderId="0" xfId="0" applyFill="1" applyBorder="1" applyAlignment="1">
      <alignment vertical="top" wrapText="1"/>
    </xf>
    <xf numFmtId="0" fontId="0" fillId="4" borderId="0" xfId="0" applyFill="1" applyAlignment="1">
      <alignment vertical="top" wrapText="1"/>
    </xf>
    <xf numFmtId="9" fontId="1" fillId="5" borderId="57" xfId="17" applyFill="1" applyBorder="1" applyAlignment="1">
      <alignment vertical="top" wrapText="1"/>
    </xf>
    <xf numFmtId="0" fontId="0" fillId="6" borderId="5" xfId="0" applyFill="1" applyBorder="1" applyAlignment="1">
      <alignment vertical="top" wrapText="1"/>
    </xf>
    <xf numFmtId="0" fontId="0" fillId="6" borderId="0" xfId="0" applyFill="1" applyBorder="1" applyAlignment="1">
      <alignment vertical="top" wrapText="1"/>
    </xf>
    <xf numFmtId="7" fontId="0" fillId="5" borderId="57" xfId="0" applyNumberFormat="1" applyFill="1" applyBorder="1" applyAlignment="1">
      <alignment vertical="top" wrapText="1"/>
    </xf>
    <xf numFmtId="9" fontId="11" fillId="5" borderId="57" xfId="17" applyFont="1" applyFill="1" applyBorder="1" applyAlignment="1">
      <alignment vertical="top" wrapText="1"/>
    </xf>
    <xf numFmtId="0" fontId="14" fillId="5" borderId="89" xfId="0" applyFont="1" applyFill="1" applyBorder="1" applyAlignment="1">
      <alignment horizontal="right" vertical="top" wrapText="1"/>
    </xf>
    <xf numFmtId="170" fontId="0" fillId="4" borderId="0" xfId="0" applyNumberFormat="1" applyFill="1" applyBorder="1" applyAlignment="1">
      <alignment horizontal="right" vertical="top" wrapText="1"/>
    </xf>
    <xf numFmtId="0" fontId="0" fillId="6" borderId="0" xfId="0" applyFill="1"/>
    <xf numFmtId="176" fontId="14" fillId="3" borderId="57" xfId="0" applyNumberFormat="1" applyFont="1" applyFill="1" applyBorder="1" applyAlignment="1">
      <alignment horizontal="right" vertical="top" wrapText="1"/>
    </xf>
    <xf numFmtId="170" fontId="0" fillId="5" borderId="15" xfId="0" applyNumberFormat="1" applyFill="1" applyBorder="1" applyAlignment="1" applyProtection="1">
      <alignment horizontal="center" vertical="center" wrapText="1"/>
      <protection locked="0"/>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6" fillId="2" borderId="20" xfId="0" applyFont="1" applyFill="1" applyBorder="1" applyAlignment="1" applyProtection="1">
      <protection locked="0"/>
    </xf>
    <xf numFmtId="0" fontId="36" fillId="2" borderId="22" xfId="0" applyFont="1" applyFill="1" applyBorder="1" applyAlignment="1" applyProtection="1">
      <alignment horizontal="right" wrapText="1"/>
      <protection locked="0"/>
    </xf>
    <xf numFmtId="0" fontId="39" fillId="2" borderId="90" xfId="0" applyFont="1" applyFill="1" applyBorder="1" applyAlignment="1" applyProtection="1">
      <alignment horizontal="left" vertical="center"/>
      <protection locked="0"/>
    </xf>
    <xf numFmtId="0" fontId="37" fillId="2" borderId="90" xfId="0" applyFont="1" applyFill="1" applyBorder="1" applyProtection="1">
      <protection locked="0"/>
    </xf>
    <xf numFmtId="0" fontId="10" fillId="2" borderId="15" xfId="0" applyFont="1" applyFill="1" applyBorder="1" applyAlignment="1" applyProtection="1">
      <alignment horizontal="center" wrapText="1"/>
      <protection locked="0"/>
    </xf>
    <xf numFmtId="0" fontId="3" fillId="0" borderId="0" xfId="0" applyFont="1" applyFill="1" applyBorder="1" applyAlignment="1">
      <alignment vertical="top" wrapText="1"/>
    </xf>
    <xf numFmtId="0" fontId="40" fillId="2" borderId="91" xfId="0" applyFont="1" applyFill="1" applyBorder="1" applyAlignment="1">
      <alignment vertical="top" wrapText="1"/>
    </xf>
    <xf numFmtId="0" fontId="10" fillId="2" borderId="92" xfId="0" applyFont="1" applyFill="1" applyBorder="1" applyAlignment="1">
      <alignment vertical="top" wrapText="1"/>
    </xf>
    <xf numFmtId="0" fontId="37" fillId="2" borderId="92" xfId="0" applyFont="1" applyFill="1" applyBorder="1" applyAlignment="1">
      <alignment vertical="top" wrapText="1"/>
    </xf>
    <xf numFmtId="0" fontId="36" fillId="2" borderId="92" xfId="0" applyFont="1" applyFill="1" applyBorder="1" applyAlignment="1">
      <alignment vertical="top" wrapText="1"/>
    </xf>
    <xf numFmtId="0" fontId="37" fillId="2" borderId="93" xfId="0" applyFont="1" applyFill="1" applyBorder="1" applyAlignment="1">
      <alignment vertical="top" wrapText="1"/>
    </xf>
    <xf numFmtId="0" fontId="32" fillId="2" borderId="0" xfId="0" applyFont="1" applyFill="1" applyBorder="1" applyAlignment="1">
      <alignment vertical="top" wrapText="1"/>
    </xf>
    <xf numFmtId="0" fontId="32" fillId="2" borderId="5" xfId="0" applyFont="1" applyFill="1" applyBorder="1" applyAlignment="1">
      <alignment vertical="top" wrapText="1"/>
    </xf>
    <xf numFmtId="0" fontId="40" fillId="2" borderId="94" xfId="0" applyFont="1" applyFill="1" applyBorder="1" applyAlignment="1">
      <alignment vertical="top" wrapText="1"/>
    </xf>
    <xf numFmtId="0" fontId="32" fillId="2" borderId="95" xfId="0" applyFont="1" applyFill="1" applyBorder="1" applyAlignment="1">
      <alignment vertical="top" wrapText="1"/>
    </xf>
    <xf numFmtId="0" fontId="40" fillId="2" borderId="95" xfId="0" applyFont="1" applyFill="1" applyBorder="1" applyAlignment="1">
      <alignment vertical="top" wrapText="1"/>
    </xf>
    <xf numFmtId="0" fontId="32" fillId="2" borderId="96" xfId="0" applyFont="1" applyFill="1" applyBorder="1" applyAlignment="1">
      <alignment vertical="top" wrapText="1"/>
    </xf>
    <xf numFmtId="3" fontId="0" fillId="3" borderId="62" xfId="0" applyNumberFormat="1" applyFill="1" applyBorder="1" applyAlignment="1">
      <alignment vertical="top" wrapText="1"/>
    </xf>
    <xf numFmtId="0" fontId="42" fillId="2" borderId="95" xfId="0" applyFont="1" applyFill="1" applyBorder="1" applyAlignment="1">
      <alignment vertical="top" wrapText="1"/>
    </xf>
    <xf numFmtId="0" fontId="43" fillId="2" borderId="4" xfId="0" applyFont="1" applyFill="1" applyBorder="1" applyAlignment="1">
      <alignment horizontal="center" vertical="center" wrapText="1"/>
    </xf>
    <xf numFmtId="0" fontId="43" fillId="2" borderId="0" xfId="0" applyFont="1" applyFill="1" applyBorder="1" applyAlignment="1">
      <alignment horizontal="center" vertical="top" wrapText="1"/>
    </xf>
    <xf numFmtId="0" fontId="41" fillId="2" borderId="94" xfId="0" applyFont="1" applyFill="1" applyBorder="1" applyAlignment="1">
      <alignment wrapText="1"/>
    </xf>
    <xf numFmtId="0" fontId="32" fillId="2" borderId="95" xfId="0" applyFont="1" applyFill="1" applyBorder="1" applyAlignment="1">
      <alignment horizontal="center" vertical="top" wrapText="1"/>
    </xf>
    <xf numFmtId="0" fontId="32" fillId="2" borderId="96" xfId="0" applyFont="1" applyFill="1" applyBorder="1" applyAlignment="1">
      <alignment vertical="top"/>
    </xf>
    <xf numFmtId="170" fontId="0" fillId="3" borderId="62" xfId="0" applyNumberFormat="1" applyFill="1" applyBorder="1" applyAlignment="1">
      <alignment vertical="top" wrapText="1"/>
    </xf>
    <xf numFmtId="0" fontId="45" fillId="2" borderId="95" xfId="0" applyFont="1" applyFill="1" applyBorder="1" applyAlignment="1">
      <alignment horizontal="center" vertical="top" wrapText="1"/>
    </xf>
    <xf numFmtId="0" fontId="45" fillId="2" borderId="96" xfId="0" applyFont="1" applyFill="1" applyBorder="1"/>
    <xf numFmtId="170" fontId="0" fillId="2" borderId="0" xfId="0" applyNumberFormat="1" applyFill="1" applyBorder="1" applyAlignment="1">
      <alignment vertical="top" wrapText="1"/>
    </xf>
    <xf numFmtId="0" fontId="36" fillId="2" borderId="41" xfId="0" applyFont="1" applyFill="1" applyBorder="1" applyAlignment="1" applyProtection="1">
      <alignment horizontal="right" wrapText="1"/>
      <protection locked="0"/>
    </xf>
    <xf numFmtId="0" fontId="10" fillId="2" borderId="42" xfId="0" applyFont="1" applyFill="1" applyBorder="1" applyAlignment="1" applyProtection="1">
      <alignment horizontal="center" wrapText="1"/>
      <protection locked="0"/>
    </xf>
    <xf numFmtId="0" fontId="11" fillId="2" borderId="97" xfId="0" applyFont="1" applyFill="1" applyBorder="1" applyAlignment="1" applyProtection="1">
      <alignment horizontal="left" wrapText="1"/>
      <protection locked="0"/>
    </xf>
    <xf numFmtId="42" fontId="11" fillId="3" borderId="69" xfId="0" applyNumberFormat="1" applyFont="1" applyFill="1" applyBorder="1" applyAlignment="1" applyProtection="1">
      <alignment wrapText="1"/>
      <protection locked="0"/>
    </xf>
    <xf numFmtId="42" fontId="11" fillId="3" borderId="98" xfId="0" applyNumberFormat="1" applyFont="1" applyFill="1" applyBorder="1" applyAlignment="1" applyProtection="1">
      <alignment wrapText="1"/>
      <protection locked="0"/>
    </xf>
    <xf numFmtId="2" fontId="11" fillId="2" borderId="69" xfId="0" applyNumberFormat="1" applyFont="1" applyFill="1" applyBorder="1" applyAlignment="1" applyProtection="1">
      <alignment wrapText="1"/>
      <protection locked="0"/>
    </xf>
    <xf numFmtId="0" fontId="10" fillId="2" borderId="71" xfId="0" applyFont="1" applyFill="1" applyBorder="1" applyAlignment="1" applyProtection="1">
      <alignment horizontal="center" wrapText="1"/>
      <protection locked="0"/>
    </xf>
    <xf numFmtId="172" fontId="3" fillId="2" borderId="69" xfId="0" applyNumberFormat="1" applyFont="1" applyFill="1" applyBorder="1" applyAlignment="1" applyProtection="1">
      <alignment wrapText="1"/>
      <protection locked="0"/>
    </xf>
    <xf numFmtId="0" fontId="11" fillId="2" borderId="70" xfId="0" applyFont="1" applyFill="1" applyBorder="1" applyAlignment="1" applyProtection="1">
      <alignment wrapText="1"/>
      <protection locked="0"/>
    </xf>
    <xf numFmtId="0" fontId="11" fillId="6" borderId="99" xfId="0" applyFont="1" applyFill="1" applyBorder="1" applyAlignment="1" applyProtection="1">
      <alignment wrapText="1"/>
      <protection locked="0"/>
    </xf>
    <xf numFmtId="0" fontId="11" fillId="6" borderId="100" xfId="0" applyFont="1" applyFill="1" applyBorder="1" applyAlignment="1" applyProtection="1">
      <alignment wrapText="1"/>
      <protection locked="0"/>
    </xf>
    <xf numFmtId="0" fontId="11" fillId="6" borderId="101" xfId="0" applyFont="1" applyFill="1" applyBorder="1" applyAlignment="1" applyProtection="1">
      <alignment wrapText="1"/>
      <protection locked="0"/>
    </xf>
    <xf numFmtId="0" fontId="0" fillId="3" borderId="98" xfId="0" applyFill="1" applyBorder="1"/>
    <xf numFmtId="0" fontId="11" fillId="6" borderId="102" xfId="0" applyFont="1" applyFill="1" applyBorder="1" applyAlignment="1" applyProtection="1">
      <alignment wrapText="1"/>
      <protection locked="0"/>
    </xf>
    <xf numFmtId="0" fontId="11" fillId="6" borderId="18" xfId="0" applyFont="1" applyFill="1" applyBorder="1" applyAlignment="1" applyProtection="1">
      <alignment wrapText="1"/>
      <protection locked="0"/>
    </xf>
    <xf numFmtId="0" fontId="11" fillId="6" borderId="103" xfId="0" applyFont="1" applyFill="1" applyBorder="1" applyAlignment="1" applyProtection="1">
      <alignment wrapText="1"/>
      <protection locked="0"/>
    </xf>
    <xf numFmtId="10" fontId="11" fillId="3" borderId="57" xfId="0" applyNumberFormat="1" applyFont="1" applyFill="1" applyBorder="1" applyAlignment="1" applyProtection="1">
      <alignment wrapText="1"/>
      <protection locked="0"/>
    </xf>
    <xf numFmtId="0" fontId="17" fillId="3" borderId="0" xfId="0" applyFont="1" applyFill="1" applyBorder="1" applyAlignment="1" applyProtection="1">
      <alignment wrapText="1"/>
    </xf>
    <xf numFmtId="0" fontId="17" fillId="3" borderId="7" xfId="0" applyFont="1" applyFill="1" applyBorder="1" applyAlignment="1" applyProtection="1">
      <alignment wrapText="1"/>
    </xf>
    <xf numFmtId="0" fontId="17" fillId="0" borderId="6" xfId="0" applyFont="1" applyFill="1" applyBorder="1" applyAlignment="1" applyProtection="1">
      <alignment wrapText="1"/>
    </xf>
    <xf numFmtId="173" fontId="17" fillId="0" borderId="104" xfId="16" applyFont="1" applyFill="1" applyBorder="1" applyAlignment="1" applyProtection="1">
      <alignment wrapText="1"/>
    </xf>
    <xf numFmtId="2" fontId="12" fillId="3" borderId="78" xfId="16" applyNumberFormat="1" applyFont="1" applyFill="1" applyBorder="1" applyAlignment="1" applyProtection="1">
      <alignment wrapText="1"/>
    </xf>
    <xf numFmtId="2" fontId="12" fillId="3" borderId="79" xfId="16" applyNumberFormat="1" applyFont="1" applyFill="1" applyBorder="1" applyAlignment="1" applyProtection="1">
      <alignment wrapText="1"/>
    </xf>
    <xf numFmtId="2" fontId="12" fillId="3" borderId="80" xfId="16" applyNumberFormat="1" applyFont="1" applyFill="1" applyBorder="1" applyAlignment="1" applyProtection="1">
      <alignment wrapText="1"/>
    </xf>
    <xf numFmtId="0" fontId="9"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5" fillId="0" borderId="0" xfId="0" applyFont="1" applyAlignment="1"/>
    <xf numFmtId="0" fontId="0" fillId="0" borderId="0" xfId="0" applyAlignment="1"/>
    <xf numFmtId="0" fontId="0" fillId="0" borderId="0" xfId="0" applyFill="1" applyAlignment="1"/>
    <xf numFmtId="165" fontId="7" fillId="2" borderId="0" xfId="0" applyNumberFormat="1" applyFont="1" applyFill="1" applyBorder="1" applyAlignment="1">
      <alignment horizontal="center" vertical="center"/>
    </xf>
    <xf numFmtId="166" fontId="7" fillId="0" borderId="5" xfId="0" applyNumberFormat="1" applyFont="1" applyFill="1" applyBorder="1" applyAlignment="1">
      <alignment horizontal="center" vertical="center" wrapText="1"/>
    </xf>
    <xf numFmtId="1" fontId="7" fillId="2" borderId="0" xfId="0" applyNumberFormat="1" applyFont="1" applyFill="1" applyBorder="1" applyAlignment="1">
      <alignment horizontal="center" vertical="center" wrapText="1"/>
    </xf>
    <xf numFmtId="2" fontId="7" fillId="2" borderId="0" xfId="0" applyNumberFormat="1" applyFont="1" applyFill="1" applyBorder="1" applyAlignment="1">
      <alignment horizontal="center" vertical="center"/>
    </xf>
    <xf numFmtId="2" fontId="7" fillId="2" borderId="5" xfId="0" applyNumberFormat="1" applyFont="1" applyFill="1" applyBorder="1" applyAlignment="1">
      <alignment horizontal="center" vertical="center" wrapText="1"/>
    </xf>
    <xf numFmtId="0" fontId="5" fillId="3" borderId="57" xfId="0" applyFont="1" applyFill="1" applyBorder="1" applyAlignment="1">
      <alignment horizontal="left" vertical="center" wrapText="1"/>
    </xf>
    <xf numFmtId="0" fontId="5" fillId="0" borderId="4" xfId="0" applyFont="1" applyFill="1" applyBorder="1" applyAlignment="1">
      <alignment horizontal="left" vertical="center" wrapText="1"/>
    </xf>
    <xf numFmtId="0" fontId="0" fillId="0" borderId="0" xfId="0" applyAlignment="1">
      <alignment horizontal="center"/>
    </xf>
    <xf numFmtId="0" fontId="3"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0" fontId="0" fillId="6" borderId="5" xfId="0" applyFill="1" applyBorder="1" applyAlignment="1">
      <alignment horizontal="left" vertical="top" wrapText="1"/>
    </xf>
    <xf numFmtId="0" fontId="38" fillId="2" borderId="13" xfId="0" applyFont="1" applyFill="1" applyBorder="1" applyAlignment="1">
      <alignment vertical="top" wrapText="1"/>
    </xf>
    <xf numFmtId="0" fontId="14" fillId="0" borderId="63" xfId="0" applyFont="1" applyBorder="1" applyAlignment="1">
      <alignment vertical="top" wrapText="1"/>
    </xf>
    <xf numFmtId="3" fontId="0" fillId="5" borderId="57" xfId="0" applyNumberFormat="1" applyFill="1" applyBorder="1" applyAlignment="1">
      <alignment vertical="top" wrapText="1"/>
    </xf>
    <xf numFmtId="0" fontId="0" fillId="0" borderId="98" xfId="0" applyBorder="1" applyAlignment="1">
      <alignment vertical="top" wrapText="1"/>
    </xf>
    <xf numFmtId="0" fontId="0" fillId="0" borderId="108" xfId="0" applyBorder="1" applyAlignment="1">
      <alignment vertical="top" wrapText="1"/>
    </xf>
    <xf numFmtId="0" fontId="14" fillId="0" borderId="109" xfId="0" applyFont="1" applyBorder="1" applyAlignment="1">
      <alignment vertical="top" wrapText="1"/>
    </xf>
    <xf numFmtId="3" fontId="14" fillId="3" borderId="8" xfId="0" applyNumberFormat="1" applyFont="1" applyFill="1" applyBorder="1" applyAlignment="1">
      <alignment vertical="top" wrapText="1"/>
    </xf>
    <xf numFmtId="2" fontId="14" fillId="3" borderId="8" xfId="0" applyNumberFormat="1" applyFont="1" applyFill="1" applyBorder="1" applyAlignment="1">
      <alignment vertical="top" wrapText="1"/>
    </xf>
    <xf numFmtId="167" fontId="14" fillId="3" borderId="22" xfId="0" applyNumberFormat="1" applyFont="1" applyFill="1" applyBorder="1" applyAlignment="1">
      <alignment vertical="top" wrapText="1"/>
    </xf>
    <xf numFmtId="0" fontId="0" fillId="0" borderId="65" xfId="0" applyBorder="1" applyAlignment="1">
      <alignment vertical="top" wrapText="1"/>
    </xf>
    <xf numFmtId="0" fontId="0" fillId="0" borderId="66" xfId="0" applyBorder="1" applyAlignment="1">
      <alignment vertical="top" wrapText="1"/>
    </xf>
    <xf numFmtId="0" fontId="0" fillId="0" borderId="7" xfId="0" applyBorder="1" applyAlignment="1">
      <alignment vertical="top" wrapText="1"/>
    </xf>
    <xf numFmtId="0" fontId="0" fillId="0" borderId="90" xfId="0" applyBorder="1" applyAlignment="1">
      <alignment vertical="top" wrapText="1"/>
    </xf>
    <xf numFmtId="0" fontId="0" fillId="0" borderId="110" xfId="0" applyBorder="1" applyAlignment="1">
      <alignment vertical="top" wrapText="1"/>
    </xf>
    <xf numFmtId="2" fontId="0" fillId="0" borderId="0" xfId="0" applyNumberFormat="1" applyBorder="1" applyAlignment="1">
      <alignment vertical="top" wrapText="1"/>
    </xf>
    <xf numFmtId="0" fontId="0" fillId="0" borderId="90" xfId="0" applyBorder="1"/>
    <xf numFmtId="0" fontId="19" fillId="3" borderId="111" xfId="0" applyFont="1" applyFill="1" applyBorder="1" applyAlignment="1" applyProtection="1">
      <alignment horizontal="left" vertical="center"/>
    </xf>
    <xf numFmtId="173" fontId="11" fillId="0" borderId="112" xfId="16" applyFont="1" applyBorder="1" applyAlignment="1" applyProtection="1">
      <alignment wrapText="1"/>
    </xf>
    <xf numFmtId="165" fontId="11" fillId="3" borderId="113" xfId="16" applyNumberFormat="1" applyFont="1" applyFill="1" applyBorder="1" applyProtection="1"/>
    <xf numFmtId="173" fontId="11" fillId="0" borderId="114" xfId="16" applyFont="1" applyBorder="1" applyProtection="1"/>
    <xf numFmtId="173" fontId="11" fillId="0" borderId="115" xfId="16" applyFont="1" applyBorder="1" applyAlignment="1" applyProtection="1">
      <alignment wrapText="1"/>
    </xf>
    <xf numFmtId="165" fontId="11" fillId="3" borderId="98" xfId="16" applyNumberFormat="1" applyFont="1" applyFill="1" applyBorder="1" applyProtection="1"/>
    <xf numFmtId="173" fontId="11" fillId="0" borderId="116" xfId="16" applyFont="1" applyBorder="1" applyProtection="1"/>
    <xf numFmtId="173" fontId="11" fillId="0" borderId="117" xfId="16" applyFont="1" applyBorder="1" applyAlignment="1" applyProtection="1">
      <alignment wrapText="1"/>
    </xf>
    <xf numFmtId="165" fontId="11" fillId="3" borderId="118" xfId="16" applyNumberFormat="1" applyFont="1" applyFill="1" applyBorder="1" applyProtection="1"/>
    <xf numFmtId="173" fontId="11" fillId="0" borderId="119" xfId="16" applyFont="1" applyBorder="1" applyProtection="1"/>
    <xf numFmtId="165" fontId="3" fillId="0" borderId="0" xfId="16" applyNumberFormat="1" applyFont="1" applyFill="1" applyBorder="1" applyProtection="1"/>
    <xf numFmtId="0" fontId="3" fillId="0" borderId="58" xfId="0" applyFont="1" applyBorder="1"/>
    <xf numFmtId="0" fontId="3" fillId="0" borderId="59" xfId="0" applyFont="1" applyFill="1" applyBorder="1" applyProtection="1"/>
    <xf numFmtId="0" fontId="3" fillId="0" borderId="87" xfId="0" applyFont="1" applyFill="1" applyBorder="1" applyProtection="1"/>
    <xf numFmtId="173" fontId="11" fillId="0" borderId="106" xfId="16" applyFont="1" applyBorder="1" applyProtection="1"/>
    <xf numFmtId="170" fontId="11" fillId="0" borderId="107" xfId="16" applyNumberFormat="1" applyFont="1" applyFill="1" applyBorder="1" applyAlignment="1" applyProtection="1">
      <alignment horizontal="center"/>
    </xf>
    <xf numFmtId="173" fontId="11" fillId="0" borderId="98" xfId="16" applyFont="1" applyBorder="1" applyProtection="1"/>
    <xf numFmtId="173" fontId="11" fillId="0" borderId="108" xfId="16" applyFont="1" applyBorder="1" applyProtection="1"/>
    <xf numFmtId="173" fontId="11" fillId="0" borderId="120" xfId="16" applyFont="1" applyBorder="1" applyProtection="1"/>
    <xf numFmtId="173" fontId="11" fillId="0" borderId="111" xfId="16" applyFont="1" applyBorder="1" applyProtection="1"/>
    <xf numFmtId="173" fontId="5" fillId="0" borderId="40" xfId="16" applyFont="1" applyBorder="1" applyProtection="1"/>
    <xf numFmtId="173" fontId="4" fillId="0" borderId="63" xfId="5" applyNumberFormat="1" applyBorder="1" applyAlignment="1" applyProtection="1"/>
    <xf numFmtId="173" fontId="4" fillId="0" borderId="109" xfId="5" applyNumberFormat="1" applyBorder="1" applyAlignment="1" applyProtection="1"/>
    <xf numFmtId="0" fontId="14" fillId="0" borderId="121" xfId="0" applyFont="1" applyBorder="1" applyAlignment="1">
      <alignment vertical="top" wrapText="1"/>
    </xf>
    <xf numFmtId="167" fontId="14" fillId="3" borderId="37" xfId="0" applyNumberFormat="1" applyFont="1" applyFill="1" applyBorder="1" applyAlignment="1">
      <alignment vertical="top" wrapText="1"/>
    </xf>
    <xf numFmtId="0" fontId="17" fillId="0" borderId="10" xfId="0" quotePrefix="1" applyFont="1" applyBorder="1" applyAlignment="1" applyProtection="1">
      <alignment wrapText="1"/>
    </xf>
    <xf numFmtId="173" fontId="3" fillId="0" borderId="40" xfId="16" applyFont="1" applyFill="1" applyBorder="1" applyAlignment="1" applyProtection="1">
      <alignment horizontal="center" wrapText="1"/>
    </xf>
    <xf numFmtId="0" fontId="12" fillId="3" borderId="122" xfId="0" applyFont="1" applyFill="1" applyBorder="1" applyAlignment="1" applyProtection="1">
      <alignment wrapText="1"/>
    </xf>
    <xf numFmtId="0" fontId="12" fillId="3" borderId="123" xfId="0" applyFont="1" applyFill="1" applyBorder="1" applyAlignment="1" applyProtection="1">
      <alignment wrapText="1"/>
    </xf>
    <xf numFmtId="0" fontId="12" fillId="3" borderId="124" xfId="0" applyFont="1" applyFill="1" applyBorder="1" applyAlignment="1" applyProtection="1">
      <alignment wrapText="1"/>
    </xf>
    <xf numFmtId="173" fontId="3" fillId="0" borderId="107" xfId="16" applyFont="1" applyFill="1" applyBorder="1" applyAlignment="1" applyProtection="1">
      <alignment horizontal="center" wrapText="1"/>
    </xf>
    <xf numFmtId="169" fontId="11" fillId="3" borderId="108" xfId="16" applyNumberFormat="1" applyFont="1" applyFill="1" applyBorder="1" applyProtection="1"/>
    <xf numFmtId="173" fontId="3" fillId="0" borderId="125" xfId="16" applyFont="1" applyFill="1" applyBorder="1" applyAlignment="1" applyProtection="1">
      <alignment horizontal="center" wrapText="1"/>
    </xf>
    <xf numFmtId="0" fontId="12" fillId="3" borderId="77" xfId="0" quotePrefix="1" applyFont="1" applyFill="1" applyBorder="1" applyAlignment="1" applyProtection="1">
      <alignment horizontal="left" wrapText="1"/>
    </xf>
    <xf numFmtId="0" fontId="12" fillId="3" borderId="80" xfId="0" quotePrefix="1" applyFont="1" applyFill="1" applyBorder="1" applyAlignment="1" applyProtection="1">
      <alignment wrapText="1"/>
    </xf>
    <xf numFmtId="0" fontId="12" fillId="3" borderId="80" xfId="0" quotePrefix="1" applyFont="1" applyFill="1" applyBorder="1" applyAlignment="1" applyProtection="1">
      <alignment horizontal="center" wrapText="1"/>
    </xf>
    <xf numFmtId="0" fontId="3" fillId="0" borderId="3" xfId="0" applyFont="1" applyBorder="1" applyAlignment="1">
      <alignment wrapText="1"/>
    </xf>
    <xf numFmtId="0" fontId="3" fillId="0" borderId="87" xfId="0" applyFont="1" applyBorder="1"/>
    <xf numFmtId="0" fontId="3" fillId="0" borderId="59" xfId="0" applyFont="1" applyBorder="1"/>
    <xf numFmtId="0" fontId="0" fillId="0" borderId="113" xfId="0" applyBorder="1"/>
    <xf numFmtId="0" fontId="0" fillId="0" borderId="98" xfId="0" applyBorder="1"/>
    <xf numFmtId="0" fontId="0" fillId="0" borderId="116" xfId="0" applyBorder="1"/>
    <xf numFmtId="0" fontId="11" fillId="2" borderId="4" xfId="0" applyFont="1" applyFill="1" applyBorder="1" applyAlignment="1">
      <alignment horizontal="left" vertical="top" wrapText="1"/>
    </xf>
    <xf numFmtId="173" fontId="17" fillId="0" borderId="76" xfId="16" applyFont="1" applyBorder="1" applyAlignment="1" applyProtection="1">
      <alignment horizontal="left"/>
    </xf>
    <xf numFmtId="164" fontId="12" fillId="0" borderId="76" xfId="16" applyNumberFormat="1" applyFont="1" applyFill="1" applyBorder="1" applyProtection="1"/>
    <xf numFmtId="173" fontId="11" fillId="0" borderId="6" xfId="16" applyFont="1" applyBorder="1" applyAlignment="1" applyProtection="1">
      <alignment wrapText="1"/>
    </xf>
    <xf numFmtId="173" fontId="3" fillId="0" borderId="6" xfId="16" applyFont="1" applyBorder="1" applyAlignment="1" applyProtection="1">
      <alignment wrapText="1"/>
    </xf>
    <xf numFmtId="173" fontId="11" fillId="0" borderId="67" xfId="16" applyFont="1" applyBorder="1" applyAlignment="1" applyProtection="1">
      <alignment wrapText="1"/>
    </xf>
    <xf numFmtId="0" fontId="0" fillId="0" borderId="77" xfId="0" applyBorder="1"/>
    <xf numFmtId="173" fontId="5" fillId="0" borderId="78" xfId="16" applyFont="1" applyBorder="1" applyAlignment="1" applyProtection="1">
      <alignment vertical="center" wrapText="1"/>
    </xf>
    <xf numFmtId="173" fontId="5" fillId="0" borderId="79" xfId="16" applyFont="1" applyBorder="1" applyAlignment="1" applyProtection="1">
      <alignment horizontal="center" vertical="center" wrapText="1"/>
    </xf>
    <xf numFmtId="165" fontId="5" fillId="0" borderId="79" xfId="16" applyNumberFormat="1" applyFont="1" applyFill="1" applyBorder="1" applyAlignment="1" applyProtection="1">
      <alignment horizontal="center" vertical="center" wrapText="1"/>
    </xf>
    <xf numFmtId="165" fontId="5" fillId="0" borderId="80" xfId="16" applyNumberFormat="1" applyFont="1" applyFill="1" applyBorder="1" applyAlignment="1" applyProtection="1">
      <alignment horizontal="center" vertical="center" wrapText="1"/>
    </xf>
    <xf numFmtId="173" fontId="11" fillId="3" borderId="0" xfId="16" applyFont="1" applyFill="1" applyBorder="1" applyAlignment="1" applyProtection="1">
      <alignment horizontal="center"/>
    </xf>
    <xf numFmtId="173" fontId="11" fillId="3" borderId="7" xfId="16" applyFont="1" applyFill="1" applyBorder="1" applyAlignment="1" applyProtection="1">
      <alignment horizontal="center"/>
    </xf>
    <xf numFmtId="165" fontId="11" fillId="3" borderId="0" xfId="16" applyNumberFormat="1" applyFont="1" applyFill="1" applyBorder="1" applyAlignment="1" applyProtection="1">
      <alignment horizontal="center"/>
    </xf>
    <xf numFmtId="165" fontId="11" fillId="0" borderId="2" xfId="16" applyNumberFormat="1" applyFont="1" applyFill="1" applyBorder="1" applyAlignment="1" applyProtection="1">
      <alignment horizontal="center"/>
    </xf>
    <xf numFmtId="173" fontId="11" fillId="0" borderId="2" xfId="16" applyFont="1" applyFill="1" applyBorder="1" applyAlignment="1" applyProtection="1">
      <alignment horizontal="center"/>
    </xf>
    <xf numFmtId="173" fontId="11" fillId="0" borderId="82" xfId="16" applyFont="1" applyFill="1" applyBorder="1" applyAlignment="1" applyProtection="1">
      <alignment horizontal="center"/>
    </xf>
    <xf numFmtId="173" fontId="11" fillId="0" borderId="63" xfId="16" applyFont="1" applyFill="1" applyBorder="1" applyAlignment="1" applyProtection="1">
      <alignment horizontal="right"/>
    </xf>
    <xf numFmtId="173" fontId="11" fillId="0" borderId="63" xfId="16" applyFont="1" applyFill="1" applyBorder="1" applyAlignment="1" applyProtection="1">
      <alignment horizontal="right" wrapText="1"/>
    </xf>
    <xf numFmtId="173" fontId="3" fillId="0" borderId="109" xfId="16" applyFont="1" applyFill="1" applyBorder="1" applyProtection="1"/>
    <xf numFmtId="173" fontId="17" fillId="0" borderId="77" xfId="16" applyFont="1" applyBorder="1" applyAlignment="1" applyProtection="1">
      <alignment horizontal="left"/>
    </xf>
    <xf numFmtId="165" fontId="3" fillId="0" borderId="7" xfId="16" applyNumberFormat="1" applyFont="1" applyFill="1" applyBorder="1" applyProtection="1"/>
    <xf numFmtId="0" fontId="0" fillId="0" borderId="9" xfId="0" applyBorder="1"/>
    <xf numFmtId="0" fontId="0" fillId="0" borderId="11" xfId="0" applyBorder="1"/>
    <xf numFmtId="0" fontId="5" fillId="0" borderId="40" xfId="0" applyFont="1" applyBorder="1" applyAlignment="1">
      <alignment vertical="top" wrapText="1"/>
    </xf>
    <xf numFmtId="0" fontId="5" fillId="0" borderId="106" xfId="0" applyFont="1" applyBorder="1" applyAlignment="1">
      <alignment vertical="top" wrapText="1"/>
    </xf>
    <xf numFmtId="0" fontId="5" fillId="0" borderId="106" xfId="0" applyFont="1" applyBorder="1" applyAlignment="1">
      <alignment horizontal="left" vertical="top" wrapText="1"/>
    </xf>
    <xf numFmtId="0" fontId="5" fillId="0" borderId="106" xfId="0" applyFont="1" applyBorder="1" applyAlignment="1">
      <alignment horizontal="right" vertical="top" wrapText="1"/>
    </xf>
    <xf numFmtId="0" fontId="5" fillId="0" borderId="106" xfId="0" applyFont="1" applyBorder="1" applyAlignment="1">
      <alignment horizontal="center" vertical="top" wrapText="1"/>
    </xf>
    <xf numFmtId="0" fontId="5" fillId="0" borderId="48" xfId="0" applyFont="1" applyFill="1" applyBorder="1" applyAlignment="1">
      <alignment vertical="top" wrapText="1"/>
    </xf>
    <xf numFmtId="0" fontId="5" fillId="0" borderId="40" xfId="0" applyFont="1" applyFill="1" applyBorder="1" applyAlignment="1">
      <alignment vertical="top" wrapText="1"/>
    </xf>
    <xf numFmtId="0" fontId="5"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3" fillId="0" borderId="76" xfId="16" applyFont="1" applyBorder="1" applyAlignment="1" applyProtection="1">
      <alignment horizontal="center"/>
    </xf>
    <xf numFmtId="0" fontId="3" fillId="0" borderId="76" xfId="0" applyFont="1" applyFill="1" applyBorder="1" applyAlignment="1" applyProtection="1">
      <alignment horizontal="center"/>
    </xf>
    <xf numFmtId="0" fontId="3" fillId="0" borderId="77" xfId="0" applyFont="1" applyFill="1" applyBorder="1" applyAlignment="1" applyProtection="1">
      <alignment horizontal="center"/>
    </xf>
    <xf numFmtId="2" fontId="11" fillId="3" borderId="113" xfId="16" applyNumberFormat="1" applyFont="1" applyFill="1" applyBorder="1" applyAlignment="1" applyProtection="1">
      <alignment horizontal="center" vertical="center" wrapText="1"/>
    </xf>
    <xf numFmtId="2" fontId="11" fillId="3" borderId="128" xfId="16" applyNumberFormat="1" applyFont="1" applyFill="1" applyBorder="1" applyAlignment="1" applyProtection="1">
      <alignment horizontal="center" vertical="center" wrapText="1"/>
    </xf>
    <xf numFmtId="3" fontId="11" fillId="3" borderId="98" xfId="16" applyNumberFormat="1" applyFont="1" applyFill="1" applyBorder="1" applyAlignment="1" applyProtection="1">
      <alignment horizontal="center" vertical="center" wrapText="1"/>
    </xf>
    <xf numFmtId="3" fontId="11" fillId="3" borderId="108" xfId="16" applyNumberFormat="1" applyFont="1" applyFill="1" applyBorder="1" applyAlignment="1" applyProtection="1">
      <alignment horizontal="center" vertical="center" wrapText="1"/>
    </xf>
    <xf numFmtId="2" fontId="11" fillId="3" borderId="98" xfId="16" applyNumberFormat="1" applyFont="1" applyFill="1" applyBorder="1" applyAlignment="1" applyProtection="1">
      <alignment horizontal="center" vertical="center" wrapText="1"/>
    </xf>
    <xf numFmtId="2" fontId="11" fillId="3" borderId="108" xfId="16" applyNumberFormat="1" applyFont="1" applyFill="1" applyBorder="1" applyAlignment="1" applyProtection="1">
      <alignment horizontal="center" vertical="center" wrapText="1"/>
    </xf>
    <xf numFmtId="3" fontId="11" fillId="3" borderId="120" xfId="16" applyNumberFormat="1" applyFont="1" applyFill="1" applyBorder="1" applyAlignment="1" applyProtection="1">
      <alignment horizontal="center" vertical="center" wrapText="1"/>
    </xf>
    <xf numFmtId="3" fontId="11" fillId="3" borderId="111" xfId="16" applyNumberFormat="1" applyFont="1" applyFill="1" applyBorder="1" applyAlignment="1" applyProtection="1">
      <alignment horizontal="center" vertical="center" wrapText="1"/>
    </xf>
    <xf numFmtId="173" fontId="3" fillId="0" borderId="127" xfId="16" applyFont="1" applyBorder="1" applyAlignment="1" applyProtection="1">
      <alignment wrapText="1"/>
    </xf>
    <xf numFmtId="173" fontId="11" fillId="0" borderId="63" xfId="16" applyFont="1" applyBorder="1" applyAlignment="1" applyProtection="1">
      <alignment wrapText="1"/>
    </xf>
    <xf numFmtId="173" fontId="11" fillId="0" borderId="109" xfId="16" applyFont="1" applyBorder="1" applyAlignment="1" applyProtection="1">
      <alignment wrapText="1"/>
    </xf>
    <xf numFmtId="165" fontId="3" fillId="0" borderId="113" xfId="16" applyNumberFormat="1" applyFont="1" applyFill="1" applyBorder="1" applyAlignment="1" applyProtection="1">
      <alignment horizontal="center"/>
    </xf>
    <xf numFmtId="165" fontId="3" fillId="0" borderId="128" xfId="16" applyNumberFormat="1" applyFont="1" applyFill="1" applyBorder="1" applyAlignment="1" applyProtection="1">
      <alignment horizontal="center"/>
    </xf>
    <xf numFmtId="165" fontId="11" fillId="3" borderId="98" xfId="16" applyNumberFormat="1" applyFont="1" applyFill="1" applyBorder="1" applyAlignment="1" applyProtection="1">
      <alignment horizontal="center"/>
    </xf>
    <xf numFmtId="173" fontId="11" fillId="0" borderId="121" xfId="16" applyFont="1" applyBorder="1" applyAlignment="1" applyProtection="1">
      <alignment wrapText="1"/>
    </xf>
    <xf numFmtId="0" fontId="3" fillId="0" borderId="86" xfId="0" applyFont="1" applyBorder="1"/>
    <xf numFmtId="165" fontId="11"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1" fillId="3" borderId="98" xfId="16" applyNumberFormat="1" applyFont="1" applyFill="1" applyBorder="1" applyAlignment="1" applyProtection="1">
      <alignment horizontal="center"/>
    </xf>
    <xf numFmtId="11" fontId="11"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1" fillId="3" borderId="108" xfId="16" applyNumberFormat="1" applyFont="1" applyFill="1" applyBorder="1" applyAlignment="1" applyProtection="1">
      <alignment horizontal="center"/>
    </xf>
    <xf numFmtId="165" fontId="11"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1" fillId="3" borderId="120" xfId="16" applyNumberFormat="1" applyFont="1" applyFill="1" applyBorder="1" applyAlignment="1" applyProtection="1">
      <alignment horizontal="center"/>
    </xf>
    <xf numFmtId="11" fontId="11" fillId="3" borderId="120" xfId="16" applyNumberFormat="1" applyFont="1" applyFill="1" applyBorder="1" applyAlignment="1" applyProtection="1">
      <alignment horizontal="center"/>
    </xf>
    <xf numFmtId="165" fontId="11" fillId="3" borderId="111" xfId="16" applyNumberFormat="1" applyFont="1" applyFill="1" applyBorder="1" applyAlignment="1" applyProtection="1">
      <alignment horizontal="center"/>
    </xf>
    <xf numFmtId="11" fontId="11" fillId="3" borderId="0" xfId="16" applyNumberFormat="1" applyFont="1" applyFill="1" applyBorder="1" applyProtection="1"/>
    <xf numFmtId="11" fontId="11" fillId="3" borderId="7" xfId="16" applyNumberFormat="1" applyFont="1" applyFill="1" applyBorder="1" applyProtection="1"/>
    <xf numFmtId="11" fontId="11" fillId="3" borderId="90" xfId="16" applyNumberFormat="1" applyFont="1" applyFill="1" applyBorder="1" applyProtection="1"/>
    <xf numFmtId="11" fontId="11" fillId="3" borderId="110" xfId="16" applyNumberFormat="1" applyFont="1" applyFill="1" applyBorder="1" applyProtection="1"/>
    <xf numFmtId="165" fontId="11" fillId="3" borderId="0" xfId="16" applyNumberFormat="1" applyFont="1" applyFill="1" applyBorder="1" applyAlignment="1" applyProtection="1">
      <alignment horizontal="center" wrapText="1"/>
    </xf>
    <xf numFmtId="165" fontId="3" fillId="3" borderId="0" xfId="16" applyNumberFormat="1" applyFont="1" applyFill="1" applyBorder="1" applyAlignment="1" applyProtection="1">
      <alignment horizontal="center" wrapText="1"/>
    </xf>
    <xf numFmtId="173" fontId="17" fillId="0" borderId="24" xfId="16" applyFont="1" applyBorder="1" applyProtection="1"/>
    <xf numFmtId="173" fontId="11" fillId="0" borderId="65" xfId="16" applyFont="1" applyBorder="1" applyProtection="1"/>
    <xf numFmtId="0" fontId="3" fillId="0" borderId="65" xfId="0" applyFont="1" applyBorder="1"/>
    <xf numFmtId="0" fontId="3" fillId="0" borderId="65" xfId="0" applyFont="1" applyFill="1" applyBorder="1" applyProtection="1"/>
    <xf numFmtId="0" fontId="3" fillId="0" borderId="66" xfId="0" applyFont="1" applyFill="1" applyBorder="1" applyProtection="1"/>
    <xf numFmtId="0" fontId="0" fillId="0" borderId="7" xfId="0" applyBorder="1"/>
    <xf numFmtId="2" fontId="11" fillId="3" borderId="113" xfId="16" applyNumberFormat="1" applyFont="1" applyFill="1" applyBorder="1" applyAlignment="1" applyProtection="1">
      <alignment vertical="center" wrapText="1"/>
    </xf>
    <xf numFmtId="3" fontId="11" fillId="3" borderId="98" xfId="16" applyNumberFormat="1" applyFont="1" applyFill="1" applyBorder="1" applyAlignment="1" applyProtection="1">
      <alignment vertical="center" wrapText="1"/>
    </xf>
    <xf numFmtId="2" fontId="11" fillId="3" borderId="98" xfId="16" applyNumberFormat="1" applyFont="1" applyFill="1" applyBorder="1" applyAlignment="1" applyProtection="1">
      <alignment vertical="center" wrapText="1"/>
    </xf>
    <xf numFmtId="3" fontId="11"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3" fillId="0" borderId="75" xfId="16" applyFont="1" applyBorder="1" applyAlignment="1" applyProtection="1">
      <alignment wrapText="1"/>
    </xf>
    <xf numFmtId="173" fontId="5" fillId="0" borderId="76" xfId="16" applyFont="1" applyFill="1" applyBorder="1" applyAlignment="1" applyProtection="1">
      <alignment horizontal="center" wrapText="1"/>
    </xf>
    <xf numFmtId="173" fontId="5" fillId="0" borderId="76" xfId="16" applyFont="1" applyBorder="1" applyAlignment="1" applyProtection="1">
      <alignment horizontal="center" vertical="center" wrapText="1"/>
    </xf>
    <xf numFmtId="165" fontId="5" fillId="0" borderId="76" xfId="16" applyNumberFormat="1" applyFont="1" applyFill="1" applyBorder="1" applyAlignment="1" applyProtection="1">
      <alignment horizontal="center" vertical="center" wrapText="1"/>
    </xf>
    <xf numFmtId="165" fontId="5" fillId="0" borderId="77" xfId="16" applyNumberFormat="1" applyFont="1" applyFill="1" applyBorder="1" applyAlignment="1" applyProtection="1">
      <alignment horizontal="center" vertical="center" wrapText="1"/>
    </xf>
    <xf numFmtId="173" fontId="11" fillId="0" borderId="127" xfId="16" applyFont="1" applyBorder="1" applyAlignment="1" applyProtection="1">
      <alignment wrapText="1"/>
    </xf>
    <xf numFmtId="165" fontId="11" fillId="3" borderId="113" xfId="16" applyNumberFormat="1" applyFont="1" applyFill="1" applyBorder="1" applyAlignment="1" applyProtection="1">
      <alignment horizontal="center" wrapText="1"/>
    </xf>
    <xf numFmtId="165" fontId="11" fillId="3" borderId="113" xfId="16" applyNumberFormat="1" applyFont="1" applyFill="1" applyBorder="1" applyAlignment="1" applyProtection="1">
      <alignment horizontal="center"/>
    </xf>
    <xf numFmtId="173" fontId="11" fillId="3" borderId="113" xfId="16" applyFont="1" applyFill="1" applyBorder="1" applyAlignment="1" applyProtection="1">
      <alignment horizontal="center"/>
    </xf>
    <xf numFmtId="165" fontId="11" fillId="3" borderId="98" xfId="16" applyNumberFormat="1" applyFont="1" applyFill="1" applyBorder="1" applyAlignment="1" applyProtection="1">
      <alignment horizontal="center" wrapText="1"/>
    </xf>
    <xf numFmtId="173" fontId="11" fillId="3" borderId="98" xfId="16" applyFont="1" applyFill="1" applyBorder="1" applyAlignment="1" applyProtection="1">
      <alignment horizontal="center"/>
    </xf>
    <xf numFmtId="173" fontId="11" fillId="3" borderId="108" xfId="16" applyFont="1" applyFill="1" applyBorder="1" applyAlignment="1" applyProtection="1">
      <alignment horizontal="center"/>
    </xf>
    <xf numFmtId="173" fontId="11" fillId="0" borderId="131" xfId="16" applyFont="1" applyBorder="1" applyAlignment="1" applyProtection="1">
      <alignment wrapText="1"/>
    </xf>
    <xf numFmtId="165" fontId="11" fillId="3" borderId="118" xfId="16" applyNumberFormat="1" applyFont="1" applyFill="1" applyBorder="1" applyAlignment="1" applyProtection="1">
      <alignment horizontal="center" wrapText="1"/>
    </xf>
    <xf numFmtId="165" fontId="11" fillId="3" borderId="118" xfId="16" applyNumberFormat="1" applyFont="1" applyFill="1" applyBorder="1" applyAlignment="1" applyProtection="1">
      <alignment horizontal="center"/>
    </xf>
    <xf numFmtId="173" fontId="11" fillId="3" borderId="118" xfId="16" applyFont="1" applyFill="1" applyBorder="1" applyAlignment="1" applyProtection="1">
      <alignment horizontal="center"/>
    </xf>
    <xf numFmtId="173" fontId="5" fillId="0" borderId="81" xfId="16" applyFont="1" applyFill="1" applyBorder="1" applyAlignment="1" applyProtection="1">
      <alignment wrapText="1"/>
    </xf>
    <xf numFmtId="165" fontId="3" fillId="0" borderId="2" xfId="16" applyNumberFormat="1" applyFont="1" applyFill="1" applyBorder="1" applyAlignment="1" applyProtection="1">
      <alignment horizontal="center" wrapText="1"/>
    </xf>
    <xf numFmtId="165" fontId="11" fillId="3" borderId="120" xfId="16" applyNumberFormat="1" applyFont="1" applyFill="1" applyBorder="1" applyAlignment="1" applyProtection="1">
      <alignment horizontal="center" wrapText="1"/>
    </xf>
    <xf numFmtId="173" fontId="11" fillId="3" borderId="120" xfId="16" applyFont="1" applyFill="1" applyBorder="1" applyAlignment="1" applyProtection="1">
      <alignment horizontal="center"/>
    </xf>
    <xf numFmtId="173" fontId="11" fillId="3" borderId="111" xfId="16" applyFont="1" applyFill="1" applyBorder="1" applyAlignment="1" applyProtection="1">
      <alignment horizontal="center"/>
    </xf>
    <xf numFmtId="11" fontId="11" fillId="0" borderId="0" xfId="16" applyNumberFormat="1" applyFont="1" applyFill="1" applyBorder="1" applyProtection="1"/>
    <xf numFmtId="11" fontId="11" fillId="0" borderId="7" xfId="16" applyNumberFormat="1" applyFont="1" applyFill="1" applyBorder="1" applyProtection="1"/>
    <xf numFmtId="173" fontId="3" fillId="0" borderId="6" xfId="16" applyFont="1" applyFill="1" applyBorder="1" applyAlignment="1" applyProtection="1">
      <alignment wrapText="1"/>
    </xf>
    <xf numFmtId="173" fontId="3" fillId="0" borderId="63" xfId="16" applyFont="1" applyFill="1" applyBorder="1" applyAlignment="1" applyProtection="1">
      <alignment wrapText="1"/>
    </xf>
    <xf numFmtId="165" fontId="11" fillId="0" borderId="98" xfId="16" applyNumberFormat="1" applyFont="1" applyFill="1" applyBorder="1" applyAlignment="1" applyProtection="1">
      <alignment horizontal="center"/>
    </xf>
    <xf numFmtId="11" fontId="11" fillId="0" borderId="98" xfId="16" applyNumberFormat="1" applyFont="1" applyFill="1" applyBorder="1" applyAlignment="1" applyProtection="1">
      <alignment horizontal="center"/>
    </xf>
    <xf numFmtId="165" fontId="11" fillId="0" borderId="108" xfId="16" applyNumberFormat="1" applyFont="1" applyFill="1" applyBorder="1" applyAlignment="1" applyProtection="1">
      <alignment horizontal="center"/>
    </xf>
    <xf numFmtId="0" fontId="17" fillId="0" borderId="24" xfId="0" applyFont="1" applyBorder="1"/>
    <xf numFmtId="0" fontId="0" fillId="0" borderId="66" xfId="0" applyBorder="1"/>
    <xf numFmtId="0" fontId="4" fillId="0" borderId="6" xfId="5" applyBorder="1" applyAlignment="1" applyProtection="1"/>
    <xf numFmtId="0" fontId="4" fillId="0" borderId="67" xfId="5" applyBorder="1" applyAlignment="1" applyProtection="1"/>
    <xf numFmtId="0" fontId="0" fillId="0" borderId="110" xfId="0" applyBorder="1"/>
    <xf numFmtId="0" fontId="11" fillId="6" borderId="133" xfId="0" applyFont="1" applyFill="1" applyBorder="1" applyAlignment="1" applyProtection="1">
      <alignment wrapText="1"/>
      <protection locked="0"/>
    </xf>
    <xf numFmtId="0" fontId="11" fillId="6" borderId="19" xfId="0" applyFont="1" applyFill="1" applyBorder="1" applyAlignment="1" applyProtection="1">
      <alignment wrapText="1"/>
      <protection locked="0"/>
    </xf>
    <xf numFmtId="0" fontId="11" fillId="6" borderId="134" xfId="0" applyFont="1" applyFill="1" applyBorder="1" applyAlignment="1" applyProtection="1">
      <alignment wrapText="1"/>
      <protection locked="0"/>
    </xf>
    <xf numFmtId="42" fontId="11" fillId="3" borderId="69" xfId="1" applyNumberFormat="1" applyFont="1" applyFill="1" applyBorder="1" applyAlignment="1" applyProtection="1">
      <alignment wrapText="1"/>
      <protection locked="0"/>
    </xf>
    <xf numFmtId="2" fontId="11" fillId="5" borderId="135" xfId="0" applyNumberFormat="1" applyFont="1" applyFill="1" applyBorder="1" applyAlignment="1" applyProtection="1">
      <alignment wrapText="1"/>
      <protection locked="0"/>
    </xf>
    <xf numFmtId="42" fontId="11" fillId="3" borderId="135" xfId="0" applyNumberFormat="1" applyFont="1" applyFill="1" applyBorder="1" applyAlignment="1" applyProtection="1">
      <alignment wrapText="1"/>
      <protection locked="0"/>
    </xf>
    <xf numFmtId="42" fontId="11" fillId="3" borderId="135" xfId="1" applyNumberFormat="1" applyFont="1" applyFill="1" applyBorder="1" applyAlignment="1" applyProtection="1">
      <alignment wrapText="1"/>
      <protection locked="0"/>
    </xf>
    <xf numFmtId="0" fontId="11" fillId="6" borderId="135" xfId="0" applyFont="1" applyFill="1" applyBorder="1" applyAlignment="1" applyProtection="1">
      <alignment wrapText="1"/>
      <protection locked="0"/>
    </xf>
    <xf numFmtId="2" fontId="11" fillId="5" borderId="8" xfId="1" applyNumberFormat="1" applyFont="1" applyFill="1" applyBorder="1" applyAlignment="1" applyProtection="1">
      <alignment wrapText="1"/>
      <protection locked="0"/>
    </xf>
    <xf numFmtId="42" fontId="11" fillId="3" borderId="8" xfId="0" applyNumberFormat="1" applyFont="1" applyFill="1" applyBorder="1" applyAlignment="1" applyProtection="1">
      <alignment wrapText="1"/>
      <protection locked="0"/>
    </xf>
    <xf numFmtId="42" fontId="11" fillId="3" borderId="8" xfId="1" applyNumberFormat="1" applyFont="1" applyFill="1" applyBorder="1" applyAlignment="1" applyProtection="1">
      <alignment wrapText="1"/>
      <protection locked="0"/>
    </xf>
    <xf numFmtId="0" fontId="11" fillId="6" borderId="8" xfId="0" applyFont="1" applyFill="1" applyBorder="1" applyAlignment="1" applyProtection="1">
      <alignment wrapText="1"/>
      <protection locked="0"/>
    </xf>
    <xf numFmtId="2" fontId="3" fillId="5" borderId="8" xfId="0" applyNumberFormat="1" applyFont="1" applyFill="1" applyBorder="1" applyAlignment="1" applyProtection="1">
      <alignment wrapText="1"/>
      <protection locked="0"/>
    </xf>
    <xf numFmtId="2" fontId="3" fillId="5" borderId="136" xfId="0" applyNumberFormat="1" applyFont="1" applyFill="1" applyBorder="1" applyAlignment="1" applyProtection="1">
      <alignment wrapText="1"/>
      <protection locked="0"/>
    </xf>
    <xf numFmtId="42" fontId="11" fillId="3" borderId="136" xfId="0" applyNumberFormat="1" applyFont="1" applyFill="1" applyBorder="1" applyAlignment="1" applyProtection="1">
      <alignment wrapText="1"/>
      <protection locked="0"/>
    </xf>
    <xf numFmtId="42" fontId="11" fillId="3" borderId="136" xfId="1" applyNumberFormat="1" applyFont="1" applyFill="1" applyBorder="1" applyAlignment="1" applyProtection="1">
      <alignment wrapText="1"/>
      <protection locked="0"/>
    </xf>
    <xf numFmtId="0" fontId="11" fillId="6" borderId="136" xfId="0" applyFont="1" applyFill="1" applyBorder="1" applyAlignment="1" applyProtection="1">
      <alignment wrapText="1"/>
      <protection locked="0"/>
    </xf>
    <xf numFmtId="0" fontId="11" fillId="3" borderId="137" xfId="0" applyFont="1" applyFill="1" applyBorder="1" applyAlignment="1" applyProtection="1">
      <alignment horizontal="left" wrapText="1"/>
      <protection locked="0"/>
    </xf>
    <xf numFmtId="0" fontId="11" fillId="3" borderId="138" xfId="0" applyFont="1" applyFill="1" applyBorder="1" applyAlignment="1" applyProtection="1">
      <alignment horizontal="left" wrapText="1"/>
      <protection locked="0"/>
    </xf>
    <xf numFmtId="2" fontId="11" fillId="3" borderId="135" xfId="0" applyNumberFormat="1" applyFont="1" applyFill="1" applyBorder="1" applyAlignment="1" applyProtection="1">
      <alignment wrapText="1"/>
      <protection locked="0"/>
    </xf>
    <xf numFmtId="2" fontId="11" fillId="3" borderId="8" xfId="0" applyNumberFormat="1" applyFont="1" applyFill="1" applyBorder="1" applyAlignment="1" applyProtection="1">
      <alignment wrapText="1"/>
      <protection locked="0"/>
    </xf>
    <xf numFmtId="41" fontId="3" fillId="3" borderId="69" xfId="0" applyNumberFormat="1" applyFont="1" applyFill="1" applyBorder="1" applyAlignment="1" applyProtection="1">
      <alignment wrapText="1"/>
      <protection locked="0"/>
    </xf>
    <xf numFmtId="0" fontId="38" fillId="2" borderId="24" xfId="0" applyFont="1" applyFill="1" applyBorder="1" applyProtection="1">
      <protection locked="0"/>
    </xf>
    <xf numFmtId="0" fontId="37" fillId="2" borderId="65" xfId="0" applyFont="1" applyFill="1" applyBorder="1" applyProtection="1">
      <protection locked="0"/>
    </xf>
    <xf numFmtId="0" fontId="30" fillId="0" borderId="0" xfId="0" applyFont="1" applyFill="1" applyBorder="1" applyProtection="1">
      <protection locked="0"/>
    </xf>
    <xf numFmtId="0" fontId="12" fillId="2" borderId="6" xfId="0" applyFont="1" applyFill="1" applyBorder="1" applyAlignment="1" applyProtection="1">
      <alignment horizontal="left" vertical="top"/>
      <protection locked="0"/>
    </xf>
    <xf numFmtId="3" fontId="12"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2" fillId="3" borderId="57" xfId="0" applyNumberFormat="1" applyFont="1" applyFill="1" applyBorder="1" applyAlignment="1" applyProtection="1">
      <alignment horizontal="left" vertical="top"/>
      <protection locked="0"/>
    </xf>
    <xf numFmtId="2" fontId="11" fillId="2" borderId="0" xfId="0" applyNumberFormat="1" applyFont="1" applyFill="1" applyBorder="1" applyAlignment="1" applyProtection="1">
      <alignment horizontal="left" vertical="top" wrapText="1"/>
      <protection locked="0"/>
    </xf>
    <xf numFmtId="2" fontId="12" fillId="5" borderId="57" xfId="0" applyNumberFormat="1" applyFont="1" applyFill="1" applyBorder="1" applyAlignment="1" applyProtection="1">
      <alignment horizontal="left" vertical="top"/>
      <protection locked="0"/>
    </xf>
    <xf numFmtId="3" fontId="12" fillId="5" borderId="57" xfId="0" applyNumberFormat="1" applyFont="1" applyFill="1" applyBorder="1" applyAlignment="1" applyProtection="1">
      <alignment horizontal="left" vertical="top"/>
      <protection locked="0"/>
    </xf>
    <xf numFmtId="2" fontId="12"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7" fillId="2" borderId="110" xfId="0" applyFont="1" applyFill="1" applyBorder="1" applyProtection="1">
      <protection locked="0"/>
    </xf>
    <xf numFmtId="0" fontId="43" fillId="2" borderId="0" xfId="0" applyFont="1" applyFill="1" applyBorder="1" applyAlignment="1">
      <alignment horizontal="right" vertical="center" wrapText="1"/>
    </xf>
    <xf numFmtId="0" fontId="0" fillId="0" borderId="0" xfId="0" applyAlignment="1">
      <alignment horizontal="left" vertical="top" wrapText="1"/>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0" fontId="48" fillId="2" borderId="94" xfId="0" applyFont="1" applyFill="1" applyBorder="1" applyAlignment="1">
      <alignment horizontal="left" vertical="center" wrapText="1"/>
    </xf>
    <xf numFmtId="0" fontId="43" fillId="2" borderId="95" xfId="0" applyFont="1" applyFill="1" applyBorder="1" applyAlignment="1">
      <alignment horizontal="center" vertical="top" wrapText="1"/>
    </xf>
    <xf numFmtId="0" fontId="43" fillId="2" borderId="95" xfId="0" applyFont="1" applyFill="1" applyBorder="1" applyAlignment="1">
      <alignment horizontal="right" vertical="center" wrapText="1"/>
    </xf>
    <xf numFmtId="0" fontId="0" fillId="5" borderId="0" xfId="0" applyFill="1"/>
    <xf numFmtId="0" fontId="0" fillId="3" borderId="0" xfId="0" applyFill="1"/>
    <xf numFmtId="0" fontId="0" fillId="4" borderId="0" xfId="0" applyFill="1"/>
    <xf numFmtId="173" fontId="48" fillId="0" borderId="0" xfId="16" applyFont="1" applyAlignment="1">
      <alignment horizontal="left"/>
    </xf>
    <xf numFmtId="0" fontId="3" fillId="0" borderId="0" xfId="0" applyFont="1" applyProtection="1">
      <protection locked="0"/>
    </xf>
    <xf numFmtId="0" fontId="0" fillId="0" borderId="0" xfId="0" applyAlignment="1" applyProtection="1">
      <protection locked="0"/>
    </xf>
    <xf numFmtId="0" fontId="3" fillId="0" borderId="0" xfId="0" applyFont="1" applyAlignment="1" applyProtection="1">
      <protection locked="0"/>
    </xf>
    <xf numFmtId="0" fontId="3" fillId="0" borderId="0" xfId="0" applyFont="1" applyFill="1" applyBorder="1" applyAlignment="1" applyProtection="1">
      <alignment horizontal="left" vertical="center" wrapText="1"/>
      <protection locked="0"/>
    </xf>
    <xf numFmtId="0" fontId="49" fillId="6" borderId="8" xfId="0" applyFont="1" applyFill="1" applyBorder="1" applyAlignment="1" applyProtection="1">
      <alignment wrapText="1"/>
      <protection locked="0"/>
    </xf>
    <xf numFmtId="0" fontId="3" fillId="0" borderId="13" xfId="0" applyFont="1" applyBorder="1" applyAlignment="1" applyProtection="1">
      <alignment horizontal="right"/>
      <protection locked="0"/>
    </xf>
    <xf numFmtId="0" fontId="11" fillId="6" borderId="99" xfId="0" applyFont="1" applyFill="1" applyBorder="1" applyAlignment="1" applyProtection="1">
      <alignment horizontal="left" wrapText="1"/>
      <protection locked="0"/>
    </xf>
    <xf numFmtId="0" fontId="11" fillId="0" borderId="0" xfId="0" applyFont="1" applyFill="1" applyBorder="1" applyAlignment="1" applyProtection="1">
      <alignment wrapText="1"/>
      <protection locked="0"/>
    </xf>
    <xf numFmtId="0" fontId="3" fillId="0" borderId="17" xfId="0" applyFont="1" applyBorder="1" applyAlignment="1" applyProtection="1">
      <alignment horizontal="right"/>
      <protection locked="0"/>
    </xf>
    <xf numFmtId="0" fontId="4" fillId="6" borderId="100" xfId="5" applyFont="1" applyFill="1" applyBorder="1" applyAlignment="1" applyProtection="1">
      <alignment wrapText="1"/>
      <protection locked="0"/>
    </xf>
    <xf numFmtId="0" fontId="4" fillId="0" borderId="0" xfId="5" applyFont="1" applyFill="1" applyBorder="1" applyAlignment="1" applyProtection="1">
      <alignment wrapText="1"/>
      <protection locked="0"/>
    </xf>
    <xf numFmtId="15" fontId="11" fillId="6" borderId="100" xfId="0" applyNumberFormat="1" applyFont="1" applyFill="1" applyBorder="1" applyAlignment="1" applyProtection="1">
      <alignment horizontal="left" wrapText="1"/>
      <protection locked="0"/>
    </xf>
    <xf numFmtId="15" fontId="11" fillId="0" borderId="0" xfId="0" applyNumberFormat="1" applyFont="1" applyFill="1" applyBorder="1" applyAlignment="1" applyProtection="1">
      <alignment horizontal="left" wrapText="1"/>
      <protection locked="0"/>
    </xf>
    <xf numFmtId="0" fontId="3" fillId="0" borderId="20" xfId="0" applyFont="1" applyBorder="1" applyAlignment="1" applyProtection="1">
      <alignment horizontal="right"/>
      <protection locked="0"/>
    </xf>
    <xf numFmtId="0" fontId="3" fillId="0" borderId="0" xfId="0" applyFont="1" applyFill="1" applyBorder="1" applyAlignment="1" applyProtection="1">
      <alignment horizontal="right"/>
      <protection locked="0"/>
    </xf>
    <xf numFmtId="0" fontId="11" fillId="0" borderId="0" xfId="0" applyFont="1" applyFill="1" applyBorder="1" applyProtection="1">
      <protection locked="0"/>
    </xf>
    <xf numFmtId="0" fontId="11" fillId="6" borderId="16" xfId="0" applyFont="1" applyFill="1" applyBorder="1" applyAlignment="1" applyProtection="1">
      <alignment horizontal="left" wrapText="1"/>
      <protection locked="0"/>
    </xf>
    <xf numFmtId="0" fontId="11" fillId="0" borderId="0" xfId="0" applyFont="1" applyProtection="1">
      <protection locked="0"/>
    </xf>
    <xf numFmtId="0" fontId="11" fillId="6" borderId="19" xfId="0" applyFont="1" applyFill="1" applyBorder="1" applyAlignment="1" applyProtection="1">
      <alignment horizontal="left" wrapText="1"/>
      <protection locked="0"/>
    </xf>
    <xf numFmtId="0" fontId="19" fillId="0" borderId="0" xfId="0" applyFont="1" applyAlignment="1" applyProtection="1">
      <protection locked="0"/>
    </xf>
    <xf numFmtId="0" fontId="19" fillId="0" borderId="0" xfId="0" applyFont="1" applyProtection="1">
      <protection locked="0"/>
    </xf>
    <xf numFmtId="0" fontId="3" fillId="0" borderId="17" xfId="0" applyFont="1" applyBorder="1" applyAlignment="1" applyProtection="1">
      <alignment horizontal="right" wrapText="1"/>
      <protection locked="0"/>
    </xf>
    <xf numFmtId="0" fontId="11" fillId="6" borderId="23" xfId="0" applyFont="1" applyFill="1" applyBorder="1" applyAlignment="1" applyProtection="1">
      <alignment wrapText="1"/>
      <protection locked="0"/>
    </xf>
    <xf numFmtId="0" fontId="3" fillId="0" borderId="0" xfId="0" applyFont="1" applyAlignment="1" applyProtection="1">
      <alignment horizontal="right"/>
      <protection locked="0"/>
    </xf>
    <xf numFmtId="0" fontId="3" fillId="0" borderId="17" xfId="0" applyFont="1" applyBorder="1" applyProtection="1">
      <protection locked="0"/>
    </xf>
    <xf numFmtId="0" fontId="3" fillId="0" borderId="8" xfId="0" applyFont="1" applyBorder="1" applyProtection="1">
      <protection locked="0"/>
    </xf>
    <xf numFmtId="0" fontId="3" fillId="0" borderId="19" xfId="0" applyFont="1" applyBorder="1" applyAlignment="1" applyProtection="1">
      <alignment wrapText="1"/>
      <protection locked="0"/>
    </xf>
    <xf numFmtId="15" fontId="11" fillId="6" borderId="17" xfId="0" applyNumberFormat="1" applyFont="1" applyFill="1" applyBorder="1" applyAlignment="1" applyProtection="1">
      <alignment horizontal="right" wrapText="1"/>
      <protection locked="0"/>
    </xf>
    <xf numFmtId="14" fontId="11" fillId="6" borderId="8" xfId="0" applyNumberFormat="1" applyFont="1" applyFill="1" applyBorder="1" applyAlignment="1" applyProtection="1">
      <alignment wrapText="1"/>
      <protection locked="0"/>
    </xf>
    <xf numFmtId="15" fontId="11" fillId="6" borderId="17" xfId="0" applyNumberFormat="1" applyFont="1" applyFill="1" applyBorder="1" applyAlignment="1" applyProtection="1">
      <alignment wrapText="1"/>
      <protection locked="0"/>
    </xf>
    <xf numFmtId="15" fontId="11" fillId="6" borderId="20" xfId="0" applyNumberFormat="1" applyFont="1" applyFill="1" applyBorder="1" applyProtection="1">
      <protection locked="0"/>
    </xf>
    <xf numFmtId="14" fontId="11" fillId="6" borderId="22" xfId="0" applyNumberFormat="1" applyFont="1" applyFill="1" applyBorder="1" applyAlignment="1" applyProtection="1">
      <alignment wrapText="1"/>
      <protection locked="0"/>
    </xf>
    <xf numFmtId="0" fontId="48" fillId="0" borderId="0" xfId="0" applyFont="1" applyProtection="1"/>
    <xf numFmtId="0" fontId="3" fillId="0" borderId="0" xfId="0" applyFont="1" applyFill="1" applyBorder="1" applyAlignment="1" applyProtection="1">
      <alignment horizontal="left" vertical="center"/>
    </xf>
    <xf numFmtId="0" fontId="40" fillId="0" borderId="0" xfId="0" applyFont="1" applyAlignment="1">
      <alignment horizontal="right"/>
    </xf>
    <xf numFmtId="0" fontId="50" fillId="0" borderId="0" xfId="0" applyFont="1"/>
    <xf numFmtId="0" fontId="50" fillId="0" borderId="0" xfId="0" applyFont="1" applyAlignment="1">
      <alignment vertical="top" wrapText="1"/>
    </xf>
    <xf numFmtId="0" fontId="50" fillId="0" borderId="0" xfId="0" applyFont="1" applyAlignment="1">
      <alignment horizontal="left" vertical="top" wrapText="1"/>
    </xf>
    <xf numFmtId="0" fontId="40" fillId="0" borderId="0" xfId="0" applyFont="1" applyAlignment="1">
      <alignment horizontal="right" vertical="top" wrapText="1"/>
    </xf>
    <xf numFmtId="0" fontId="12" fillId="0" borderId="0" xfId="0" applyFont="1" applyAlignment="1">
      <alignment vertical="top" wrapText="1"/>
    </xf>
    <xf numFmtId="0" fontId="51" fillId="0" borderId="0" xfId="5" applyFont="1" applyAlignment="1" applyProtection="1">
      <alignment horizontal="left" vertical="top" wrapText="1"/>
    </xf>
    <xf numFmtId="4" fontId="11" fillId="3" borderId="98" xfId="16" applyNumberFormat="1" applyFont="1" applyFill="1" applyBorder="1" applyAlignment="1" applyProtection="1">
      <alignment horizontal="center" vertical="center" wrapText="1"/>
    </xf>
    <xf numFmtId="4" fontId="11" fillId="3" borderId="108" xfId="16" applyNumberFormat="1" applyFont="1" applyFill="1" applyBorder="1" applyAlignment="1" applyProtection="1">
      <alignment horizontal="center" vertical="center" wrapText="1"/>
    </xf>
    <xf numFmtId="0" fontId="3" fillId="6" borderId="0" xfId="0" applyFont="1" applyFill="1" applyBorder="1" applyAlignment="1">
      <alignment horizontal="left" vertical="top" wrapText="1"/>
    </xf>
    <xf numFmtId="0" fontId="37" fillId="2" borderId="95" xfId="0" applyFont="1" applyFill="1" applyBorder="1" applyAlignment="1">
      <alignment vertical="top" wrapText="1"/>
    </xf>
    <xf numFmtId="0" fontId="37" fillId="2" borderId="96" xfId="0" applyFont="1" applyFill="1" applyBorder="1" applyAlignment="1">
      <alignment vertical="top" wrapText="1"/>
    </xf>
    <xf numFmtId="0" fontId="41" fillId="2" borderId="4" xfId="0" applyFont="1" applyFill="1" applyBorder="1" applyAlignment="1">
      <alignment horizontal="left" vertical="center" wrapText="1"/>
    </xf>
    <xf numFmtId="5" fontId="11" fillId="3" borderId="57" xfId="0" applyNumberFormat="1" applyFont="1" applyFill="1" applyBorder="1" applyAlignment="1">
      <alignment vertical="top" wrapText="1"/>
    </xf>
    <xf numFmtId="0" fontId="51" fillId="2" borderId="4" xfId="5" applyFont="1" applyFill="1" applyBorder="1" applyAlignment="1" applyProtection="1">
      <alignment horizontal="left" vertical="center" wrapText="1"/>
    </xf>
    <xf numFmtId="5" fontId="0" fillId="3" borderId="57" xfId="0" applyNumberFormat="1" applyFill="1" applyBorder="1"/>
    <xf numFmtId="0" fontId="10" fillId="2" borderId="0" xfId="0" applyFont="1" applyFill="1" applyBorder="1" applyAlignment="1">
      <alignment vertical="top" wrapText="1"/>
    </xf>
    <xf numFmtId="0" fontId="40" fillId="0" borderId="0" xfId="0" applyFont="1" applyFill="1" applyBorder="1" applyAlignment="1">
      <alignment vertical="top" wrapText="1"/>
    </xf>
    <xf numFmtId="44" fontId="11" fillId="0" borderId="0" xfId="0" applyNumberFormat="1" applyFont="1" applyAlignment="1">
      <alignment vertical="top" wrapText="1"/>
    </xf>
    <xf numFmtId="0" fontId="0" fillId="16" borderId="0" xfId="0" applyFill="1"/>
    <xf numFmtId="0" fontId="3" fillId="0" borderId="4" xfId="0" applyFont="1" applyFill="1" applyBorder="1" applyAlignment="1">
      <alignment vertical="center" wrapText="1"/>
    </xf>
    <xf numFmtId="169" fontId="11" fillId="3" borderId="142" xfId="16" applyNumberFormat="1" applyFont="1" applyFill="1" applyBorder="1" applyProtection="1"/>
    <xf numFmtId="169" fontId="3" fillId="3" borderId="22" xfId="16" applyNumberFormat="1" applyFont="1" applyFill="1" applyBorder="1" applyProtection="1"/>
    <xf numFmtId="0" fontId="0" fillId="0" borderId="47" xfId="0" quotePrefix="1" applyBorder="1" applyAlignment="1" applyProtection="1">
      <alignment wrapText="1"/>
    </xf>
    <xf numFmtId="173" fontId="11" fillId="0" borderId="0" xfId="16" quotePrefix="1" applyFont="1" applyProtection="1"/>
    <xf numFmtId="165" fontId="17" fillId="3" borderId="8" xfId="0" applyNumberFormat="1" applyFont="1" applyFill="1" applyBorder="1" applyAlignment="1" applyProtection="1">
      <alignment wrapText="1"/>
    </xf>
    <xf numFmtId="165" fontId="17"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164" fontId="0" fillId="5" borderId="62" xfId="0" applyNumberFormat="1" applyFill="1" applyBorder="1" applyAlignment="1">
      <alignment vertical="top" wrapText="1"/>
    </xf>
    <xf numFmtId="3" fontId="0" fillId="3" borderId="88" xfId="0" applyNumberFormat="1" applyFill="1" applyBorder="1" applyAlignment="1">
      <alignment vertical="top" wrapText="1"/>
    </xf>
    <xf numFmtId="0" fontId="0" fillId="5" borderId="62" xfId="0" applyFill="1" applyBorder="1" applyAlignment="1">
      <alignment vertical="top" wrapText="1"/>
    </xf>
    <xf numFmtId="9" fontId="1" fillId="5" borderId="62" xfId="17" applyFill="1" applyBorder="1" applyAlignment="1">
      <alignment vertical="top" wrapText="1"/>
    </xf>
    <xf numFmtId="9" fontId="0" fillId="5" borderId="62" xfId="0" applyNumberFormat="1" applyFill="1" applyBorder="1" applyAlignment="1">
      <alignment vertical="top" wrapText="1"/>
    </xf>
    <xf numFmtId="10" fontId="0" fillId="3" borderId="88" xfId="0" applyNumberFormat="1" applyFill="1" applyBorder="1" applyAlignment="1">
      <alignment vertical="top" wrapText="1"/>
    </xf>
    <xf numFmtId="170" fontId="0" fillId="3" borderId="89" xfId="0" applyNumberFormat="1" applyFill="1" applyBorder="1" applyAlignment="1">
      <alignment vertical="top" wrapText="1"/>
    </xf>
    <xf numFmtId="170" fontId="0" fillId="3" borderId="88" xfId="0" quotePrefix="1" applyNumberFormat="1" applyFill="1" applyBorder="1" applyAlignment="1">
      <alignment vertical="top" wrapText="1"/>
    </xf>
    <xf numFmtId="0" fontId="11" fillId="6" borderId="6" xfId="7" applyFill="1" applyBorder="1" applyAlignment="1">
      <alignment horizontal="center"/>
    </xf>
    <xf numFmtId="0" fontId="52" fillId="0" borderId="0" xfId="0" applyFont="1"/>
    <xf numFmtId="0" fontId="11" fillId="6" borderId="67" xfId="7" applyFill="1" applyBorder="1" applyAlignment="1">
      <alignment horizontal="center"/>
    </xf>
    <xf numFmtId="0" fontId="3" fillId="0" borderId="24" xfId="0" applyFont="1" applyFill="1" applyBorder="1"/>
    <xf numFmtId="0" fontId="3"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1" fillId="0" borderId="6" xfId="0" applyFont="1" applyFill="1" applyBorder="1"/>
    <xf numFmtId="167" fontId="0" fillId="0" borderId="4" xfId="0" applyNumberFormat="1" applyFill="1" applyBorder="1"/>
    <xf numFmtId="0" fontId="11" fillId="0" borderId="67" xfId="0" applyFont="1" applyFill="1" applyBorder="1"/>
    <xf numFmtId="0" fontId="0" fillId="0" borderId="90" xfId="0" applyFill="1" applyBorder="1"/>
    <xf numFmtId="167" fontId="0" fillId="0" borderId="90" xfId="0" applyNumberFormat="1" applyFill="1" applyBorder="1"/>
    <xf numFmtId="0" fontId="11" fillId="17" borderId="65" xfId="0" applyFont="1" applyFill="1" applyBorder="1"/>
    <xf numFmtId="0" fontId="0" fillId="17" borderId="65" xfId="0" applyFill="1" applyBorder="1"/>
    <xf numFmtId="0" fontId="0" fillId="17" borderId="66" xfId="0" applyFill="1" applyBorder="1"/>
    <xf numFmtId="0" fontId="0" fillId="0" borderId="4" xfId="0" applyBorder="1"/>
    <xf numFmtId="0" fontId="0" fillId="0" borderId="144" xfId="0" applyBorder="1"/>
    <xf numFmtId="0" fontId="3" fillId="0" borderId="6" xfId="0" applyFont="1" applyFill="1" applyBorder="1"/>
    <xf numFmtId="0" fontId="3" fillId="0" borderId="0" xfId="0" applyFont="1" applyFill="1" applyBorder="1" applyAlignment="1">
      <alignment wrapText="1"/>
    </xf>
    <xf numFmtId="0" fontId="3" fillId="0" borderId="0" xfId="0" applyFont="1" applyFill="1" applyBorder="1"/>
    <xf numFmtId="0" fontId="3" fillId="0" borderId="7" xfId="0" applyFont="1" applyFill="1" applyBorder="1"/>
    <xf numFmtId="7" fontId="0" fillId="0" borderId="0" xfId="0" applyNumberFormat="1"/>
    <xf numFmtId="7" fontId="0" fillId="0" borderId="143" xfId="0" applyNumberFormat="1" applyFill="1" applyBorder="1" applyAlignment="1">
      <alignment vertical="top" wrapText="1"/>
    </xf>
    <xf numFmtId="0" fontId="11" fillId="0" borderId="63" xfId="0" applyFont="1" applyFill="1" applyBorder="1" applyAlignment="1">
      <alignment horizontal="left" vertical="top" wrapText="1"/>
    </xf>
    <xf numFmtId="0" fontId="11" fillId="6" borderId="98" xfId="0" applyFont="1" applyFill="1" applyBorder="1" applyAlignment="1">
      <alignment horizontal="left" vertical="top" wrapText="1"/>
    </xf>
    <xf numFmtId="0" fontId="11" fillId="0" borderId="98" xfId="0" applyFont="1" applyFill="1" applyBorder="1" applyAlignment="1">
      <alignment horizontal="left" vertical="top" wrapText="1"/>
    </xf>
    <xf numFmtId="172" fontId="11" fillId="3" borderId="69" xfId="0" applyNumberFormat="1" applyFont="1" applyFill="1" applyBorder="1" applyAlignment="1" applyProtection="1">
      <alignment wrapText="1"/>
      <protection locked="0"/>
    </xf>
    <xf numFmtId="172" fontId="0" fillId="0" borderId="0" xfId="0" applyNumberFormat="1"/>
    <xf numFmtId="0" fontId="11" fillId="5" borderId="138" xfId="0" applyFont="1" applyFill="1" applyBorder="1" applyAlignment="1" applyProtection="1">
      <alignment horizontal="left" wrapText="1"/>
      <protection locked="0"/>
    </xf>
    <xf numFmtId="0" fontId="11" fillId="5" borderId="145" xfId="0" applyFont="1" applyFill="1" applyBorder="1" applyAlignment="1" applyProtection="1">
      <alignment horizontal="left" wrapText="1"/>
      <protection locked="0"/>
    </xf>
    <xf numFmtId="178" fontId="0" fillId="3" borderId="88" xfId="3" applyNumberFormat="1" applyFont="1" applyFill="1" applyBorder="1" applyAlignment="1">
      <alignment vertical="top" wrapText="1"/>
    </xf>
    <xf numFmtId="167" fontId="11" fillId="0" borderId="0" xfId="0" applyNumberFormat="1" applyFont="1" applyFill="1" applyBorder="1"/>
    <xf numFmtId="0" fontId="26" fillId="0" borderId="90" xfId="0" applyFont="1" applyFill="1" applyBorder="1" applyAlignment="1" applyProtection="1">
      <alignment horizontal="center" wrapText="1"/>
    </xf>
    <xf numFmtId="3" fontId="11" fillId="2" borderId="8" xfId="0" applyNumberFormat="1" applyFont="1" applyFill="1" applyBorder="1" applyAlignment="1" applyProtection="1">
      <alignment horizontal="left" vertical="center" wrapText="1"/>
      <protection locked="0"/>
    </xf>
    <xf numFmtId="3" fontId="11" fillId="2" borderId="19" xfId="0" applyNumberFormat="1" applyFont="1" applyFill="1" applyBorder="1" applyAlignment="1" applyProtection="1">
      <alignment horizontal="left" vertical="center" wrapText="1"/>
      <protection locked="0"/>
    </xf>
    <xf numFmtId="0" fontId="11" fillId="0" borderId="0" xfId="0" applyFont="1" applyFill="1" applyAlignment="1">
      <alignment vertical="top" wrapText="1"/>
    </xf>
    <xf numFmtId="0" fontId="34" fillId="0" borderId="0" xfId="0" applyFont="1" applyFill="1" applyBorder="1" applyAlignment="1">
      <alignment vertical="top" wrapText="1"/>
    </xf>
    <xf numFmtId="0" fontId="5" fillId="0" borderId="0" xfId="0" applyFont="1" applyFill="1" applyBorder="1" applyAlignment="1">
      <alignment horizontal="right" vertical="center" wrapText="1"/>
    </xf>
    <xf numFmtId="170" fontId="14" fillId="0" borderId="0" xfId="0" applyNumberFormat="1" applyFont="1" applyFill="1" applyBorder="1" applyAlignment="1">
      <alignment horizontal="center" vertical="center" wrapText="1"/>
    </xf>
    <xf numFmtId="0" fontId="60" fillId="0" borderId="58" xfId="0" applyFont="1" applyFill="1" applyBorder="1"/>
    <xf numFmtId="0" fontId="11" fillId="0" borderId="6" xfId="0" applyFont="1" applyFill="1" applyBorder="1" applyAlignment="1">
      <alignment horizontal="left"/>
    </xf>
    <xf numFmtId="0" fontId="14" fillId="5" borderId="89" xfId="0" applyFont="1" applyFill="1" applyBorder="1"/>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55" fillId="0" borderId="1" xfId="0" applyFont="1" applyFill="1" applyBorder="1" applyAlignment="1">
      <alignment wrapText="1"/>
    </xf>
    <xf numFmtId="0" fontId="55" fillId="0" borderId="2" xfId="0" applyFont="1" applyFill="1" applyBorder="1" applyAlignment="1">
      <alignment horizontal="center"/>
    </xf>
    <xf numFmtId="0" fontId="55" fillId="0" borderId="2" xfId="0" applyFont="1" applyFill="1" applyBorder="1" applyAlignment="1">
      <alignment horizontal="center" wrapText="1"/>
    </xf>
    <xf numFmtId="0" fontId="55" fillId="0" borderId="3" xfId="0" applyFont="1" applyFill="1" applyBorder="1" applyAlignment="1">
      <alignment horizontal="center" wrapText="1"/>
    </xf>
    <xf numFmtId="0" fontId="56" fillId="0" borderId="4" xfId="0" applyFont="1" applyFill="1" applyBorder="1" applyAlignment="1">
      <alignment wrapText="1"/>
    </xf>
    <xf numFmtId="2" fontId="56" fillId="0" borderId="0" xfId="0" applyNumberFormat="1" applyFont="1" applyFill="1" applyBorder="1" applyAlignment="1">
      <alignment horizontal="center"/>
    </xf>
    <xf numFmtId="2" fontId="57" fillId="0" borderId="0" xfId="0" applyNumberFormat="1" applyFont="1" applyFill="1" applyBorder="1" applyAlignment="1">
      <alignment wrapText="1"/>
    </xf>
    <xf numFmtId="2" fontId="57" fillId="0" borderId="0" xfId="0" applyNumberFormat="1" applyFont="1" applyFill="1" applyBorder="1" applyAlignment="1"/>
    <xf numFmtId="2" fontId="57" fillId="0" borderId="0" xfId="0" applyNumberFormat="1" applyFont="1" applyFill="1" applyBorder="1"/>
    <xf numFmtId="2" fontId="57" fillId="0" borderId="5" xfId="0" applyNumberFormat="1" applyFont="1" applyFill="1" applyBorder="1"/>
    <xf numFmtId="0" fontId="56" fillId="0" borderId="4" xfId="0" applyFont="1" applyFill="1" applyBorder="1"/>
    <xf numFmtId="0" fontId="55" fillId="0" borderId="4" xfId="0" applyFont="1" applyFill="1" applyBorder="1"/>
    <xf numFmtId="2" fontId="56" fillId="0" borderId="5" xfId="0" applyNumberFormat="1" applyFont="1" applyFill="1" applyBorder="1" applyAlignment="1">
      <alignment horizontal="center"/>
    </xf>
    <xf numFmtId="2" fontId="57" fillId="0" borderId="5" xfId="0" applyNumberFormat="1" applyFont="1" applyFill="1" applyBorder="1" applyAlignment="1">
      <alignment wrapText="1"/>
    </xf>
    <xf numFmtId="0" fontId="56" fillId="0" borderId="58" xfId="0" applyFont="1" applyFill="1" applyBorder="1" applyAlignment="1">
      <alignment wrapText="1"/>
    </xf>
    <xf numFmtId="2" fontId="56" fillId="0" borderId="59" xfId="0" applyNumberFormat="1" applyFont="1" applyFill="1" applyBorder="1" applyAlignment="1">
      <alignment horizontal="center"/>
    </xf>
    <xf numFmtId="2" fontId="56" fillId="0" borderId="59" xfId="0" applyNumberFormat="1" applyFont="1" applyFill="1" applyBorder="1" applyAlignment="1">
      <alignment horizontal="center" wrapText="1"/>
    </xf>
    <xf numFmtId="2" fontId="56" fillId="0" borderId="87" xfId="0" applyNumberFormat="1" applyFont="1" applyFill="1" applyBorder="1" applyAlignment="1">
      <alignment horizontal="center" wrapText="1"/>
    </xf>
    <xf numFmtId="0" fontId="58" fillId="0" borderId="0" xfId="0" applyFont="1" applyFill="1" applyBorder="1" applyAlignment="1"/>
    <xf numFmtId="0" fontId="57" fillId="0" borderId="0" xfId="0" applyFont="1" applyFill="1"/>
    <xf numFmtId="0" fontId="58" fillId="0" borderId="0" xfId="0" applyFont="1" applyFill="1"/>
    <xf numFmtId="0" fontId="3" fillId="0" borderId="1" xfId="0" applyFont="1" applyFill="1" applyBorder="1" applyAlignment="1">
      <alignment vertical="center"/>
    </xf>
    <xf numFmtId="0" fontId="3" fillId="0" borderId="2" xfId="0" applyFont="1" applyFill="1" applyBorder="1" applyAlignment="1">
      <alignment horizontal="center" vertical="center" wrapText="1"/>
    </xf>
    <xf numFmtId="0" fontId="57" fillId="3" borderId="4" xfId="0" applyFont="1" applyFill="1" applyBorder="1"/>
    <xf numFmtId="165" fontId="57" fillId="3" borderId="0" xfId="0" applyNumberFormat="1" applyFont="1" applyFill="1" applyBorder="1" applyAlignment="1">
      <alignment horizontal="center"/>
    </xf>
    <xf numFmtId="0" fontId="57" fillId="0" borderId="4" xfId="0" applyFont="1" applyFill="1" applyBorder="1"/>
    <xf numFmtId="165" fontId="57" fillId="0" borderId="0" xfId="0" applyNumberFormat="1" applyFont="1" applyFill="1" applyBorder="1" applyAlignment="1">
      <alignment horizontal="center"/>
    </xf>
    <xf numFmtId="0" fontId="57" fillId="3" borderId="0" xfId="0" applyFont="1" applyFill="1" applyBorder="1" applyAlignment="1">
      <alignment horizontal="center"/>
    </xf>
    <xf numFmtId="0" fontId="57" fillId="3" borderId="5" xfId="0" applyFont="1" applyFill="1" applyBorder="1" applyAlignment="1">
      <alignment horizontal="center"/>
    </xf>
    <xf numFmtId="0" fontId="57" fillId="0" borderId="0" xfId="0" applyFont="1" applyFill="1" applyBorder="1" applyAlignment="1">
      <alignment horizontal="center"/>
    </xf>
    <xf numFmtId="0" fontId="57" fillId="0" borderId="5" xfId="0" applyFont="1" applyFill="1" applyBorder="1" applyAlignment="1">
      <alignment horizontal="center"/>
    </xf>
    <xf numFmtId="0" fontId="3" fillId="3" borderId="0" xfId="0" applyFont="1" applyFill="1" applyBorder="1" applyAlignment="1">
      <alignment horizontal="center"/>
    </xf>
    <xf numFmtId="0" fontId="57" fillId="3" borderId="0" xfId="0" applyFont="1" applyFill="1" applyBorder="1"/>
    <xf numFmtId="0" fontId="57" fillId="0" borderId="0" xfId="0" applyFont="1" applyFill="1" applyBorder="1"/>
    <xf numFmtId="0" fontId="18" fillId="0" borderId="5" xfId="0" applyFont="1" applyFill="1" applyBorder="1" applyAlignment="1">
      <alignment horizontal="center"/>
    </xf>
    <xf numFmtId="0" fontId="18" fillId="3" borderId="5" xfId="0" applyFont="1" applyFill="1" applyBorder="1" applyAlignment="1">
      <alignment horizontal="center"/>
    </xf>
    <xf numFmtId="0" fontId="57" fillId="0" borderId="0" xfId="0" applyFont="1"/>
    <xf numFmtId="0" fontId="57" fillId="0" borderId="4" xfId="0" applyFont="1" applyFill="1" applyBorder="1" applyAlignment="1">
      <alignment wrapText="1"/>
    </xf>
    <xf numFmtId="0" fontId="57" fillId="0" borderId="0" xfId="0" applyFont="1" applyFill="1" applyBorder="1" applyAlignment="1">
      <alignment wrapText="1"/>
    </xf>
    <xf numFmtId="0" fontId="57"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57" fillId="3" borderId="2" xfId="0" applyNumberFormat="1" applyFont="1" applyFill="1" applyBorder="1" applyAlignment="1">
      <alignment horizontal="center"/>
    </xf>
    <xf numFmtId="165" fontId="57" fillId="3" borderId="82" xfId="0" applyNumberFormat="1" applyFont="1" applyFill="1" applyBorder="1" applyAlignment="1">
      <alignment horizontal="center"/>
    </xf>
    <xf numFmtId="165" fontId="57" fillId="3" borderId="7" xfId="0" applyNumberFormat="1" applyFont="1" applyFill="1" applyBorder="1" applyAlignment="1">
      <alignment horizontal="center"/>
    </xf>
    <xf numFmtId="0" fontId="11" fillId="0" borderId="4" xfId="0" applyFont="1" applyFill="1" applyBorder="1"/>
    <xf numFmtId="2" fontId="56" fillId="0" borderId="0" xfId="0" applyNumberFormat="1" applyFont="1" applyFill="1" applyBorder="1" applyAlignment="1">
      <alignment horizontal="center" wrapText="1"/>
    </xf>
    <xf numFmtId="2" fontId="56" fillId="0" borderId="7" xfId="0" applyNumberFormat="1" applyFont="1" applyFill="1" applyBorder="1" applyAlignment="1">
      <alignment horizontal="center" wrapText="1"/>
    </xf>
    <xf numFmtId="0" fontId="11" fillId="0" borderId="144" xfId="0" applyFont="1" applyFill="1" applyBorder="1"/>
    <xf numFmtId="165" fontId="57" fillId="3" borderId="90" xfId="0" applyNumberFormat="1" applyFont="1" applyFill="1" applyBorder="1" applyAlignment="1">
      <alignment horizontal="center"/>
    </xf>
    <xf numFmtId="165" fontId="57" fillId="3" borderId="110" xfId="0" applyNumberFormat="1" applyFont="1" applyFill="1" applyBorder="1" applyAlignment="1">
      <alignment horizontal="center"/>
    </xf>
    <xf numFmtId="0" fontId="11" fillId="2" borderId="4" xfId="0" applyFont="1" applyFill="1" applyBorder="1"/>
    <xf numFmtId="0" fontId="36" fillId="2" borderId="9" xfId="0" applyFont="1" applyFill="1" applyBorder="1" applyAlignment="1" applyProtection="1">
      <protection locked="0"/>
    </xf>
    <xf numFmtId="0" fontId="36" fillId="2" borderId="10" xfId="0" applyFont="1" applyFill="1" applyBorder="1" applyAlignment="1" applyProtection="1">
      <protection locked="0"/>
    </xf>
    <xf numFmtId="0" fontId="36" fillId="2" borderId="11" xfId="0" applyFont="1" applyFill="1" applyBorder="1" applyAlignment="1" applyProtection="1">
      <protection locked="0"/>
    </xf>
    <xf numFmtId="10" fontId="58" fillId="0" borderId="0" xfId="0" applyNumberFormat="1" applyFont="1" applyFill="1"/>
    <xf numFmtId="167" fontId="0" fillId="0" borderId="0" xfId="0" applyNumberFormat="1"/>
    <xf numFmtId="0" fontId="0" fillId="0" borderId="67" xfId="0" applyFill="1" applyBorder="1"/>
    <xf numFmtId="0" fontId="11" fillId="0" borderId="0" xfId="0" applyFont="1" applyFill="1" applyBorder="1"/>
    <xf numFmtId="0" fontId="11" fillId="0" borderId="1" xfId="0" applyFont="1" applyFill="1" applyBorder="1"/>
    <xf numFmtId="2" fontId="11" fillId="5" borderId="141" xfId="0" applyNumberFormat="1" applyFont="1" applyFill="1" applyBorder="1" applyAlignment="1" applyProtection="1">
      <alignment wrapText="1"/>
      <protection locked="0"/>
    </xf>
    <xf numFmtId="0" fontId="11" fillId="5" borderId="141" xfId="0" applyFont="1" applyFill="1" applyBorder="1" applyAlignment="1" applyProtection="1">
      <alignment wrapText="1"/>
      <protection locked="0"/>
    </xf>
    <xf numFmtId="2" fontId="11" fillId="5" borderId="147" xfId="0" applyNumberFormat="1" applyFont="1" applyFill="1" applyBorder="1" applyAlignment="1" applyProtection="1">
      <alignment wrapText="1"/>
      <protection locked="0"/>
    </xf>
    <xf numFmtId="3" fontId="11" fillId="5" borderId="100" xfId="0" applyNumberFormat="1" applyFont="1" applyFill="1" applyBorder="1" applyAlignment="1" applyProtection="1">
      <alignment wrapText="1"/>
      <protection locked="0"/>
    </xf>
    <xf numFmtId="172" fontId="11" fillId="5" borderId="100" xfId="0" applyNumberFormat="1" applyFont="1" applyFill="1" applyBorder="1" applyAlignment="1" applyProtection="1">
      <alignment wrapText="1"/>
      <protection locked="0"/>
    </xf>
    <xf numFmtId="172" fontId="11" fillId="5" borderId="101" xfId="0" applyNumberFormat="1" applyFont="1" applyFill="1" applyBorder="1" applyAlignment="1" applyProtection="1">
      <alignment wrapText="1"/>
      <protection locked="0"/>
    </xf>
    <xf numFmtId="7" fontId="34" fillId="0" borderId="57" xfId="0" applyNumberFormat="1" applyFont="1" applyFill="1" applyBorder="1" applyAlignment="1">
      <alignment vertical="top" wrapText="1"/>
    </xf>
    <xf numFmtId="0" fontId="11" fillId="5" borderId="105" xfId="0" applyNumberFormat="1" applyFont="1" applyFill="1" applyBorder="1" applyAlignment="1" applyProtection="1">
      <alignment wrapText="1"/>
      <protection locked="0"/>
    </xf>
    <xf numFmtId="9" fontId="0" fillId="4" borderId="0" xfId="0" applyNumberFormat="1" applyFill="1" applyBorder="1" applyAlignment="1">
      <alignment vertical="top" wrapText="1"/>
    </xf>
    <xf numFmtId="0" fontId="3" fillId="0" borderId="0" xfId="0" applyFont="1" applyAlignment="1">
      <alignment wrapText="1"/>
    </xf>
    <xf numFmtId="172" fontId="11" fillId="5" borderId="148" xfId="1" applyNumberFormat="1" applyFont="1" applyFill="1" applyBorder="1" applyAlignment="1" applyProtection="1">
      <alignment wrapText="1"/>
      <protection locked="0"/>
    </xf>
    <xf numFmtId="170" fontId="0" fillId="3" borderId="88" xfId="0" applyNumberFormat="1" applyFill="1" applyBorder="1" applyAlignment="1">
      <alignment vertical="top" wrapText="1"/>
    </xf>
    <xf numFmtId="7" fontId="11" fillId="3" borderId="62" xfId="0" applyNumberFormat="1" applyFont="1" applyFill="1" applyBorder="1" applyAlignment="1">
      <alignment vertical="top" wrapText="1"/>
    </xf>
    <xf numFmtId="0" fontId="4" fillId="6" borderId="100" xfId="5" applyFill="1" applyBorder="1" applyAlignment="1" applyProtection="1">
      <alignment wrapText="1"/>
      <protection locked="0"/>
    </xf>
    <xf numFmtId="0" fontId="4" fillId="6" borderId="101" xfId="5" applyFill="1" applyBorder="1" applyAlignment="1" applyProtection="1">
      <alignment wrapText="1"/>
      <protection locked="0"/>
    </xf>
    <xf numFmtId="0" fontId="46" fillId="6" borderId="8" xfId="0" applyFont="1" applyFill="1" applyBorder="1" applyAlignment="1" applyProtection="1">
      <alignment wrapText="1"/>
      <protection locked="0"/>
    </xf>
    <xf numFmtId="0" fontId="11" fillId="6" borderId="98" xfId="0" applyNumberFormat="1" applyFont="1" applyFill="1" applyBorder="1" applyAlignment="1">
      <alignment horizontal="left" vertical="top" wrapText="1"/>
    </xf>
    <xf numFmtId="0" fontId="0" fillId="3" borderId="57" xfId="0" applyFill="1" applyBorder="1" applyAlignment="1">
      <alignment vertical="top" wrapText="1"/>
    </xf>
    <xf numFmtId="7" fontId="11" fillId="3" borderId="57" xfId="0" applyNumberFormat="1" applyFont="1" applyFill="1" applyBorder="1" applyAlignment="1">
      <alignment vertical="top" wrapText="1"/>
    </xf>
    <xf numFmtId="9" fontId="1" fillId="5" borderId="89" xfId="17" applyFill="1" applyBorder="1" applyAlignment="1">
      <alignment vertical="top" wrapText="1"/>
    </xf>
    <xf numFmtId="7" fontId="0" fillId="3" borderId="62" xfId="0" applyNumberFormat="1" applyFill="1" applyBorder="1" applyAlignment="1">
      <alignment vertical="top" wrapText="1"/>
    </xf>
    <xf numFmtId="170" fontId="11" fillId="3" borderId="62" xfId="0" applyNumberFormat="1" applyFont="1" applyFill="1" applyBorder="1" applyAlignment="1">
      <alignment vertical="top" wrapText="1"/>
    </xf>
    <xf numFmtId="169" fontId="11" fillId="3" borderId="57" xfId="0" applyNumberFormat="1" applyFont="1" applyFill="1" applyBorder="1" applyAlignment="1">
      <alignment vertical="top" wrapText="1"/>
    </xf>
    <xf numFmtId="0" fontId="0" fillId="6" borderId="0" xfId="0" quotePrefix="1" applyFill="1" applyBorder="1" applyAlignment="1">
      <alignment horizontal="left" vertical="top" wrapText="1"/>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0" fillId="6" borderId="5" xfId="0" quotePrefix="1" applyFill="1" applyBorder="1" applyAlignment="1">
      <alignment horizontal="left" vertical="top" wrapText="1"/>
    </xf>
    <xf numFmtId="170" fontId="0" fillId="6" borderId="0" xfId="0" applyNumberFormat="1" applyFill="1" applyBorder="1" applyAlignment="1">
      <alignment horizontal="left" vertical="top" wrapText="1"/>
    </xf>
    <xf numFmtId="170" fontId="0" fillId="6" borderId="5" xfId="0" applyNumberFormat="1" applyFill="1" applyBorder="1" applyAlignment="1">
      <alignment horizontal="left" vertical="top" wrapText="1"/>
    </xf>
    <xf numFmtId="0" fontId="11" fillId="6" borderId="0" xfId="0" applyFont="1" applyFill="1" applyBorder="1" applyAlignment="1">
      <alignment vertical="top" wrapText="1"/>
    </xf>
    <xf numFmtId="165" fontId="11" fillId="3" borderId="138" xfId="0" applyNumberFormat="1" applyFont="1" applyFill="1" applyBorder="1" applyAlignment="1" applyProtection="1">
      <alignment wrapText="1"/>
      <protection locked="0"/>
    </xf>
    <xf numFmtId="165" fontId="11" fillId="3" borderId="145" xfId="0" applyNumberFormat="1" applyFont="1" applyFill="1" applyBorder="1" applyAlignment="1" applyProtection="1">
      <alignment wrapText="1"/>
      <protection locked="0"/>
    </xf>
    <xf numFmtId="0" fontId="11" fillId="3" borderId="138" xfId="0" applyNumberFormat="1" applyFont="1" applyFill="1" applyBorder="1" applyAlignment="1" applyProtection="1">
      <alignment wrapText="1"/>
      <protection locked="0"/>
    </xf>
    <xf numFmtId="0" fontId="3" fillId="6" borderId="0" xfId="0" applyFont="1" applyFill="1" applyBorder="1" applyAlignment="1">
      <alignment vertical="top" wrapText="1"/>
    </xf>
    <xf numFmtId="0" fontId="3" fillId="6" borderId="5" xfId="0" applyFont="1" applyFill="1" applyBorder="1" applyAlignment="1">
      <alignment vertical="top" wrapText="1"/>
    </xf>
    <xf numFmtId="170" fontId="0" fillId="5" borderId="137" xfId="0" applyNumberFormat="1" applyFill="1" applyBorder="1" applyAlignment="1">
      <alignment vertical="top" wrapText="1"/>
    </xf>
    <xf numFmtId="0" fontId="0" fillId="3" borderId="135" xfId="0" applyNumberFormat="1" applyFill="1" applyBorder="1" applyAlignment="1">
      <alignment vertical="top" wrapText="1"/>
    </xf>
    <xf numFmtId="170" fontId="0" fillId="3" borderId="99" xfId="0" applyNumberFormat="1" applyFill="1" applyBorder="1" applyAlignment="1">
      <alignment vertical="top" wrapText="1"/>
    </xf>
    <xf numFmtId="170" fontId="0" fillId="5" borderId="138" xfId="0" applyNumberFormat="1" applyFill="1" applyBorder="1" applyAlignment="1">
      <alignment vertical="top" wrapText="1"/>
    </xf>
    <xf numFmtId="0" fontId="0" fillId="3" borderId="8" xfId="0" applyNumberFormat="1" applyFill="1" applyBorder="1" applyAlignment="1">
      <alignment vertical="top" wrapText="1"/>
    </xf>
    <xf numFmtId="170" fontId="0" fillId="3" borderId="100" xfId="0" applyNumberFormat="1" applyFill="1" applyBorder="1" applyAlignment="1">
      <alignment vertical="top" wrapText="1"/>
    </xf>
    <xf numFmtId="170" fontId="0" fillId="5" borderId="145" xfId="0" applyNumberFormat="1" applyFill="1" applyBorder="1" applyAlignment="1">
      <alignment vertical="top" wrapText="1"/>
    </xf>
    <xf numFmtId="170" fontId="0" fillId="3" borderId="101" xfId="0" applyNumberFormat="1" applyFill="1" applyBorder="1" applyAlignment="1">
      <alignment vertical="top" wrapText="1"/>
    </xf>
    <xf numFmtId="0" fontId="0" fillId="6" borderId="0" xfId="0" quotePrefix="1" applyFill="1" applyBorder="1" applyAlignment="1">
      <alignment vertical="top" wrapText="1"/>
    </xf>
    <xf numFmtId="0" fontId="0" fillId="5" borderId="138" xfId="1" applyNumberFormat="1" applyFont="1" applyFill="1" applyBorder="1" applyAlignment="1">
      <alignment vertical="top" wrapText="1"/>
    </xf>
    <xf numFmtId="0" fontId="11" fillId="0" borderId="0" xfId="14"/>
    <xf numFmtId="0" fontId="11" fillId="6" borderId="0" xfId="0" quotePrefix="1" applyFont="1" applyFill="1" applyBorder="1" applyAlignment="1">
      <alignment vertical="top" wrapText="1"/>
    </xf>
    <xf numFmtId="0" fontId="11" fillId="6" borderId="5" xfId="0" applyFont="1" applyFill="1" applyBorder="1" applyAlignment="1">
      <alignment vertical="top" wrapText="1"/>
    </xf>
    <xf numFmtId="0" fontId="11" fillId="6" borderId="5" xfId="0" quotePrefix="1" applyFont="1" applyFill="1" applyBorder="1" applyAlignment="1">
      <alignment vertical="top" wrapText="1"/>
    </xf>
    <xf numFmtId="0" fontId="0" fillId="5" borderId="137" xfId="0" applyNumberFormat="1" applyFill="1" applyBorder="1" applyAlignment="1">
      <alignment vertical="top" wrapText="1"/>
    </xf>
    <xf numFmtId="0" fontId="11" fillId="3" borderId="62" xfId="0" applyNumberFormat="1" applyFont="1" applyFill="1" applyBorder="1" applyAlignment="1">
      <alignment vertical="top" wrapText="1"/>
    </xf>
    <xf numFmtId="0" fontId="11" fillId="6" borderId="59" xfId="0" applyFont="1" applyFill="1" applyBorder="1" applyAlignment="1">
      <alignment vertical="top" wrapText="1"/>
    </xf>
    <xf numFmtId="0" fontId="3" fillId="0" borderId="151" xfId="0" applyFont="1" applyBorder="1" applyAlignment="1">
      <alignment wrapText="1"/>
    </xf>
    <xf numFmtId="0" fontId="0" fillId="0" borderId="59" xfId="0" applyBorder="1"/>
    <xf numFmtId="0" fontId="0" fillId="0" borderId="87" xfId="0" applyBorder="1"/>
    <xf numFmtId="0" fontId="0" fillId="0" borderId="129" xfId="0" applyBorder="1"/>
    <xf numFmtId="0" fontId="0" fillId="0" borderId="152" xfId="0" applyBorder="1"/>
    <xf numFmtId="2" fontId="0" fillId="3" borderId="135" xfId="0" applyNumberFormat="1" applyFill="1" applyBorder="1" applyAlignment="1">
      <alignment vertical="top" wrapText="1"/>
    </xf>
    <xf numFmtId="2" fontId="0" fillId="3" borderId="8" xfId="0" applyNumberFormat="1" applyFill="1" applyBorder="1" applyAlignment="1">
      <alignment vertical="top" wrapText="1"/>
    </xf>
    <xf numFmtId="2" fontId="0" fillId="3" borderId="136" xfId="0" applyNumberFormat="1" applyFill="1" applyBorder="1" applyAlignment="1">
      <alignment vertical="top" wrapText="1"/>
    </xf>
    <xf numFmtId="2" fontId="11" fillId="0" borderId="0" xfId="14" applyNumberFormat="1"/>
    <xf numFmtId="2" fontId="0" fillId="0" borderId="0" xfId="0" applyNumberFormat="1"/>
    <xf numFmtId="0" fontId="28" fillId="0" borderId="148" xfId="0" applyFont="1" applyBorder="1"/>
    <xf numFmtId="43" fontId="11" fillId="3" borderId="153"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6" borderId="67" xfId="0" applyFill="1" applyBorder="1" applyAlignment="1">
      <alignment horizontal="center"/>
    </xf>
    <xf numFmtId="0" fontId="0" fillId="0" borderId="154" xfId="0" applyBorder="1" applyAlignment="1">
      <alignment horizontal="centerContinuous" vertical="top" wrapText="1"/>
    </xf>
    <xf numFmtId="39" fontId="63" fillId="6" borderId="7" xfId="9" applyNumberFormat="1" applyFill="1" applyBorder="1"/>
    <xf numFmtId="39" fontId="63" fillId="6" borderId="110" xfId="9" applyNumberFormat="1" applyFill="1" applyBorder="1"/>
    <xf numFmtId="0" fontId="3" fillId="0" borderId="1" xfId="7" applyFont="1" applyFill="1" applyBorder="1"/>
    <xf numFmtId="0" fontId="11" fillId="0" borderId="2" xfId="7" applyFill="1" applyBorder="1"/>
    <xf numFmtId="167" fontId="11" fillId="0" borderId="2" xfId="7" applyNumberFormat="1" applyFill="1" applyBorder="1"/>
    <xf numFmtId="0" fontId="11" fillId="0" borderId="3" xfId="7" applyFill="1" applyBorder="1"/>
    <xf numFmtId="0" fontId="11" fillId="0" borderId="0" xfId="7"/>
    <xf numFmtId="0" fontId="18" fillId="0" borderId="4" xfId="7" applyFont="1" applyFill="1" applyBorder="1"/>
    <xf numFmtId="0" fontId="11" fillId="0" borderId="0" xfId="7" applyFill="1" applyBorder="1"/>
    <xf numFmtId="167" fontId="11" fillId="0" borderId="0" xfId="7" applyNumberFormat="1" applyFill="1" applyBorder="1"/>
    <xf numFmtId="0" fontId="11" fillId="0" borderId="5" xfId="7" applyFill="1" applyBorder="1"/>
    <xf numFmtId="0" fontId="11" fillId="0" borderId="4" xfId="7" applyFont="1" applyFill="1" applyBorder="1"/>
    <xf numFmtId="0" fontId="64" fillId="0" borderId="0" xfId="7" applyFont="1" applyFill="1" applyBorder="1"/>
    <xf numFmtId="0" fontId="11" fillId="0" borderId="4" xfId="7" applyFill="1" applyBorder="1"/>
    <xf numFmtId="0" fontId="65" fillId="0" borderId="5" xfId="7" applyFont="1" applyFill="1" applyBorder="1"/>
    <xf numFmtId="0" fontId="11" fillId="0" borderId="58" xfId="7" applyFont="1" applyFill="1" applyBorder="1"/>
    <xf numFmtId="0" fontId="11" fillId="0" borderId="59" xfId="7" applyFill="1" applyBorder="1"/>
    <xf numFmtId="167" fontId="11" fillId="0" borderId="59" xfId="7" applyNumberFormat="1" applyFill="1" applyBorder="1"/>
    <xf numFmtId="0" fontId="64" fillId="0" borderId="59" xfId="7" applyFont="1" applyFill="1" applyBorder="1"/>
    <xf numFmtId="0" fontId="11" fillId="0" borderId="87" xfId="7" applyFill="1" applyBorder="1"/>
    <xf numFmtId="0" fontId="3" fillId="0" borderId="0" xfId="7" applyFont="1" applyFill="1" applyBorder="1"/>
    <xf numFmtId="0" fontId="18" fillId="0" borderId="2" xfId="0" applyFont="1" applyFill="1" applyBorder="1"/>
    <xf numFmtId="0" fontId="18" fillId="0" borderId="0" xfId="0" applyFont="1" applyFill="1" applyBorder="1"/>
    <xf numFmtId="2" fontId="61" fillId="0" borderId="0" xfId="0" applyNumberFormat="1" applyFont="1" applyFill="1" applyBorder="1" applyAlignment="1">
      <alignment horizontal="center" wrapText="1"/>
    </xf>
    <xf numFmtId="0" fontId="18" fillId="0" borderId="90" xfId="0" applyFont="1" applyFill="1" applyBorder="1"/>
    <xf numFmtId="0" fontId="18" fillId="0" borderId="0" xfId="0" applyFont="1" applyBorder="1"/>
    <xf numFmtId="0" fontId="18" fillId="0" borderId="90" xfId="0" applyFont="1" applyBorder="1"/>
    <xf numFmtId="167" fontId="66" fillId="0" borderId="0" xfId="7" applyNumberFormat="1" applyFont="1" applyFill="1" applyBorder="1"/>
    <xf numFmtId="0" fontId="11" fillId="0" borderId="6" xfId="7" applyFont="1" applyFill="1" applyBorder="1" applyAlignment="1">
      <alignment horizontal="left"/>
    </xf>
    <xf numFmtId="165" fontId="11" fillId="3" borderId="0" xfId="0" applyNumberFormat="1" applyFont="1" applyFill="1" applyBorder="1" applyAlignment="1">
      <alignment horizontal="center"/>
    </xf>
    <xf numFmtId="165" fontId="11" fillId="3" borderId="2" xfId="0" applyNumberFormat="1" applyFont="1" applyFill="1" applyBorder="1" applyAlignment="1">
      <alignment horizontal="center"/>
    </xf>
    <xf numFmtId="165" fontId="11" fillId="3" borderId="82" xfId="0" applyNumberFormat="1" applyFont="1" applyFill="1" applyBorder="1" applyAlignment="1">
      <alignment horizontal="center"/>
    </xf>
    <xf numFmtId="165" fontId="11" fillId="3" borderId="7" xfId="0" applyNumberFormat="1" applyFont="1" applyFill="1" applyBorder="1" applyAlignment="1">
      <alignment horizontal="center"/>
    </xf>
    <xf numFmtId="165" fontId="11" fillId="3" borderId="90" xfId="0" applyNumberFormat="1" applyFont="1" applyFill="1" applyBorder="1" applyAlignment="1">
      <alignment horizontal="center"/>
    </xf>
    <xf numFmtId="165" fontId="11" fillId="3" borderId="110" xfId="0" applyNumberFormat="1" applyFont="1" applyFill="1" applyBorder="1" applyAlignment="1">
      <alignment horizontal="center"/>
    </xf>
    <xf numFmtId="173" fontId="1" fillId="0" borderId="0" xfId="16" applyFont="1" applyProtection="1"/>
    <xf numFmtId="10" fontId="0" fillId="0" borderId="0" xfId="0" applyNumberFormat="1" applyBorder="1" applyProtection="1"/>
    <xf numFmtId="182" fontId="11" fillId="3" borderId="23" xfId="16" applyNumberFormat="1" applyFont="1" applyFill="1" applyBorder="1" applyAlignment="1" applyProtection="1">
      <alignment horizontal="center"/>
    </xf>
    <xf numFmtId="181" fontId="11" fillId="3" borderId="19" xfId="16" applyNumberFormat="1" applyFont="1" applyFill="1" applyBorder="1" applyAlignment="1" applyProtection="1">
      <alignment horizontal="center"/>
      <protection locked="0"/>
    </xf>
    <xf numFmtId="173" fontId="3" fillId="0" borderId="0" xfId="16" applyFont="1" applyFill="1" applyBorder="1" applyProtection="1"/>
    <xf numFmtId="170" fontId="0" fillId="18" borderId="34" xfId="0" applyNumberFormat="1" applyFill="1" applyBorder="1" applyProtection="1"/>
    <xf numFmtId="170" fontId="0" fillId="18" borderId="32" xfId="0" applyNumberFormat="1" applyFill="1" applyBorder="1" applyProtection="1"/>
    <xf numFmtId="173" fontId="3" fillId="0" borderId="60" xfId="16" applyFont="1" applyBorder="1" applyAlignment="1" applyProtection="1">
      <alignment horizontal="center"/>
    </xf>
    <xf numFmtId="173" fontId="1" fillId="3" borderId="17" xfId="16" applyFont="1" applyFill="1" applyBorder="1" applyProtection="1"/>
    <xf numFmtId="173" fontId="1" fillId="3" borderId="8" xfId="16" applyFont="1" applyFill="1" applyBorder="1" applyProtection="1"/>
    <xf numFmtId="165" fontId="1" fillId="3" borderId="8" xfId="16" applyNumberFormat="1" applyFont="1" applyFill="1" applyBorder="1" applyProtection="1"/>
    <xf numFmtId="170" fontId="1" fillId="3" borderId="8" xfId="16" applyNumberFormat="1" applyFont="1" applyFill="1" applyBorder="1" applyProtection="1"/>
    <xf numFmtId="6" fontId="1" fillId="3" borderId="8" xfId="16" applyNumberFormat="1" applyFont="1" applyFill="1" applyBorder="1" applyProtection="1"/>
    <xf numFmtId="164" fontId="1" fillId="3" borderId="8" xfId="17" applyNumberFormat="1" applyFont="1" applyFill="1" applyBorder="1" applyProtection="1"/>
    <xf numFmtId="0" fontId="0" fillId="21" borderId="0" xfId="0" applyFill="1"/>
    <xf numFmtId="0" fontId="1" fillId="21" borderId="0" xfId="0" applyFont="1" applyFill="1"/>
    <xf numFmtId="0" fontId="3" fillId="21" borderId="0" xfId="0" applyFont="1" applyFill="1"/>
    <xf numFmtId="0" fontId="1" fillId="20" borderId="8" xfId="0" applyFont="1" applyFill="1" applyBorder="1"/>
    <xf numFmtId="0" fontId="0" fillId="20" borderId="8" xfId="0" applyFill="1" applyBorder="1"/>
    <xf numFmtId="9" fontId="0" fillId="20" borderId="8" xfId="17" applyFont="1" applyFill="1" applyBorder="1"/>
    <xf numFmtId="9" fontId="0" fillId="5" borderId="8" xfId="17" applyFont="1" applyFill="1" applyBorder="1" applyAlignment="1">
      <alignment vertical="top" wrapText="1"/>
    </xf>
    <xf numFmtId="9" fontId="0" fillId="20" borderId="55" xfId="17" applyFont="1" applyFill="1" applyBorder="1"/>
    <xf numFmtId="172" fontId="0" fillId="20" borderId="55" xfId="1" applyNumberFormat="1" applyFont="1" applyFill="1" applyBorder="1"/>
    <xf numFmtId="0" fontId="0" fillId="20" borderId="55" xfId="0" applyFill="1" applyBorder="1"/>
    <xf numFmtId="172" fontId="0" fillId="20" borderId="8" xfId="1" applyNumberFormat="1" applyFont="1" applyFill="1" applyBorder="1"/>
    <xf numFmtId="0" fontId="3" fillId="21" borderId="0" xfId="0" applyFont="1" applyFill="1" applyAlignment="1">
      <alignment wrapText="1"/>
    </xf>
    <xf numFmtId="0" fontId="0" fillId="20" borderId="8" xfId="0" applyFill="1" applyBorder="1" applyAlignment="1">
      <alignment horizontal="center"/>
    </xf>
    <xf numFmtId="9" fontId="0" fillId="20" borderId="8" xfId="0" applyNumberFormat="1" applyFill="1" applyBorder="1"/>
    <xf numFmtId="183" fontId="0" fillId="20" borderId="8" xfId="1" applyNumberFormat="1" applyFont="1" applyFill="1" applyBorder="1"/>
    <xf numFmtId="0" fontId="1" fillId="21" borderId="0" xfId="0" applyFont="1" applyFill="1" applyBorder="1"/>
    <xf numFmtId="9" fontId="1" fillId="20" borderId="8" xfId="0" applyNumberFormat="1" applyFont="1" applyFill="1" applyBorder="1"/>
    <xf numFmtId="44" fontId="0" fillId="20" borderId="8" xfId="0" applyNumberFormat="1" applyFill="1" applyBorder="1"/>
    <xf numFmtId="44" fontId="1" fillId="20" borderId="8" xfId="3" applyFont="1" applyFill="1" applyBorder="1"/>
    <xf numFmtId="44" fontId="0" fillId="20" borderId="8" xfId="3" applyFont="1" applyFill="1" applyBorder="1"/>
    <xf numFmtId="0" fontId="0" fillId="19" borderId="8" xfId="0" applyFill="1" applyBorder="1" applyAlignment="1">
      <alignment horizontal="center"/>
    </xf>
    <xf numFmtId="9" fontId="0" fillId="19" borderId="8" xfId="17" applyFont="1" applyFill="1" applyBorder="1"/>
    <xf numFmtId="172" fontId="0" fillId="20" borderId="8" xfId="0" applyNumberFormat="1" applyFill="1" applyBorder="1"/>
    <xf numFmtId="0" fontId="3" fillId="21" borderId="0" xfId="0" applyFont="1" applyFill="1" applyAlignment="1">
      <alignment horizontal="center" wrapText="1"/>
    </xf>
    <xf numFmtId="0" fontId="0" fillId="20" borderId="8" xfId="0" applyFill="1" applyBorder="1" applyAlignment="1">
      <alignment horizontal="center" vertical="top"/>
    </xf>
    <xf numFmtId="44" fontId="1" fillId="20" borderId="8" xfId="0" applyNumberFormat="1" applyFont="1" applyFill="1" applyBorder="1"/>
    <xf numFmtId="0" fontId="3" fillId="0" borderId="126" xfId="0" applyFont="1" applyFill="1" applyBorder="1"/>
    <xf numFmtId="0" fontId="3" fillId="0" borderId="59" xfId="0" applyFont="1" applyFill="1" applyBorder="1" applyAlignment="1">
      <alignment wrapText="1"/>
    </xf>
    <xf numFmtId="0" fontId="3" fillId="0" borderId="59" xfId="0" applyFont="1" applyFill="1" applyBorder="1"/>
    <xf numFmtId="0" fontId="3" fillId="0" borderId="154" xfId="0" applyFont="1" applyFill="1" applyBorder="1"/>
    <xf numFmtId="44" fontId="3" fillId="21" borderId="0" xfId="3" applyFont="1" applyFill="1"/>
    <xf numFmtId="0" fontId="43" fillId="2" borderId="0" xfId="0" applyFont="1" applyFill="1" applyBorder="1" applyAlignment="1">
      <alignment horizontal="right" vertical="center" wrapText="1"/>
    </xf>
    <xf numFmtId="173" fontId="3" fillId="21" borderId="8" xfId="16" applyFont="1" applyFill="1" applyBorder="1" applyAlignment="1" applyProtection="1">
      <alignment horizontal="center" wrapText="1"/>
    </xf>
    <xf numFmtId="173" fontId="3" fillId="21" borderId="8" xfId="16" applyFont="1" applyFill="1" applyBorder="1" applyProtection="1"/>
    <xf numFmtId="3" fontId="11" fillId="3" borderId="8" xfId="16" applyNumberFormat="1" applyFont="1" applyFill="1" applyBorder="1" applyProtection="1"/>
    <xf numFmtId="2" fontId="11" fillId="3" borderId="8" xfId="16" applyNumberFormat="1" applyFont="1" applyFill="1" applyBorder="1" applyAlignment="1" applyProtection="1">
      <alignment horizontal="center"/>
    </xf>
    <xf numFmtId="178" fontId="11" fillId="3" borderId="8" xfId="3" applyNumberFormat="1" applyFont="1" applyFill="1" applyBorder="1" applyAlignment="1" applyProtection="1">
      <alignment horizontal="center"/>
      <protection locked="0"/>
    </xf>
    <xf numFmtId="173" fontId="1" fillId="21" borderId="2" xfId="16" applyFont="1" applyFill="1" applyBorder="1" applyProtection="1"/>
    <xf numFmtId="173" fontId="1" fillId="21" borderId="3" xfId="16" applyFont="1" applyFill="1" applyBorder="1" applyProtection="1"/>
    <xf numFmtId="173" fontId="1" fillId="21" borderId="4" xfId="16" applyFont="1" applyFill="1" applyBorder="1" applyProtection="1"/>
    <xf numFmtId="173" fontId="3" fillId="21" borderId="100" xfId="16" applyFont="1" applyFill="1" applyBorder="1" applyProtection="1"/>
    <xf numFmtId="173" fontId="1" fillId="21" borderId="138" xfId="16" applyFont="1" applyFill="1" applyBorder="1" applyProtection="1"/>
    <xf numFmtId="3" fontId="11" fillId="3" borderId="100" xfId="16" applyNumberFormat="1" applyFont="1" applyFill="1" applyBorder="1" applyProtection="1"/>
    <xf numFmtId="2" fontId="11" fillId="3" borderId="100" xfId="16" applyNumberFormat="1" applyFont="1" applyFill="1" applyBorder="1" applyAlignment="1" applyProtection="1">
      <alignment horizontal="center"/>
    </xf>
    <xf numFmtId="178" fontId="11" fillId="3" borderId="100" xfId="3" applyNumberFormat="1" applyFont="1" applyFill="1" applyBorder="1" applyAlignment="1" applyProtection="1">
      <alignment horizontal="center"/>
      <protection locked="0"/>
    </xf>
    <xf numFmtId="9" fontId="1" fillId="21" borderId="4" xfId="16" applyNumberFormat="1" applyFont="1" applyFill="1" applyBorder="1" applyProtection="1"/>
    <xf numFmtId="173" fontId="1" fillId="21" borderId="0" xfId="16" applyFont="1" applyFill="1" applyBorder="1" applyProtection="1"/>
    <xf numFmtId="173" fontId="1" fillId="21" borderId="5" xfId="16" applyFont="1" applyFill="1" applyBorder="1" applyProtection="1"/>
    <xf numFmtId="0" fontId="1" fillId="21" borderId="138" xfId="0" applyFont="1" applyFill="1" applyBorder="1" applyProtection="1"/>
    <xf numFmtId="173" fontId="1" fillId="21" borderId="145" xfId="16" applyFont="1" applyFill="1" applyBorder="1" applyProtection="1"/>
    <xf numFmtId="181" fontId="11" fillId="3" borderId="134" xfId="16" applyNumberFormat="1" applyFont="1" applyFill="1" applyBorder="1" applyAlignment="1" applyProtection="1">
      <alignment horizontal="center"/>
      <protection locked="0"/>
    </xf>
    <xf numFmtId="173" fontId="1" fillId="21" borderId="59" xfId="16" applyFont="1" applyFill="1" applyBorder="1" applyProtection="1"/>
    <xf numFmtId="173" fontId="1" fillId="21" borderId="87" xfId="16" applyFont="1" applyFill="1" applyBorder="1" applyProtection="1"/>
    <xf numFmtId="173" fontId="3" fillId="21" borderId="41" xfId="16" applyFont="1" applyFill="1" applyBorder="1" applyAlignment="1" applyProtection="1">
      <alignment horizontal="center" wrapText="1"/>
    </xf>
    <xf numFmtId="173" fontId="3" fillId="21" borderId="42" xfId="16" applyFont="1" applyFill="1" applyBorder="1" applyAlignment="1" applyProtection="1">
      <alignment horizontal="center"/>
    </xf>
    <xf numFmtId="173" fontId="3" fillId="21" borderId="42" xfId="16" applyFont="1" applyFill="1" applyBorder="1" applyAlignment="1" applyProtection="1">
      <alignment horizontal="center" wrapText="1"/>
    </xf>
    <xf numFmtId="173" fontId="3" fillId="21" borderId="43" xfId="16" applyFont="1" applyFill="1" applyBorder="1" applyAlignment="1" applyProtection="1">
      <alignment horizontal="center" wrapText="1"/>
    </xf>
    <xf numFmtId="173" fontId="3" fillId="21" borderId="85" xfId="16" applyFont="1" applyFill="1" applyBorder="1" applyAlignment="1" applyProtection="1">
      <alignment horizontal="center" wrapText="1"/>
    </xf>
    <xf numFmtId="173" fontId="3" fillId="21" borderId="150" xfId="16" applyFont="1" applyFill="1" applyBorder="1" applyAlignment="1" applyProtection="1">
      <alignment horizontal="center" wrapText="1"/>
    </xf>
    <xf numFmtId="6" fontId="11" fillId="3" borderId="159" xfId="16" applyNumberFormat="1" applyFont="1" applyFill="1" applyBorder="1" applyProtection="1"/>
    <xf numFmtId="6" fontId="11" fillId="3" borderId="100" xfId="16" applyNumberFormat="1" applyFont="1" applyFill="1" applyBorder="1" applyProtection="1"/>
    <xf numFmtId="6" fontId="1" fillId="3" borderId="100" xfId="16" applyNumberFormat="1" applyFont="1" applyFill="1" applyBorder="1" applyProtection="1"/>
    <xf numFmtId="6" fontId="11" fillId="3" borderId="101" xfId="16" applyNumberFormat="1" applyFont="1" applyFill="1" applyBorder="1" applyProtection="1"/>
    <xf numFmtId="172" fontId="11" fillId="3" borderId="48" xfId="1" applyNumberFormat="1" applyFont="1" applyFill="1" applyBorder="1" applyProtection="1"/>
    <xf numFmtId="172" fontId="11" fillId="3" borderId="49" xfId="1" applyNumberFormat="1" applyFont="1" applyFill="1" applyBorder="1" applyProtection="1"/>
    <xf numFmtId="172" fontId="1" fillId="3" borderId="49" xfId="1" applyNumberFormat="1" applyFont="1" applyFill="1" applyBorder="1" applyProtection="1"/>
    <xf numFmtId="172" fontId="11" fillId="3" borderId="50" xfId="1" applyNumberFormat="1" applyFont="1" applyFill="1" applyBorder="1" applyProtection="1"/>
    <xf numFmtId="165" fontId="11" fillId="3" borderId="37" xfId="16" applyNumberFormat="1" applyFont="1" applyFill="1" applyBorder="1" applyProtection="1"/>
    <xf numFmtId="170" fontId="11" fillId="3" borderId="37" xfId="16" applyNumberFormat="1" applyFont="1" applyFill="1" applyBorder="1" applyProtection="1"/>
    <xf numFmtId="6" fontId="11" fillId="3" borderId="37" xfId="16" applyNumberFormat="1" applyFont="1" applyFill="1" applyBorder="1" applyProtection="1"/>
    <xf numFmtId="164" fontId="1" fillId="3" borderId="37" xfId="17" applyNumberFormat="1" applyFill="1" applyBorder="1" applyProtection="1"/>
    <xf numFmtId="6" fontId="11" fillId="3" borderId="160" xfId="16" applyNumberFormat="1" applyFont="1" applyFill="1" applyBorder="1" applyProtection="1"/>
    <xf numFmtId="6" fontId="11" fillId="3" borderId="60" xfId="16" applyNumberFormat="1" applyFont="1" applyFill="1" applyBorder="1" applyProtection="1"/>
    <xf numFmtId="6" fontId="11" fillId="3" borderId="55" xfId="16" applyNumberFormat="1" applyFont="1" applyFill="1" applyBorder="1" applyProtection="1"/>
    <xf numFmtId="6" fontId="1" fillId="3" borderId="55" xfId="16" applyNumberFormat="1" applyFont="1" applyFill="1" applyBorder="1" applyProtection="1"/>
    <xf numFmtId="6" fontId="11" fillId="3" borderId="161"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3" fillId="21" borderId="162" xfId="16" applyFont="1" applyFill="1" applyBorder="1" applyAlignment="1" applyProtection="1">
      <alignment horizontal="center" wrapText="1"/>
    </xf>
    <xf numFmtId="173" fontId="3" fillId="21" borderId="163" xfId="16" applyFont="1" applyFill="1" applyBorder="1" applyAlignment="1" applyProtection="1">
      <alignment horizontal="center" wrapText="1"/>
    </xf>
    <xf numFmtId="173" fontId="3" fillId="21" borderId="158" xfId="16" applyFont="1" applyFill="1" applyBorder="1" applyAlignment="1" applyProtection="1">
      <alignment horizontal="center" wrapText="1"/>
    </xf>
    <xf numFmtId="6" fontId="11" fillId="3" borderId="164" xfId="16" applyNumberFormat="1" applyFont="1" applyFill="1" applyBorder="1" applyProtection="1"/>
    <xf numFmtId="6" fontId="11" fillId="3" borderId="138" xfId="16" applyNumberFormat="1" applyFont="1" applyFill="1" applyBorder="1" applyProtection="1"/>
    <xf numFmtId="6" fontId="1" fillId="3" borderId="138" xfId="16" applyNumberFormat="1" applyFont="1" applyFill="1" applyBorder="1" applyProtection="1"/>
    <xf numFmtId="6" fontId="11" fillId="3" borderId="165" xfId="16" applyNumberFormat="1" applyFont="1" applyFill="1" applyBorder="1" applyProtection="1"/>
    <xf numFmtId="165" fontId="11" fillId="0" borderId="137" xfId="16" applyNumberFormat="1" applyFont="1" applyFill="1" applyBorder="1" applyProtection="1"/>
    <xf numFmtId="170" fontId="11" fillId="3" borderId="135" xfId="16" applyNumberFormat="1" applyFont="1" applyFill="1" applyBorder="1" applyProtection="1"/>
    <xf numFmtId="170" fontId="11" fillId="3" borderId="99" xfId="16" applyNumberFormat="1" applyFont="1" applyFill="1" applyBorder="1" applyProtection="1"/>
    <xf numFmtId="173" fontId="11" fillId="0" borderId="165" xfId="16" applyFont="1" applyFill="1" applyBorder="1" applyProtection="1"/>
    <xf numFmtId="173" fontId="11" fillId="0" borderId="148" xfId="16" applyFont="1" applyFill="1" applyBorder="1" applyProtection="1"/>
    <xf numFmtId="6" fontId="11" fillId="3" borderId="149" xfId="16" applyNumberFormat="1" applyFont="1" applyFill="1" applyBorder="1" applyProtection="1"/>
    <xf numFmtId="6" fontId="11" fillId="3" borderId="153" xfId="16" applyNumberFormat="1" applyFont="1" applyFill="1" applyBorder="1" applyProtection="1"/>
    <xf numFmtId="173" fontId="11" fillId="0" borderId="123" xfId="16" applyFont="1" applyBorder="1" applyProtection="1"/>
    <xf numFmtId="43" fontId="11" fillId="3" borderId="149" xfId="1" applyFont="1" applyFill="1" applyBorder="1" applyProtection="1"/>
    <xf numFmtId="184" fontId="11" fillId="3" borderId="149" xfId="16" applyNumberFormat="1" applyFont="1" applyFill="1" applyBorder="1" applyProtection="1"/>
    <xf numFmtId="173" fontId="11" fillId="0" borderId="64" xfId="16" applyFont="1" applyBorder="1" applyProtection="1"/>
    <xf numFmtId="173" fontId="1" fillId="0" borderId="166" xfId="16" applyFont="1" applyFill="1" applyBorder="1" applyProtection="1"/>
    <xf numFmtId="173" fontId="1" fillId="0" borderId="145" xfId="16" applyFont="1" applyFill="1" applyBorder="1" applyProtection="1"/>
    <xf numFmtId="0" fontId="3" fillId="21" borderId="169" xfId="0" applyFont="1" applyFill="1" applyBorder="1"/>
    <xf numFmtId="165" fontId="0" fillId="20" borderId="8" xfId="0" applyNumberFormat="1" applyFill="1" applyBorder="1"/>
    <xf numFmtId="0" fontId="70" fillId="21" borderId="8" xfId="0" applyFont="1" applyFill="1" applyBorder="1" applyAlignment="1">
      <alignment vertical="center" wrapText="1"/>
    </xf>
    <xf numFmtId="44" fontId="70" fillId="21" borderId="8" xfId="3" applyFont="1" applyFill="1" applyBorder="1" applyAlignment="1">
      <alignment vertical="center" wrapText="1"/>
    </xf>
    <xf numFmtId="7" fontId="1" fillId="5" borderId="57" xfId="0" applyNumberFormat="1" applyFont="1" applyFill="1" applyBorder="1" applyAlignment="1">
      <alignment vertical="top" wrapText="1"/>
    </xf>
    <xf numFmtId="9" fontId="0" fillId="20" borderId="55" xfId="0" applyNumberFormat="1" applyFill="1" applyBorder="1"/>
    <xf numFmtId="0" fontId="40" fillId="2" borderId="0" xfId="0" applyFont="1" applyFill="1" applyBorder="1" applyAlignment="1">
      <alignment vertical="center" wrapText="1"/>
    </xf>
    <xf numFmtId="0" fontId="3" fillId="20" borderId="8" xfId="0" applyFont="1" applyFill="1" applyBorder="1" applyAlignment="1">
      <alignment horizontal="center" wrapText="1"/>
    </xf>
    <xf numFmtId="0" fontId="1" fillId="20" borderId="8" xfId="0" applyFont="1" applyFill="1" applyBorder="1" applyAlignment="1">
      <alignment wrapText="1"/>
    </xf>
    <xf numFmtId="0" fontId="3" fillId="20" borderId="8" xfId="0" applyFont="1" applyFill="1" applyBorder="1" applyAlignment="1">
      <alignment wrapText="1"/>
    </xf>
    <xf numFmtId="14" fontId="1" fillId="6" borderId="8" xfId="0" applyNumberFormat="1" applyFont="1" applyFill="1" applyBorder="1" applyAlignment="1" applyProtection="1">
      <alignment wrapText="1"/>
      <protection locked="0"/>
    </xf>
    <xf numFmtId="0" fontId="1" fillId="6" borderId="19" xfId="0" applyFont="1" applyFill="1" applyBorder="1" applyAlignment="1" applyProtection="1">
      <alignment wrapText="1"/>
      <protection locked="0"/>
    </xf>
    <xf numFmtId="185" fontId="11" fillId="3" borderId="30" xfId="16" applyNumberFormat="1" applyFont="1" applyFill="1" applyBorder="1" applyProtection="1"/>
    <xf numFmtId="185" fontId="11" fillId="3" borderId="167" xfId="16" applyNumberFormat="1" applyFont="1" applyFill="1" applyBorder="1" applyProtection="1"/>
    <xf numFmtId="185" fontId="11" fillId="0" borderId="29" xfId="16" applyNumberFormat="1" applyFont="1" applyBorder="1" applyProtection="1"/>
    <xf numFmtId="185" fontId="11" fillId="0" borderId="30" xfId="16" applyNumberFormat="1" applyFont="1" applyBorder="1" applyProtection="1"/>
    <xf numFmtId="185" fontId="11" fillId="3" borderId="136" xfId="16" applyNumberFormat="1" applyFont="1" applyFill="1" applyBorder="1" applyProtection="1"/>
    <xf numFmtId="185" fontId="11" fillId="3" borderId="101" xfId="16" applyNumberFormat="1" applyFont="1" applyFill="1" applyBorder="1" applyProtection="1"/>
    <xf numFmtId="185" fontId="11" fillId="0" borderId="103" xfId="16" applyNumberFormat="1" applyFont="1" applyBorder="1" applyProtection="1"/>
    <xf numFmtId="185" fontId="11" fillId="0" borderId="136" xfId="16" applyNumberFormat="1" applyFont="1" applyBorder="1" applyProtection="1"/>
    <xf numFmtId="174" fontId="3" fillId="3" borderId="19" xfId="16" applyNumberFormat="1" applyFont="1" applyFill="1" applyBorder="1" applyAlignment="1" applyProtection="1">
      <alignment horizontal="center"/>
    </xf>
    <xf numFmtId="0" fontId="0" fillId="20" borderId="30" xfId="0" applyFill="1" applyBorder="1" applyAlignment="1">
      <alignment horizontal="center"/>
    </xf>
    <xf numFmtId="9" fontId="0" fillId="20" borderId="30" xfId="17" applyFont="1" applyFill="1" applyBorder="1"/>
    <xf numFmtId="44" fontId="1" fillId="20" borderId="30" xfId="3" applyFont="1" applyFill="1" applyBorder="1"/>
    <xf numFmtId="44" fontId="0" fillId="20" borderId="30" xfId="3" applyFont="1" applyFill="1" applyBorder="1"/>
    <xf numFmtId="0" fontId="0" fillId="19" borderId="170" xfId="0" applyFill="1" applyBorder="1" applyAlignment="1">
      <alignment horizontal="center"/>
    </xf>
    <xf numFmtId="9" fontId="0" fillId="20" borderId="170" xfId="17" applyFont="1" applyFill="1" applyBorder="1"/>
    <xf numFmtId="0" fontId="0" fillId="21" borderId="169" xfId="0" applyFill="1" applyBorder="1"/>
    <xf numFmtId="44" fontId="1" fillId="20" borderId="170" xfId="3" applyFont="1" applyFill="1" applyBorder="1"/>
    <xf numFmtId="44" fontId="0" fillId="20" borderId="170" xfId="3" applyFont="1" applyFill="1" applyBorder="1"/>
    <xf numFmtId="0" fontId="1" fillId="21" borderId="8" xfId="0" applyFont="1" applyFill="1" applyBorder="1"/>
    <xf numFmtId="0" fontId="0" fillId="21" borderId="8" xfId="0" applyFill="1" applyBorder="1"/>
    <xf numFmtId="44" fontId="11" fillId="3" borderId="128" xfId="3" applyFont="1" applyFill="1" applyBorder="1" applyAlignment="1" applyProtection="1">
      <alignment horizontal="center"/>
    </xf>
    <xf numFmtId="44" fontId="11" fillId="3" borderId="108" xfId="3" applyFont="1" applyFill="1" applyBorder="1" applyAlignment="1" applyProtection="1">
      <alignment horizontal="center"/>
    </xf>
    <xf numFmtId="44" fontId="11" fillId="3" borderId="132" xfId="3" applyFont="1" applyFill="1" applyBorder="1" applyAlignment="1" applyProtection="1">
      <alignment horizontal="center"/>
    </xf>
    <xf numFmtId="44" fontId="11" fillId="0" borderId="82" xfId="3" applyFont="1" applyFill="1" applyBorder="1" applyAlignment="1" applyProtection="1">
      <alignment horizontal="center"/>
    </xf>
    <xf numFmtId="44" fontId="0" fillId="21" borderId="0" xfId="0" applyNumberFormat="1" applyFill="1"/>
    <xf numFmtId="0" fontId="71" fillId="21" borderId="0" xfId="0" applyFont="1" applyFill="1"/>
    <xf numFmtId="0" fontId="1" fillId="0" borderId="126" xfId="0" applyFont="1" applyBorder="1" applyAlignment="1">
      <alignment horizontal="centerContinuous" vertical="top" wrapText="1"/>
    </xf>
    <xf numFmtId="180" fontId="1" fillId="6" borderId="7" xfId="0" applyNumberFormat="1" applyFont="1" applyFill="1" applyBorder="1" applyAlignment="1">
      <alignment horizontal="center"/>
    </xf>
    <xf numFmtId="180" fontId="1" fillId="6" borderId="110" xfId="0" applyNumberFormat="1" applyFont="1" applyFill="1" applyBorder="1" applyAlignment="1">
      <alignment horizontal="center"/>
    </xf>
    <xf numFmtId="0" fontId="1" fillId="6" borderId="6" xfId="7" applyFont="1" applyFill="1" applyBorder="1" applyAlignment="1">
      <alignment horizontal="center"/>
    </xf>
    <xf numFmtId="4" fontId="1" fillId="6" borderId="7" xfId="14" applyNumberFormat="1" applyFont="1" applyFill="1" applyBorder="1"/>
    <xf numFmtId="4" fontId="1" fillId="6" borderId="110" xfId="14" applyNumberFormat="1" applyFont="1" applyFill="1" applyBorder="1"/>
    <xf numFmtId="39" fontId="1" fillId="6" borderId="7" xfId="0" applyNumberFormat="1" applyFont="1" applyFill="1" applyBorder="1"/>
    <xf numFmtId="166" fontId="1" fillId="6" borderId="7" xfId="12" applyNumberFormat="1" applyFont="1" applyFill="1" applyBorder="1"/>
    <xf numFmtId="166" fontId="1" fillId="6" borderId="7" xfId="0" applyNumberFormat="1" applyFont="1" applyFill="1" applyBorder="1" applyAlignment="1">
      <alignment horizontal="right"/>
    </xf>
    <xf numFmtId="166" fontId="7" fillId="6" borderId="7" xfId="9" applyNumberFormat="1" applyFont="1" applyFill="1" applyBorder="1"/>
    <xf numFmtId="0" fontId="1" fillId="6" borderId="67" xfId="7" applyFont="1" applyFill="1" applyBorder="1" applyAlignment="1">
      <alignment horizontal="center"/>
    </xf>
    <xf numFmtId="166" fontId="7" fillId="6" borderId="110" xfId="9" applyNumberFormat="1" applyFont="1" applyFill="1" applyBorder="1"/>
    <xf numFmtId="0" fontId="40" fillId="2" borderId="4" xfId="0" applyFont="1" applyFill="1" applyBorder="1" applyAlignment="1">
      <alignment horizontal="left" vertical="center" wrapText="1"/>
    </xf>
    <xf numFmtId="0" fontId="43" fillId="2" borderId="4" xfId="0" applyFont="1" applyFill="1" applyBorder="1" applyAlignment="1">
      <alignment horizontal="left" vertical="center" wrapText="1"/>
    </xf>
    <xf numFmtId="0" fontId="11" fillId="21" borderId="1" xfId="0" applyFont="1" applyFill="1" applyBorder="1"/>
    <xf numFmtId="0" fontId="0" fillId="21" borderId="4" xfId="0" applyFill="1" applyBorder="1"/>
    <xf numFmtId="0" fontId="11" fillId="21" borderId="4" xfId="0" applyFont="1" applyFill="1" applyBorder="1"/>
    <xf numFmtId="0" fontId="11" fillId="21" borderId="144" xfId="0" applyFont="1" applyFill="1" applyBorder="1"/>
    <xf numFmtId="167" fontId="11" fillId="21" borderId="0" xfId="0" applyNumberFormat="1" applyFont="1" applyFill="1" applyBorder="1"/>
    <xf numFmtId="167" fontId="0" fillId="21" borderId="0" xfId="0" applyNumberFormat="1" applyFill="1" applyBorder="1"/>
    <xf numFmtId="167" fontId="11" fillId="21" borderId="2" xfId="7" applyNumberFormat="1" applyFill="1" applyBorder="1"/>
    <xf numFmtId="167" fontId="11" fillId="21" borderId="0" xfId="7" applyNumberFormat="1" applyFill="1" applyBorder="1"/>
    <xf numFmtId="167" fontId="11" fillId="21" borderId="59" xfId="7" applyNumberFormat="1" applyFill="1" applyBorder="1"/>
    <xf numFmtId="0" fontId="3" fillId="21" borderId="65" xfId="0" applyFont="1" applyFill="1" applyBorder="1"/>
    <xf numFmtId="0" fontId="3" fillId="21" borderId="59" xfId="0" applyFont="1" applyFill="1" applyBorder="1" applyAlignment="1">
      <alignment wrapText="1"/>
    </xf>
    <xf numFmtId="0" fontId="0" fillId="21" borderId="79" xfId="0" applyFill="1" applyBorder="1"/>
    <xf numFmtId="0" fontId="0" fillId="21" borderId="6" xfId="0" applyFill="1" applyBorder="1"/>
    <xf numFmtId="0" fontId="11" fillId="21" borderId="6" xfId="0" applyFont="1" applyFill="1" applyBorder="1" applyAlignment="1">
      <alignment horizontal="left"/>
    </xf>
    <xf numFmtId="0" fontId="1" fillId="21" borderId="4" xfId="0" applyFont="1" applyFill="1" applyBorder="1"/>
    <xf numFmtId="0" fontId="1" fillId="21" borderId="6" xfId="0" applyFont="1" applyFill="1" applyBorder="1"/>
    <xf numFmtId="0" fontId="1" fillId="6" borderId="99" xfId="0" applyFont="1" applyFill="1" applyBorder="1" applyAlignment="1" applyProtection="1">
      <alignment horizontal="left" wrapText="1"/>
      <protection locked="0"/>
    </xf>
    <xf numFmtId="0" fontId="1" fillId="6" borderId="100" xfId="0" applyFont="1" applyFill="1" applyBorder="1" applyAlignment="1" applyProtection="1">
      <alignment wrapText="1"/>
      <protection locked="0"/>
    </xf>
    <xf numFmtId="15" fontId="1" fillId="6" borderId="100" xfId="0" applyNumberFormat="1" applyFont="1" applyFill="1" applyBorder="1" applyAlignment="1" applyProtection="1">
      <alignment horizontal="left" wrapText="1"/>
      <protection locked="0"/>
    </xf>
    <xf numFmtId="0" fontId="1" fillId="0" borderId="0" xfId="0" applyFont="1" applyFill="1" applyBorder="1" applyAlignment="1" applyProtection="1">
      <alignment wrapText="1"/>
      <protection locked="0"/>
    </xf>
    <xf numFmtId="0" fontId="1" fillId="6" borderId="19" xfId="0" applyFont="1" applyFill="1" applyBorder="1" applyAlignment="1" applyProtection="1">
      <alignment horizontal="left" wrapText="1"/>
      <protection locked="0"/>
    </xf>
    <xf numFmtId="0" fontId="1" fillId="6" borderId="23" xfId="0" applyFont="1" applyFill="1" applyBorder="1" applyAlignment="1" applyProtection="1">
      <alignment wrapText="1"/>
      <protection locked="0"/>
    </xf>
    <xf numFmtId="0" fontId="1" fillId="6" borderId="8" xfId="0" applyFont="1" applyFill="1" applyBorder="1" applyAlignment="1" applyProtection="1">
      <alignment wrapText="1"/>
      <protection locked="0"/>
    </xf>
    <xf numFmtId="0" fontId="1" fillId="5" borderId="62" xfId="0" applyFont="1" applyFill="1" applyBorder="1" applyAlignment="1">
      <alignment vertical="top" wrapText="1"/>
    </xf>
    <xf numFmtId="169" fontId="14" fillId="3" borderId="57" xfId="0" applyNumberFormat="1" applyFont="1" applyFill="1" applyBorder="1" applyAlignment="1">
      <alignment vertical="center" wrapText="1"/>
    </xf>
    <xf numFmtId="164" fontId="0" fillId="5" borderId="137" xfId="17" applyNumberFormat="1" applyFont="1" applyFill="1" applyBorder="1" applyAlignment="1">
      <alignment vertical="top" wrapText="1"/>
    </xf>
    <xf numFmtId="0" fontId="1" fillId="5" borderId="137" xfId="0" applyFont="1" applyFill="1" applyBorder="1" applyAlignment="1" applyProtection="1">
      <alignment horizontal="left" wrapText="1"/>
      <protection locked="0"/>
    </xf>
    <xf numFmtId="0" fontId="1" fillId="5" borderId="138" xfId="0" applyFont="1" applyFill="1" applyBorder="1" applyAlignment="1" applyProtection="1">
      <alignment horizontal="left" wrapText="1"/>
      <protection locked="0"/>
    </xf>
    <xf numFmtId="2" fontId="1" fillId="5" borderId="146" xfId="0" applyNumberFormat="1" applyFont="1" applyFill="1" applyBorder="1" applyAlignment="1" applyProtection="1">
      <alignment wrapText="1"/>
      <protection locked="0"/>
    </xf>
    <xf numFmtId="2" fontId="1" fillId="5" borderId="141" xfId="0" applyNumberFormat="1" applyFont="1" applyFill="1" applyBorder="1" applyAlignment="1" applyProtection="1">
      <alignment wrapText="1"/>
      <protection locked="0"/>
    </xf>
    <xf numFmtId="170" fontId="11" fillId="3" borderId="57" xfId="0" applyNumberFormat="1" applyFont="1" applyFill="1" applyBorder="1" applyAlignment="1">
      <alignment vertical="top" wrapText="1"/>
    </xf>
    <xf numFmtId="173" fontId="5" fillId="2" borderId="63" xfId="16" applyFont="1" applyFill="1" applyBorder="1" applyAlignment="1" applyProtection="1">
      <alignment vertical="top" wrapText="1"/>
    </xf>
    <xf numFmtId="0" fontId="5" fillId="2" borderId="98" xfId="0" applyFont="1" applyFill="1" applyBorder="1" applyAlignment="1">
      <alignment vertical="top" wrapText="1"/>
    </xf>
    <xf numFmtId="0" fontId="5" fillId="2" borderId="108" xfId="0" applyFont="1" applyFill="1" applyBorder="1" applyAlignment="1">
      <alignment vertical="top" wrapText="1"/>
    </xf>
    <xf numFmtId="173" fontId="47" fillId="2" borderId="63" xfId="16" applyFont="1" applyFill="1" applyBorder="1" applyAlignment="1" applyProtection="1">
      <alignment horizontal="right"/>
    </xf>
    <xf numFmtId="169" fontId="47" fillId="2" borderId="98" xfId="0" applyNumberFormat="1" applyFont="1" applyFill="1" applyBorder="1" applyAlignment="1">
      <alignment vertical="top" wrapText="1"/>
    </xf>
    <xf numFmtId="169" fontId="47" fillId="2" borderId="108" xfId="0" applyNumberFormat="1" applyFont="1" applyFill="1" applyBorder="1" applyAlignment="1">
      <alignment vertical="top" wrapText="1"/>
    </xf>
    <xf numFmtId="173" fontId="5" fillId="2" borderId="109" xfId="16" applyFont="1" applyFill="1" applyBorder="1" applyProtection="1"/>
    <xf numFmtId="169" fontId="47" fillId="2" borderId="120" xfId="0" applyNumberFormat="1" applyFont="1" applyFill="1" applyBorder="1" applyAlignment="1">
      <alignment vertical="top" wrapText="1"/>
    </xf>
    <xf numFmtId="169" fontId="47" fillId="2" borderId="111" xfId="0" applyNumberFormat="1" applyFont="1" applyFill="1" applyBorder="1" applyAlignment="1">
      <alignment vertical="top" wrapText="1"/>
    </xf>
    <xf numFmtId="0" fontId="0" fillId="0" borderId="0" xfId="0" applyBorder="1" applyAlignment="1">
      <alignment vertical="top" wrapText="1"/>
    </xf>
    <xf numFmtId="0" fontId="0" fillId="0" borderId="0" xfId="0" applyBorder="1" applyAlignment="1">
      <alignment vertical="top" wrapText="1"/>
    </xf>
    <xf numFmtId="0" fontId="38" fillId="0" borderId="6" xfId="0" applyFont="1" applyFill="1" applyBorder="1" applyAlignment="1">
      <alignment vertical="top" wrapText="1"/>
    </xf>
    <xf numFmtId="0" fontId="1" fillId="0" borderId="6" xfId="0" applyFont="1" applyBorder="1" applyAlignment="1">
      <alignment horizontal="left" vertical="top" wrapText="1" indent="1"/>
    </xf>
    <xf numFmtId="0" fontId="3" fillId="0" borderId="6" xfId="0" applyFont="1" applyBorder="1" applyAlignment="1">
      <alignment horizontal="left" vertical="top" wrapText="1" indent="1"/>
    </xf>
    <xf numFmtId="0" fontId="1" fillId="0" borderId="0" xfId="0" applyFont="1" applyBorder="1" applyAlignment="1">
      <alignment horizontal="left" vertical="top" wrapText="1" indent="1"/>
    </xf>
    <xf numFmtId="0" fontId="1" fillId="0" borderId="0" xfId="0" applyFont="1" applyBorder="1" applyAlignment="1">
      <alignment vertical="top" wrapText="1"/>
    </xf>
    <xf numFmtId="0" fontId="1" fillId="0" borderId="0" xfId="0" applyFont="1" applyBorder="1" applyAlignment="1">
      <alignment vertical="top"/>
    </xf>
    <xf numFmtId="0" fontId="1" fillId="0" borderId="0" xfId="0" applyFont="1" applyAlignment="1">
      <alignment vertical="top" wrapText="1"/>
    </xf>
    <xf numFmtId="1" fontId="72" fillId="0" borderId="0" xfId="0" applyNumberFormat="1" applyFont="1" applyBorder="1" applyAlignment="1">
      <alignment vertical="top" wrapText="1"/>
    </xf>
    <xf numFmtId="0" fontId="0" fillId="0" borderId="0" xfId="0" applyBorder="1" applyAlignment="1">
      <alignment vertical="top" wrapText="1"/>
    </xf>
    <xf numFmtId="0" fontId="0" fillId="0" borderId="130" xfId="0" applyBorder="1" applyAlignment="1">
      <alignment vertical="top" wrapText="1"/>
    </xf>
    <xf numFmtId="0" fontId="1" fillId="0" borderId="0" xfId="0" applyFont="1" applyAlignment="1">
      <alignment vertical="top"/>
    </xf>
    <xf numFmtId="0" fontId="1" fillId="0" borderId="67" xfId="0" applyFont="1" applyBorder="1" applyAlignment="1">
      <alignment horizontal="left" vertical="top" wrapText="1" indent="1"/>
    </xf>
    <xf numFmtId="172" fontId="0" fillId="0" borderId="0" xfId="1" applyNumberFormat="1" applyFont="1" applyAlignment="1">
      <alignment vertical="top" wrapText="1"/>
    </xf>
    <xf numFmtId="0" fontId="1" fillId="0" borderId="0" xfId="0" applyFont="1" applyAlignment="1">
      <alignment wrapText="1"/>
    </xf>
    <xf numFmtId="172" fontId="72" fillId="0" borderId="0" xfId="1" applyNumberFormat="1" applyFont="1" applyBorder="1" applyAlignment="1">
      <alignment vertical="top" wrapText="1"/>
    </xf>
    <xf numFmtId="186" fontId="7" fillId="0" borderId="0" xfId="20" applyNumberFormat="1" applyFont="1" applyFill="1" applyAlignment="1">
      <alignment horizontal="right"/>
    </xf>
    <xf numFmtId="10" fontId="0" fillId="0" borderId="0" xfId="17" applyNumberFormat="1" applyFont="1"/>
    <xf numFmtId="2" fontId="14" fillId="3" borderId="37" xfId="0" applyNumberFormat="1" applyFont="1" applyFill="1" applyBorder="1" applyAlignment="1">
      <alignment vertical="top" wrapText="1"/>
    </xf>
    <xf numFmtId="186" fontId="7" fillId="0" borderId="0" xfId="20" applyNumberFormat="1" applyFont="1" applyFill="1" applyAlignment="1">
      <alignment horizontal="right"/>
    </xf>
    <xf numFmtId="0" fontId="0" fillId="0" borderId="129" xfId="0" applyBorder="1" applyAlignment="1">
      <alignment vertical="top" wrapText="1"/>
    </xf>
    <xf numFmtId="172" fontId="1" fillId="0" borderId="0" xfId="1" applyNumberFormat="1" applyFont="1" applyBorder="1" applyAlignment="1">
      <alignment vertical="top" wrapText="1"/>
    </xf>
    <xf numFmtId="43" fontId="0" fillId="0" borderId="0" xfId="0" applyNumberFormat="1" applyBorder="1" applyAlignment="1">
      <alignment vertical="top" wrapText="1"/>
    </xf>
    <xf numFmtId="0" fontId="0" fillId="0" borderId="0" xfId="0" applyBorder="1" applyAlignment="1">
      <alignment vertical="top" wrapText="1"/>
    </xf>
    <xf numFmtId="1" fontId="14" fillId="3" borderId="8" xfId="0" applyNumberFormat="1" applyFont="1" applyFill="1" applyBorder="1" applyAlignment="1">
      <alignment vertical="top" wrapText="1"/>
    </xf>
    <xf numFmtId="0" fontId="0" fillId="4" borderId="8" xfId="0" applyFill="1" applyBorder="1" applyAlignment="1">
      <alignment vertical="top" wrapText="1"/>
    </xf>
    <xf numFmtId="3" fontId="14" fillId="5" borderId="8" xfId="0" applyNumberFormat="1" applyFont="1" applyFill="1" applyBorder="1" applyAlignment="1">
      <alignment vertical="top" wrapText="1"/>
    </xf>
    <xf numFmtId="9" fontId="14" fillId="5" borderId="8" xfId="0" applyNumberFormat="1" applyFont="1" applyFill="1" applyBorder="1" applyAlignment="1">
      <alignment vertical="top" wrapText="1"/>
    </xf>
    <xf numFmtId="3" fontId="14" fillId="5" borderId="8" xfId="0" applyNumberFormat="1" applyFont="1" applyFill="1" applyBorder="1" applyAlignment="1">
      <alignment horizontal="right" vertical="top" wrapText="1"/>
    </xf>
    <xf numFmtId="169" fontId="14" fillId="5" borderId="8" xfId="0" applyNumberFormat="1" applyFont="1" applyFill="1" applyBorder="1" applyAlignment="1">
      <alignment vertical="top" wrapText="1"/>
    </xf>
    <xf numFmtId="165" fontId="14" fillId="3" borderId="8" xfId="0" applyNumberFormat="1" applyFont="1" applyFill="1" applyBorder="1" applyAlignment="1">
      <alignment vertical="top" wrapText="1"/>
    </xf>
    <xf numFmtId="0" fontId="0" fillId="6" borderId="55" xfId="0" applyFill="1" applyBorder="1" applyAlignment="1">
      <alignment horizontal="left" vertical="top"/>
    </xf>
    <xf numFmtId="1" fontId="14" fillId="3" borderId="136" xfId="0" quotePrefix="1" applyNumberFormat="1" applyFont="1" applyFill="1" applyBorder="1" applyAlignment="1">
      <alignment vertical="top" wrapText="1"/>
    </xf>
    <xf numFmtId="0" fontId="0" fillId="4" borderId="136" xfId="0" applyFill="1" applyBorder="1" applyAlignment="1">
      <alignment vertical="top" wrapText="1"/>
    </xf>
    <xf numFmtId="1" fontId="14" fillId="3" borderId="136" xfId="0" applyNumberFormat="1" applyFont="1" applyFill="1" applyBorder="1" applyAlignment="1">
      <alignment vertical="top" wrapText="1"/>
    </xf>
    <xf numFmtId="165" fontId="14" fillId="5" borderId="136" xfId="0" applyNumberFormat="1" applyFont="1" applyFill="1" applyBorder="1" applyAlignment="1">
      <alignment vertical="top" wrapText="1"/>
    </xf>
    <xf numFmtId="0" fontId="37" fillId="22" borderId="2" xfId="0" applyFont="1" applyFill="1" applyBorder="1" applyAlignment="1">
      <alignment vertical="top" wrapText="1"/>
    </xf>
    <xf numFmtId="0" fontId="0" fillId="22" borderId="2" xfId="0" applyFill="1" applyBorder="1" applyAlignment="1">
      <alignment vertical="top" wrapText="1"/>
    </xf>
    <xf numFmtId="0" fontId="5" fillId="22" borderId="81" xfId="0" applyFont="1" applyFill="1" applyBorder="1" applyAlignment="1">
      <alignment vertical="top" wrapText="1"/>
    </xf>
    <xf numFmtId="0" fontId="0" fillId="22" borderId="82" xfId="0" applyFill="1" applyBorder="1" applyAlignment="1">
      <alignment vertical="top" wrapText="1"/>
    </xf>
    <xf numFmtId="0" fontId="14" fillId="0" borderId="17" xfId="0" applyFont="1" applyBorder="1" applyAlignment="1">
      <alignment horizontal="left" vertical="top" wrapText="1" indent="1"/>
    </xf>
    <xf numFmtId="0" fontId="14" fillId="0" borderId="173" xfId="0" applyFont="1" applyBorder="1" applyAlignment="1">
      <alignment horizontal="left" vertical="top" wrapText="1" indent="1"/>
    </xf>
    <xf numFmtId="0" fontId="0" fillId="6" borderId="108" xfId="0" applyFill="1" applyBorder="1" applyAlignment="1">
      <alignment horizontal="left" vertical="top"/>
    </xf>
    <xf numFmtId="0" fontId="14" fillId="0" borderId="20" xfId="0" applyFont="1" applyBorder="1" applyAlignment="1">
      <alignment horizontal="left" vertical="top" wrapText="1" indent="1"/>
    </xf>
    <xf numFmtId="0" fontId="0" fillId="4" borderId="22" xfId="0" applyFill="1" applyBorder="1" applyAlignment="1">
      <alignment vertical="top" wrapText="1"/>
    </xf>
    <xf numFmtId="0" fontId="3" fillId="0" borderId="0" xfId="0" applyFont="1" applyBorder="1" applyAlignment="1">
      <alignment vertical="top"/>
    </xf>
    <xf numFmtId="0" fontId="66" fillId="0" borderId="0" xfId="0" applyFont="1"/>
    <xf numFmtId="170" fontId="76" fillId="0" borderId="0" xfId="0" applyNumberFormat="1" applyFont="1" applyFill="1" applyBorder="1" applyAlignment="1">
      <alignment vertical="top" wrapText="1"/>
    </xf>
    <xf numFmtId="187" fontId="7" fillId="0" borderId="0" xfId="20" applyNumberFormat="1" applyFont="1" applyFill="1" applyAlignment="1">
      <alignment horizontal="right"/>
    </xf>
    <xf numFmtId="0" fontId="3" fillId="0" borderId="0" xfId="0" applyFont="1" applyBorder="1" applyAlignment="1">
      <alignment vertical="top" wrapText="1"/>
    </xf>
    <xf numFmtId="0" fontId="1" fillId="0" borderId="0" xfId="0" applyFont="1" applyAlignment="1">
      <alignment horizontal="right"/>
    </xf>
    <xf numFmtId="0" fontId="77" fillId="0" borderId="0" xfId="0" applyFont="1" applyAlignment="1"/>
    <xf numFmtId="0" fontId="77" fillId="0" borderId="0" xfId="0" applyFont="1" applyBorder="1"/>
    <xf numFmtId="0" fontId="14" fillId="5" borderId="8" xfId="0" applyFont="1" applyFill="1" applyBorder="1" applyAlignment="1">
      <alignment vertical="top" wrapText="1"/>
    </xf>
    <xf numFmtId="165" fontId="14" fillId="3" borderId="22" xfId="0" applyNumberFormat="1" applyFont="1" applyFill="1" applyBorder="1" applyAlignment="1">
      <alignment vertical="top" wrapText="1"/>
    </xf>
    <xf numFmtId="0" fontId="38" fillId="21" borderId="24" xfId="0" applyFont="1" applyFill="1" applyBorder="1" applyAlignment="1">
      <alignment horizontal="left" vertical="center" wrapText="1"/>
    </xf>
    <xf numFmtId="0" fontId="37" fillId="21" borderId="76" xfId="0" applyFont="1" applyFill="1" applyBorder="1" applyAlignment="1">
      <alignment vertical="center" wrapText="1"/>
    </xf>
    <xf numFmtId="0" fontId="0" fillId="21" borderId="65" xfId="0" applyFill="1" applyBorder="1" applyAlignment="1">
      <alignment vertical="center" wrapText="1"/>
    </xf>
    <xf numFmtId="0" fontId="0" fillId="21" borderId="66" xfId="0" applyFill="1" applyBorder="1" applyAlignment="1">
      <alignment vertical="center" wrapText="1"/>
    </xf>
    <xf numFmtId="0" fontId="38" fillId="21" borderId="40" xfId="0" applyFont="1" applyFill="1" applyBorder="1" applyAlignment="1">
      <alignment vertical="center" wrapText="1"/>
    </xf>
    <xf numFmtId="0" fontId="37" fillId="21" borderId="106" xfId="0" applyFont="1" applyFill="1" applyBorder="1" applyAlignment="1">
      <alignment vertical="center" wrapText="1"/>
    </xf>
    <xf numFmtId="0" fontId="0" fillId="21" borderId="106" xfId="0" applyFill="1" applyBorder="1" applyAlignment="1">
      <alignment vertical="center" wrapText="1"/>
    </xf>
    <xf numFmtId="0" fontId="0" fillId="21" borderId="107" xfId="0" applyFill="1" applyBorder="1" applyAlignment="1">
      <alignment vertical="center" wrapText="1"/>
    </xf>
    <xf numFmtId="0" fontId="14" fillId="21" borderId="98" xfId="0" applyFont="1" applyFill="1" applyBorder="1" applyAlignment="1">
      <alignment vertical="top" wrapText="1"/>
    </xf>
    <xf numFmtId="0" fontId="14" fillId="21" borderId="108" xfId="0" applyFont="1" applyFill="1" applyBorder="1" applyAlignment="1">
      <alignment vertical="top" wrapText="1"/>
    </xf>
    <xf numFmtId="178" fontId="14" fillId="21" borderId="98" xfId="0" applyNumberFormat="1" applyFont="1" applyFill="1" applyBorder="1" applyAlignment="1">
      <alignment vertical="top" wrapText="1"/>
    </xf>
    <xf numFmtId="0" fontId="5" fillId="21" borderId="108" xfId="0" applyFont="1" applyFill="1" applyBorder="1" applyAlignment="1">
      <alignmen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14" fillId="21" borderId="139" xfId="0" applyFont="1" applyFill="1" applyBorder="1" applyAlignment="1">
      <alignment horizontal="left" vertical="top" wrapText="1"/>
    </xf>
    <xf numFmtId="0" fontId="14" fillId="21" borderId="140" xfId="0" applyFont="1" applyFill="1" applyBorder="1" applyAlignment="1">
      <alignment horizontal="left" vertical="top" wrapText="1"/>
    </xf>
    <xf numFmtId="178" fontId="14" fillId="21" borderId="140" xfId="0" applyNumberFormat="1" applyFont="1" applyFill="1" applyBorder="1" applyAlignment="1">
      <alignment vertical="top" wrapText="1"/>
    </xf>
    <xf numFmtId="0" fontId="14" fillId="21" borderId="125" xfId="0" applyFont="1" applyFill="1" applyBorder="1" applyAlignment="1">
      <alignment vertical="top" wrapText="1"/>
    </xf>
    <xf numFmtId="0" fontId="1" fillId="23" borderId="6" xfId="0" applyFont="1" applyFill="1" applyBorder="1" applyAlignment="1">
      <alignment horizontal="left" vertical="top" wrapText="1" indent="1"/>
    </xf>
    <xf numFmtId="2" fontId="0" fillId="23" borderId="0" xfId="0" applyNumberFormat="1" applyFill="1" applyBorder="1" applyAlignment="1">
      <alignment vertical="top" wrapText="1"/>
    </xf>
    <xf numFmtId="0" fontId="0" fillId="23" borderId="0" xfId="0" applyFill="1" applyBorder="1" applyAlignment="1">
      <alignment vertical="top" wrapText="1"/>
    </xf>
    <xf numFmtId="172" fontId="1" fillId="23" borderId="0" xfId="1" applyNumberFormat="1" applyFont="1" applyFill="1" applyBorder="1" applyAlignment="1">
      <alignment vertical="top" wrapText="1"/>
    </xf>
    <xf numFmtId="0" fontId="1" fillId="23" borderId="0" xfId="0" applyFont="1" applyFill="1" applyBorder="1" applyAlignment="1">
      <alignment vertical="top" wrapText="1"/>
    </xf>
    <xf numFmtId="1" fontId="0" fillId="23" borderId="0" xfId="0" applyNumberFormat="1" applyFill="1" applyBorder="1" applyAlignment="1">
      <alignment vertical="top" wrapText="1"/>
    </xf>
    <xf numFmtId="0" fontId="1" fillId="23" borderId="0" xfId="0" applyFont="1" applyFill="1" applyAlignment="1">
      <alignment vertical="top" wrapText="1"/>
    </xf>
    <xf numFmtId="0" fontId="0" fillId="23" borderId="0" xfId="0" applyFill="1" applyAlignment="1">
      <alignment vertical="top" wrapText="1"/>
    </xf>
    <xf numFmtId="183" fontId="1" fillId="23" borderId="0" xfId="1" applyNumberFormat="1" applyFont="1" applyFill="1" applyBorder="1" applyAlignment="1">
      <alignment vertical="top" wrapText="1"/>
    </xf>
    <xf numFmtId="0" fontId="1" fillId="23" borderId="0" xfId="0" applyFont="1" applyFill="1" applyAlignment="1">
      <alignment vertical="top"/>
    </xf>
    <xf numFmtId="43" fontId="1" fillId="23" borderId="0" xfId="1" applyNumberFormat="1" applyFont="1" applyFill="1" applyBorder="1" applyAlignment="1">
      <alignment vertical="top" wrapText="1"/>
    </xf>
    <xf numFmtId="178" fontId="14" fillId="23" borderId="98" xfId="0" applyNumberFormat="1" applyFont="1" applyFill="1" applyBorder="1" applyAlignment="1">
      <alignmen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178" fontId="5" fillId="23" borderId="98" xfId="0" applyNumberFormat="1" applyFont="1" applyFill="1" applyBorder="1" applyAlignment="1">
      <alignment vertical="top" wrapText="1"/>
    </xf>
    <xf numFmtId="172" fontId="14" fillId="23" borderId="0" xfId="0" applyNumberFormat="1" applyFont="1" applyFill="1" applyAlignment="1">
      <alignment vertical="top" wrapText="1"/>
    </xf>
    <xf numFmtId="169" fontId="14" fillId="23" borderId="128" xfId="0" applyNumberFormat="1" applyFont="1" applyFill="1" applyBorder="1" applyAlignment="1">
      <alignment vertical="top" wrapText="1"/>
    </xf>
    <xf numFmtId="169" fontId="14" fillId="23" borderId="108" xfId="0" applyNumberFormat="1" applyFont="1" applyFill="1" applyBorder="1" applyAlignment="1">
      <alignment vertical="top" wrapText="1"/>
    </xf>
    <xf numFmtId="10" fontId="5" fillId="5" borderId="8" xfId="0" applyNumberFormat="1" applyFont="1" applyFill="1" applyBorder="1" applyAlignment="1">
      <alignment vertical="top" wrapText="1"/>
    </xf>
    <xf numFmtId="169" fontId="14" fillId="23" borderId="110" xfId="0" applyNumberFormat="1" applyFont="1" applyFill="1" applyBorder="1" applyAlignment="1">
      <alignment vertical="top" wrapText="1"/>
    </xf>
    <xf numFmtId="169" fontId="14" fillId="23" borderId="176" xfId="0" applyNumberFormat="1" applyFont="1" applyFill="1" applyBorder="1" applyAlignment="1">
      <alignment vertical="top" wrapText="1"/>
    </xf>
    <xf numFmtId="172" fontId="3" fillId="23" borderId="0" xfId="1" applyNumberFormat="1" applyFont="1" applyFill="1" applyBorder="1" applyAlignment="1">
      <alignment vertical="top" wrapText="1"/>
    </xf>
    <xf numFmtId="0" fontId="3" fillId="0" borderId="1" xfId="0" applyFont="1" applyFill="1" applyBorder="1"/>
    <xf numFmtId="0" fontId="3" fillId="0" borderId="2" xfId="0" applyFont="1" applyFill="1" applyBorder="1"/>
    <xf numFmtId="0" fontId="3" fillId="21" borderId="2" xfId="0" applyFont="1" applyFill="1" applyBorder="1"/>
    <xf numFmtId="0" fontId="0" fillId="0" borderId="2" xfId="0" applyBorder="1"/>
    <xf numFmtId="0" fontId="1" fillId="17" borderId="2" xfId="0" applyFont="1" applyFill="1" applyBorder="1"/>
    <xf numFmtId="0" fontId="0" fillId="17" borderId="2" xfId="0" applyFill="1" applyBorder="1"/>
    <xf numFmtId="0" fontId="0" fillId="17" borderId="3" xfId="0" applyFill="1" applyBorder="1"/>
    <xf numFmtId="0" fontId="3" fillId="0" borderId="58" xfId="0" applyFont="1" applyFill="1" applyBorder="1"/>
    <xf numFmtId="0" fontId="3" fillId="0" borderId="5" xfId="0" applyFont="1" applyFill="1" applyBorder="1"/>
    <xf numFmtId="0" fontId="0" fillId="0" borderId="143" xfId="0" applyFill="1" applyBorder="1"/>
    <xf numFmtId="0" fontId="0" fillId="0" borderId="3" xfId="0" applyFill="1" applyBorder="1"/>
    <xf numFmtId="167" fontId="0" fillId="0" borderId="59" xfId="0" applyNumberFormat="1" applyFill="1" applyBorder="1"/>
    <xf numFmtId="0" fontId="0" fillId="0" borderId="58" xfId="0" applyBorder="1"/>
    <xf numFmtId="0" fontId="18" fillId="0" borderId="59" xfId="0" applyFont="1" applyFill="1" applyBorder="1"/>
    <xf numFmtId="39" fontId="3" fillId="6" borderId="7" xfId="0" applyNumberFormat="1" applyFont="1" applyFill="1" applyBorder="1"/>
    <xf numFmtId="0" fontId="1" fillId="0" borderId="0" xfId="0" applyFont="1" applyFill="1" applyBorder="1"/>
    <xf numFmtId="0" fontId="0" fillId="24" borderId="0" xfId="0" applyFill="1" applyBorder="1"/>
    <xf numFmtId="0" fontId="3" fillId="24"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3" fillId="0" borderId="4" xfId="0" applyFont="1" applyBorder="1"/>
    <xf numFmtId="0" fontId="3" fillId="0" borderId="0" xfId="0" applyFont="1" applyBorder="1"/>
    <xf numFmtId="0" fontId="3" fillId="0" borderId="5" xfId="0" applyFont="1" applyBorder="1"/>
    <xf numFmtId="0" fontId="0" fillId="25" borderId="137" xfId="0" applyFill="1" applyBorder="1"/>
    <xf numFmtId="0" fontId="0" fillId="25" borderId="171" xfId="0" applyFill="1" applyBorder="1"/>
    <xf numFmtId="0" fontId="0" fillId="25" borderId="135" xfId="0" applyFill="1" applyBorder="1"/>
    <xf numFmtId="0" fontId="0" fillId="25" borderId="99" xfId="0" applyFill="1" applyBorder="1"/>
    <xf numFmtId="0" fontId="0" fillId="25" borderId="138" xfId="0" applyFill="1" applyBorder="1"/>
    <xf numFmtId="0" fontId="0" fillId="25" borderId="55" xfId="0" applyFill="1" applyBorder="1"/>
    <xf numFmtId="0" fontId="0" fillId="25" borderId="8" xfId="0" applyFill="1" applyBorder="1"/>
    <xf numFmtId="0" fontId="0" fillId="25" borderId="100" xfId="0" applyFill="1" applyBorder="1"/>
    <xf numFmtId="0" fontId="0" fillId="25" borderId="145" xfId="0" applyFill="1" applyBorder="1"/>
    <xf numFmtId="0" fontId="0" fillId="25" borderId="172" xfId="0" applyFill="1" applyBorder="1"/>
    <xf numFmtId="0" fontId="0" fillId="25" borderId="136" xfId="0" applyFill="1" applyBorder="1"/>
    <xf numFmtId="0" fontId="0" fillId="25" borderId="101" xfId="0" applyFill="1" applyBorder="1"/>
    <xf numFmtId="0" fontId="1" fillId="0" borderId="98" xfId="0" applyFont="1" applyBorder="1"/>
    <xf numFmtId="3" fontId="1" fillId="0" borderId="115" xfId="0" applyNumberFormat="1" applyFont="1" applyBorder="1"/>
    <xf numFmtId="3" fontId="1" fillId="0" borderId="98" xfId="0" applyNumberFormat="1" applyFont="1" applyBorder="1"/>
    <xf numFmtId="3" fontId="1" fillId="0" borderId="116" xfId="0" applyNumberFormat="1" applyFont="1" applyBorder="1"/>
    <xf numFmtId="165" fontId="1" fillId="0" borderId="98" xfId="0" applyNumberFormat="1" applyFont="1" applyBorder="1"/>
    <xf numFmtId="0" fontId="3" fillId="0" borderId="1" xfId="0" applyFont="1" applyBorder="1" applyAlignment="1">
      <alignment wrapText="1"/>
    </xf>
    <xf numFmtId="0" fontId="3" fillId="0" borderId="62" xfId="0" applyFont="1" applyBorder="1" applyAlignment="1">
      <alignment horizontal="center" vertical="center" wrapText="1"/>
    </xf>
    <xf numFmtId="0" fontId="3" fillId="0" borderId="89" xfId="0" applyFont="1" applyFill="1" applyBorder="1" applyProtection="1"/>
    <xf numFmtId="0" fontId="0" fillId="3" borderId="112" xfId="0" applyFill="1" applyBorder="1"/>
    <xf numFmtId="165" fontId="0" fillId="3" borderId="146" xfId="0" applyNumberFormat="1" applyFill="1" applyBorder="1"/>
    <xf numFmtId="0" fontId="0" fillId="3" borderId="115" xfId="0" applyFill="1" applyBorder="1"/>
    <xf numFmtId="165" fontId="0" fillId="3" borderId="141" xfId="0" applyNumberFormat="1" applyFill="1" applyBorder="1"/>
    <xf numFmtId="0" fontId="1" fillId="3" borderId="115" xfId="0" applyFont="1" applyFill="1" applyBorder="1"/>
    <xf numFmtId="165" fontId="1" fillId="3" borderId="141"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7" xfId="0" applyNumberFormat="1" applyFill="1" applyBorder="1"/>
    <xf numFmtId="0" fontId="5" fillId="0" borderId="143" xfId="0" applyFont="1" applyBorder="1" applyAlignment="1">
      <alignment horizontal="centerContinuous" wrapText="1"/>
    </xf>
    <xf numFmtId="0" fontId="5" fillId="0" borderId="79" xfId="0" applyFont="1" applyBorder="1" applyAlignment="1">
      <alignment horizontal="centerContinuous" wrapText="1"/>
    </xf>
    <xf numFmtId="0" fontId="5" fillId="0" borderId="64" xfId="0" applyFont="1" applyBorder="1" applyAlignment="1">
      <alignment horizontal="centerContinuous" wrapText="1"/>
    </xf>
    <xf numFmtId="10" fontId="1" fillId="5" borderId="62" xfId="0" applyNumberFormat="1" applyFont="1" applyFill="1" applyBorder="1" applyAlignment="1">
      <alignment vertical="top" wrapText="1"/>
    </xf>
    <xf numFmtId="15" fontId="1" fillId="0" borderId="0" xfId="0" applyNumberFormat="1" applyFont="1" applyFill="1" applyBorder="1" applyAlignment="1" applyProtection="1">
      <alignment horizontal="left" wrapText="1"/>
      <protection locked="0"/>
    </xf>
    <xf numFmtId="0" fontId="1" fillId="0" borderId="0" xfId="0" applyFont="1" applyFill="1" applyBorder="1" applyProtection="1">
      <protection locked="0"/>
    </xf>
    <xf numFmtId="3" fontId="1" fillId="6" borderId="16" xfId="0" applyNumberFormat="1" applyFont="1" applyFill="1" applyBorder="1" applyAlignment="1" applyProtection="1">
      <alignment horizontal="left" wrapText="1"/>
      <protection locked="0"/>
    </xf>
    <xf numFmtId="0" fontId="1" fillId="0" borderId="0" xfId="0" applyFont="1" applyProtection="1">
      <protection locked="0"/>
    </xf>
    <xf numFmtId="0" fontId="3" fillId="0" borderId="138" xfId="0" applyFont="1" applyBorder="1" applyProtection="1">
      <protection locked="0"/>
    </xf>
    <xf numFmtId="0" fontId="3" fillId="0" borderId="100" xfId="0" applyFont="1" applyBorder="1" applyAlignment="1" applyProtection="1">
      <alignment wrapText="1"/>
      <protection locked="0"/>
    </xf>
    <xf numFmtId="9" fontId="0" fillId="21" borderId="0" xfId="0" applyNumberFormat="1" applyFill="1"/>
    <xf numFmtId="9" fontId="0" fillId="21" borderId="0" xfId="0" quotePrefix="1" applyNumberFormat="1" applyFill="1"/>
    <xf numFmtId="0" fontId="1" fillId="22" borderId="8" xfId="0" applyFont="1" applyFill="1" applyBorder="1"/>
    <xf numFmtId="9" fontId="0" fillId="22" borderId="8" xfId="0" applyNumberFormat="1" applyFill="1" applyBorder="1"/>
    <xf numFmtId="0" fontId="0" fillId="22" borderId="8" xfId="0" applyFill="1" applyBorder="1"/>
    <xf numFmtId="9" fontId="1" fillId="20" borderId="8" xfId="17" applyFont="1" applyFill="1" applyBorder="1"/>
    <xf numFmtId="0" fontId="0" fillId="19" borderId="55" xfId="0" applyFill="1" applyBorder="1" applyAlignment="1">
      <alignment horizontal="center"/>
    </xf>
    <xf numFmtId="172" fontId="0" fillId="21" borderId="0" xfId="0" applyNumberFormat="1" applyFill="1"/>
    <xf numFmtId="172" fontId="0" fillId="21" borderId="0" xfId="1" applyNumberFormat="1" applyFont="1" applyFill="1"/>
    <xf numFmtId="10" fontId="0" fillId="21" borderId="0" xfId="0" applyNumberFormat="1" applyFill="1"/>
    <xf numFmtId="9" fontId="0" fillId="20" borderId="8" xfId="17" applyNumberFormat="1" applyFont="1" applyFill="1" applyBorder="1"/>
    <xf numFmtId="9" fontId="1" fillId="26" borderId="8" xfId="17" applyNumberFormat="1" applyFont="1" applyFill="1" applyBorder="1"/>
    <xf numFmtId="183" fontId="1" fillId="26" borderId="8" xfId="1" applyNumberFormat="1" applyFont="1" applyFill="1" applyBorder="1"/>
    <xf numFmtId="0" fontId="81" fillId="21" borderId="0" xfId="0" applyFont="1" applyFill="1"/>
    <xf numFmtId="6" fontId="1" fillId="5" borderId="99" xfId="0" applyNumberFormat="1" applyFont="1" applyFill="1" applyBorder="1" applyAlignment="1" applyProtection="1">
      <alignment wrapText="1"/>
      <protection locked="0"/>
    </xf>
    <xf numFmtId="6" fontId="1" fillId="5" borderId="100" xfId="0" applyNumberFormat="1" applyFont="1" applyFill="1" applyBorder="1" applyAlignment="1" applyProtection="1">
      <alignment wrapText="1"/>
      <protection locked="0"/>
    </xf>
    <xf numFmtId="42" fontId="1" fillId="5" borderId="100" xfId="0" applyNumberFormat="1" applyFont="1" applyFill="1" applyBorder="1" applyAlignment="1" applyProtection="1">
      <alignment wrapText="1"/>
      <protection locked="0"/>
    </xf>
    <xf numFmtId="14" fontId="1" fillId="6" borderId="136" xfId="0" applyNumberFormat="1" applyFont="1" applyFill="1" applyBorder="1" applyAlignment="1" applyProtection="1">
      <alignment wrapText="1"/>
      <protection locked="0"/>
    </xf>
    <xf numFmtId="0" fontId="0" fillId="6" borderId="84" xfId="0" applyFill="1" applyBorder="1" applyAlignment="1" applyProtection="1">
      <alignment vertical="top" wrapText="1"/>
      <protection locked="0"/>
    </xf>
    <xf numFmtId="14" fontId="3" fillId="6" borderId="138" xfId="0" applyNumberFormat="1" applyFont="1" applyFill="1" applyBorder="1" applyAlignment="1" applyProtection="1">
      <alignment wrapText="1"/>
      <protection locked="0"/>
    </xf>
    <xf numFmtId="14" fontId="1" fillId="6" borderId="100" xfId="0" applyNumberFormat="1" applyFont="1" applyFill="1" applyBorder="1" applyAlignment="1" applyProtection="1">
      <alignment wrapText="1"/>
      <protection locked="0"/>
    </xf>
    <xf numFmtId="14" fontId="1" fillId="6" borderId="138" xfId="0" applyNumberFormat="1" applyFont="1" applyFill="1" applyBorder="1" applyAlignment="1" applyProtection="1">
      <alignment wrapText="1"/>
      <protection locked="0"/>
    </xf>
    <xf numFmtId="14" fontId="1" fillId="6" borderId="145" xfId="0" applyNumberFormat="1" applyFont="1" applyFill="1" applyBorder="1" applyAlignment="1" applyProtection="1">
      <alignment wrapText="1"/>
      <protection locked="0"/>
    </xf>
    <xf numFmtId="14" fontId="1" fillId="6" borderId="101" xfId="0" applyNumberFormat="1" applyFont="1" applyFill="1" applyBorder="1" applyAlignment="1" applyProtection="1">
      <alignment wrapText="1"/>
      <protection locked="0"/>
    </xf>
    <xf numFmtId="0" fontId="3" fillId="0" borderId="0" xfId="0" applyFont="1" applyAlignment="1" applyProtection="1">
      <alignment vertical="top" wrapText="1"/>
      <protection locked="0"/>
    </xf>
    <xf numFmtId="0" fontId="1" fillId="6" borderId="37" xfId="0" applyNumberFormat="1" applyFont="1" applyFill="1" applyBorder="1" applyAlignment="1" applyProtection="1">
      <alignment vertical="top" wrapText="1"/>
      <protection locked="0"/>
    </xf>
    <xf numFmtId="0" fontId="0" fillId="6" borderId="84" xfId="0" applyNumberFormat="1" applyFill="1" applyBorder="1" applyAlignment="1" applyProtection="1">
      <alignment vertical="top" wrapText="1"/>
      <protection locked="0"/>
    </xf>
    <xf numFmtId="0" fontId="0" fillId="0" borderId="0" xfId="0" applyBorder="1"/>
    <xf numFmtId="0" fontId="1" fillId="0" borderId="4" xfId="0" applyFont="1" applyFill="1" applyBorder="1"/>
    <xf numFmtId="0" fontId="1" fillId="0" borderId="4" xfId="0" applyFont="1" applyFill="1" applyBorder="1" applyAlignment="1">
      <alignment horizontal="left"/>
    </xf>
    <xf numFmtId="167" fontId="1" fillId="0" borderId="0" xfId="0" applyNumberFormat="1" applyFont="1" applyFill="1" applyBorder="1"/>
    <xf numFmtId="0" fontId="1" fillId="0" borderId="58" xfId="0" applyFont="1" applyFill="1" applyBorder="1"/>
    <xf numFmtId="0" fontId="1" fillId="21" borderId="58" xfId="0" applyFont="1" applyFill="1" applyBorder="1"/>
    <xf numFmtId="0" fontId="82" fillId="0" borderId="0" xfId="0" applyFont="1"/>
    <xf numFmtId="0" fontId="83" fillId="0" borderId="0" xfId="0" applyFont="1"/>
    <xf numFmtId="0" fontId="82" fillId="0" borderId="161" xfId="0" applyFont="1" applyBorder="1"/>
    <xf numFmtId="0" fontId="82" fillId="0" borderId="129" xfId="0" applyFont="1" applyBorder="1"/>
    <xf numFmtId="0" fontId="82" fillId="0" borderId="177" xfId="0" applyFont="1" applyBorder="1"/>
    <xf numFmtId="0" fontId="82" fillId="0" borderId="44" xfId="0" applyFont="1" applyBorder="1"/>
    <xf numFmtId="0" fontId="82" fillId="0" borderId="0" xfId="0" applyFont="1" applyBorder="1"/>
    <xf numFmtId="0" fontId="82" fillId="0" borderId="178" xfId="0" applyFont="1" applyBorder="1"/>
    <xf numFmtId="0" fontId="82" fillId="0" borderId="142" xfId="0" applyFont="1" applyBorder="1"/>
    <xf numFmtId="0" fontId="82" fillId="0" borderId="140" xfId="0" applyFont="1" applyBorder="1"/>
    <xf numFmtId="0" fontId="82" fillId="0" borderId="29" xfId="0" applyFont="1" applyBorder="1"/>
    <xf numFmtId="173" fontId="17" fillId="0" borderId="12" xfId="16" applyFont="1" applyBorder="1" applyAlignment="1" applyProtection="1"/>
    <xf numFmtId="0" fontId="0" fillId="18" borderId="0" xfId="0" applyFill="1"/>
    <xf numFmtId="173" fontId="1" fillId="3" borderId="18" xfId="16" applyFont="1" applyFill="1" applyBorder="1" applyProtection="1"/>
    <xf numFmtId="170" fontId="1" fillId="3" borderId="19" xfId="16" applyNumberFormat="1" applyFont="1" applyFill="1" applyBorder="1" applyProtection="1"/>
    <xf numFmtId="173" fontId="1" fillId="3" borderId="20" xfId="16" applyFont="1" applyFill="1" applyBorder="1" applyProtection="1"/>
    <xf numFmtId="173" fontId="1" fillId="3" borderId="21" xfId="16" applyFont="1" applyFill="1" applyBorder="1" applyProtection="1"/>
    <xf numFmtId="170" fontId="1" fillId="3" borderId="22" xfId="16" applyNumberFormat="1" applyFont="1" applyFill="1" applyBorder="1" applyProtection="1"/>
    <xf numFmtId="170" fontId="1" fillId="3" borderId="23" xfId="16" applyNumberFormat="1" applyFont="1" applyFill="1" applyBorder="1" applyProtection="1"/>
    <xf numFmtId="188" fontId="1" fillId="5" borderId="62" xfId="0" applyNumberFormat="1" applyFont="1" applyFill="1" applyBorder="1" applyAlignment="1">
      <alignment vertical="top" wrapText="1"/>
    </xf>
    <xf numFmtId="0" fontId="13" fillId="0" borderId="137" xfId="0" applyFont="1" applyBorder="1" applyAlignment="1" applyProtection="1">
      <alignment horizontal="left"/>
      <protection locked="0"/>
    </xf>
    <xf numFmtId="0" fontId="0" fillId="0" borderId="135" xfId="0" applyBorder="1" applyAlignment="1" applyProtection="1">
      <protection locked="0"/>
    </xf>
    <xf numFmtId="0" fontId="0" fillId="0" borderId="99" xfId="0" applyBorder="1" applyAlignment="1" applyProtection="1">
      <protection locked="0"/>
    </xf>
    <xf numFmtId="0" fontId="11" fillId="6" borderId="0" xfId="0" applyFont="1" applyFill="1" applyBorder="1" applyAlignment="1">
      <alignment horizontal="left" vertical="top" wrapText="1"/>
    </xf>
    <xf numFmtId="0" fontId="11" fillId="6" borderId="5" xfId="0" applyFont="1" applyFill="1" applyBorder="1" applyAlignment="1">
      <alignment horizontal="left" vertical="top" wrapText="1"/>
    </xf>
    <xf numFmtId="0" fontId="40" fillId="2" borderId="95" xfId="0" applyFont="1" applyFill="1" applyBorder="1" applyAlignment="1">
      <alignment horizontal="left" vertical="top" wrapText="1"/>
    </xf>
    <xf numFmtId="0" fontId="40" fillId="2" borderId="96" xfId="0" applyFont="1" applyFill="1" applyBorder="1" applyAlignment="1">
      <alignment horizontal="left" vertical="top" wrapText="1"/>
    </xf>
    <xf numFmtId="0" fontId="11" fillId="0" borderId="0" xfId="0" applyFont="1" applyFill="1" applyBorder="1" applyAlignment="1">
      <alignment horizontal="left" vertical="center" wrapText="1"/>
    </xf>
    <xf numFmtId="0" fontId="3" fillId="6" borderId="0" xfId="0" applyFont="1" applyFill="1" applyBorder="1" applyAlignment="1">
      <alignment horizontal="left" vertical="top" wrapText="1"/>
    </xf>
    <xf numFmtId="0" fontId="3" fillId="6" borderId="5" xfId="0" applyFont="1" applyFill="1" applyBorder="1" applyAlignment="1">
      <alignment horizontal="left" vertical="top" wrapText="1"/>
    </xf>
    <xf numFmtId="0" fontId="1" fillId="6" borderId="0" xfId="0" applyFont="1" applyFill="1" applyBorder="1" applyAlignment="1">
      <alignment horizontal="left" vertical="top" wrapText="1"/>
    </xf>
    <xf numFmtId="0" fontId="11" fillId="6" borderId="0" xfId="0" quotePrefix="1" applyFont="1" applyFill="1" applyBorder="1" applyAlignment="1">
      <alignment horizontal="left" vertical="top" wrapText="1"/>
    </xf>
    <xf numFmtId="0" fontId="0" fillId="6" borderId="0" xfId="0" applyFill="1" applyBorder="1" applyAlignment="1">
      <alignment horizontal="left" vertical="top" wrapText="1"/>
    </xf>
    <xf numFmtId="0" fontId="0" fillId="6" borderId="5" xfId="0" applyFill="1" applyBorder="1" applyAlignment="1">
      <alignment horizontal="left" vertical="top" wrapText="1"/>
    </xf>
    <xf numFmtId="0" fontId="0" fillId="6" borderId="155" xfId="0" applyFill="1" applyBorder="1" applyAlignment="1">
      <alignment horizontal="left" vertical="top" wrapText="1"/>
    </xf>
    <xf numFmtId="0" fontId="0" fillId="6" borderId="156" xfId="0" applyFill="1" applyBorder="1" applyAlignment="1">
      <alignment horizontal="left" vertical="top" wrapText="1"/>
    </xf>
    <xf numFmtId="0" fontId="0" fillId="6" borderId="0" xfId="0" quotePrefix="1" applyFill="1" applyBorder="1" applyAlignment="1">
      <alignment horizontal="left" vertical="top" wrapText="1"/>
    </xf>
    <xf numFmtId="0" fontId="35" fillId="6" borderId="0" xfId="0" applyFont="1" applyFill="1" applyBorder="1" applyAlignment="1">
      <alignment horizontal="left" vertical="top" wrapText="1"/>
    </xf>
    <xf numFmtId="0" fontId="35" fillId="6" borderId="5" xfId="0" applyFont="1" applyFill="1" applyBorder="1" applyAlignment="1">
      <alignment horizontal="left" vertical="top" wrapText="1"/>
    </xf>
    <xf numFmtId="0" fontId="44" fillId="2" borderId="1" xfId="0" applyFont="1" applyFill="1" applyBorder="1" applyAlignment="1">
      <alignment horizontal="center" vertical="top" wrapText="1"/>
    </xf>
    <xf numFmtId="0" fontId="43" fillId="2" borderId="2" xfId="0" applyFont="1" applyFill="1" applyBorder="1" applyAlignment="1">
      <alignment horizontal="center" vertical="top" wrapText="1"/>
    </xf>
    <xf numFmtId="0" fontId="43" fillId="2" borderId="79" xfId="0" applyFont="1" applyFill="1" applyBorder="1" applyAlignment="1">
      <alignment horizontal="center" vertical="top" wrapText="1"/>
    </xf>
    <xf numFmtId="0" fontId="43" fillId="2" borderId="64" xfId="0" applyFont="1" applyFill="1" applyBorder="1" applyAlignment="1">
      <alignment horizontal="center" vertical="top" wrapText="1"/>
    </xf>
    <xf numFmtId="0" fontId="12" fillId="5" borderId="143" xfId="0" applyFont="1" applyFill="1" applyBorder="1" applyAlignment="1">
      <alignment horizontal="left" vertical="center" wrapText="1"/>
    </xf>
    <xf numFmtId="0" fontId="12" fillId="5" borderId="79" xfId="0" applyFont="1" applyFill="1" applyBorder="1" applyAlignment="1">
      <alignment horizontal="left" vertical="center" wrapText="1"/>
    </xf>
    <xf numFmtId="0" fontId="12" fillId="5" borderId="64" xfId="0" applyFont="1" applyFill="1" applyBorder="1" applyAlignment="1">
      <alignment horizontal="left" vertical="center" wrapText="1"/>
    </xf>
    <xf numFmtId="0" fontId="43" fillId="2" borderId="0" xfId="0" applyFont="1" applyFill="1" applyBorder="1" applyAlignment="1">
      <alignment horizontal="right" vertical="center" wrapText="1"/>
    </xf>
    <xf numFmtId="0" fontId="11" fillId="4" borderId="4" xfId="0" applyFont="1" applyFill="1" applyBorder="1" applyAlignment="1">
      <alignment horizontal="left" vertical="top" wrapText="1"/>
    </xf>
    <xf numFmtId="0" fontId="1" fillId="6" borderId="5" xfId="0" applyFont="1" applyFill="1" applyBorder="1" applyAlignment="1">
      <alignment horizontal="left" vertical="top" wrapText="1"/>
    </xf>
    <xf numFmtId="0" fontId="1" fillId="6" borderId="87" xfId="0" applyFont="1" applyFill="1" applyBorder="1" applyAlignment="1">
      <alignment horizontal="left" vertical="top" wrapText="1"/>
    </xf>
    <xf numFmtId="7" fontId="27" fillId="3" borderId="62" xfId="0" applyNumberFormat="1" applyFont="1" applyFill="1" applyBorder="1" applyAlignment="1">
      <alignment horizontal="left" vertical="top" wrapText="1"/>
    </xf>
    <xf numFmtId="0" fontId="27" fillId="3" borderId="57" xfId="0" applyFont="1" applyFill="1" applyBorder="1" applyAlignment="1">
      <alignment horizontal="left" vertical="top" wrapText="1"/>
    </xf>
    <xf numFmtId="0" fontId="0" fillId="6" borderId="0" xfId="0" quotePrefix="1" applyFill="1" applyAlignment="1">
      <alignment horizontal="left"/>
    </xf>
    <xf numFmtId="0" fontId="0" fillId="6" borderId="5" xfId="0" quotePrefix="1" applyFill="1" applyBorder="1" applyAlignment="1">
      <alignment horizontal="left"/>
    </xf>
    <xf numFmtId="0" fontId="3" fillId="0" borderId="0" xfId="0" applyFont="1" applyAlignment="1">
      <alignment horizontal="center" wrapText="1"/>
    </xf>
    <xf numFmtId="0" fontId="3" fillId="0" borderId="59" xfId="0" applyFont="1" applyBorder="1" applyAlignment="1">
      <alignment horizontal="center" wrapText="1"/>
    </xf>
    <xf numFmtId="0" fontId="1" fillId="6" borderId="0" xfId="0" applyFont="1" applyFill="1" applyAlignment="1">
      <alignment horizontal="left" vertical="top" wrapText="1"/>
    </xf>
    <xf numFmtId="0" fontId="3" fillId="6" borderId="0" xfId="0" applyFont="1" applyFill="1" applyBorder="1" applyAlignment="1">
      <alignment horizontal="right" vertical="top" wrapText="1"/>
    </xf>
    <xf numFmtId="0" fontId="3" fillId="6" borderId="5" xfId="0" applyFont="1" applyFill="1" applyBorder="1" applyAlignment="1">
      <alignment horizontal="right" vertical="top" wrapText="1"/>
    </xf>
    <xf numFmtId="0" fontId="11" fillId="6" borderId="4" xfId="0" applyFont="1" applyFill="1" applyBorder="1" applyAlignment="1">
      <alignment horizontal="left" vertical="top" wrapText="1"/>
    </xf>
    <xf numFmtId="0" fontId="0" fillId="6" borderId="0" xfId="0" quotePrefix="1" applyFill="1" applyAlignment="1">
      <alignment horizontal="left" vertical="top" wrapText="1"/>
    </xf>
    <xf numFmtId="0" fontId="0" fillId="6" borderId="5" xfId="0" quotePrefix="1" applyFill="1" applyBorder="1" applyAlignment="1">
      <alignment horizontal="left" vertical="top" wrapText="1"/>
    </xf>
    <xf numFmtId="0" fontId="11" fillId="6" borderId="44" xfId="0" applyFont="1" applyFill="1" applyBorder="1" applyAlignment="1" applyProtection="1">
      <alignment wrapText="1"/>
      <protection locked="0"/>
    </xf>
    <xf numFmtId="0" fontId="0" fillId="0" borderId="0" xfId="0" applyBorder="1" applyAlignment="1"/>
    <xf numFmtId="0" fontId="0" fillId="0" borderId="5" xfId="0" applyBorder="1" applyAlignment="1"/>
    <xf numFmtId="0" fontId="11" fillId="6" borderId="157" xfId="0" applyFont="1" applyFill="1" applyBorder="1" applyAlignment="1" applyProtection="1">
      <alignment wrapText="1"/>
      <protection locked="0"/>
    </xf>
    <xf numFmtId="0" fontId="0" fillId="0" borderId="59" xfId="0" applyBorder="1" applyAlignment="1"/>
    <xf numFmtId="0" fontId="0" fillId="0" borderId="87" xfId="0" applyBorder="1" applyAlignment="1"/>
    <xf numFmtId="0" fontId="10" fillId="2" borderId="59" xfId="0" applyFont="1" applyFill="1" applyBorder="1" applyAlignment="1" applyProtection="1">
      <alignment horizontal="center" wrapText="1"/>
      <protection locked="0"/>
    </xf>
    <xf numFmtId="0" fontId="0" fillId="0" borderId="0" xfId="0" applyAlignment="1">
      <alignment horizontal="left" wrapText="1"/>
    </xf>
    <xf numFmtId="0" fontId="11" fillId="6" borderId="149" xfId="0" applyFont="1" applyFill="1" applyBorder="1" applyAlignment="1" applyProtection="1">
      <alignment wrapText="1"/>
      <protection locked="0"/>
    </xf>
    <xf numFmtId="0" fontId="0" fillId="0" borderId="149" xfId="0" applyBorder="1" applyAlignment="1"/>
    <xf numFmtId="0" fontId="0" fillId="0" borderId="153" xfId="0" applyBorder="1" applyAlignment="1"/>
    <xf numFmtId="0" fontId="11" fillId="6" borderId="158" xfId="0" applyFont="1" applyFill="1" applyBorder="1" applyAlignment="1" applyProtection="1">
      <alignment wrapText="1"/>
      <protection locked="0"/>
    </xf>
    <xf numFmtId="0" fontId="0" fillId="0" borderId="2" xfId="0" applyBorder="1" applyAlignment="1"/>
    <xf numFmtId="0" fontId="0" fillId="0" borderId="3" xfId="0" applyBorder="1" applyAlignment="1"/>
    <xf numFmtId="2" fontId="4" fillId="2" borderId="4" xfId="5" applyNumberFormat="1" applyFill="1" applyBorder="1" applyAlignment="1" applyProtection="1">
      <alignment horizontal="left" vertical="top" wrapText="1"/>
      <protection locked="0"/>
    </xf>
    <xf numFmtId="2" fontId="4" fillId="2" borderId="0" xfId="5" applyNumberFormat="1" applyFill="1" applyBorder="1" applyAlignment="1" applyProtection="1">
      <alignment horizontal="left" vertical="top" wrapText="1"/>
      <protection locked="0"/>
    </xf>
    <xf numFmtId="0" fontId="11" fillId="2" borderId="0" xfId="0" applyFont="1" applyFill="1" applyBorder="1" applyAlignment="1" applyProtection="1">
      <alignment horizontal="left" vertical="top" wrapText="1"/>
      <protection locked="0"/>
    </xf>
    <xf numFmtId="2" fontId="11" fillId="2" borderId="0" xfId="0" applyNumberFormat="1" applyFont="1" applyFill="1" applyBorder="1" applyAlignment="1" applyProtection="1">
      <alignment horizontal="left" vertical="top" wrapText="1"/>
      <protection locked="0"/>
    </xf>
    <xf numFmtId="2" fontId="4" fillId="0" borderId="4" xfId="5" applyNumberFormat="1" applyFill="1" applyBorder="1" applyAlignment="1" applyProtection="1">
      <alignment horizontal="left" vertical="top" wrapText="1"/>
      <protection locked="0"/>
    </xf>
    <xf numFmtId="2" fontId="11" fillId="0" borderId="0" xfId="0" applyNumberFormat="1" applyFont="1" applyFill="1" applyBorder="1" applyAlignment="1" applyProtection="1">
      <alignment horizontal="left" vertical="top" wrapText="1"/>
      <protection locked="0"/>
    </xf>
    <xf numFmtId="0" fontId="1" fillId="6" borderId="55" xfId="0" applyFont="1" applyFill="1" applyBorder="1" applyAlignment="1">
      <alignment horizontal="left" vertical="top" wrapText="1"/>
    </xf>
    <xf numFmtId="0" fontId="1" fillId="6" borderId="108" xfId="0" applyFont="1" applyFill="1" applyBorder="1" applyAlignment="1">
      <alignment horizontal="left" vertical="top" wrapText="1"/>
    </xf>
    <xf numFmtId="0" fontId="5" fillId="21" borderId="67" xfId="0" applyFont="1" applyFill="1" applyBorder="1" applyAlignment="1">
      <alignment horizontal="left" vertical="top" wrapText="1"/>
    </xf>
    <xf numFmtId="0" fontId="5" fillId="21" borderId="90" xfId="0" applyFont="1" applyFill="1" applyBorder="1" applyAlignment="1">
      <alignment horizontal="left" vertical="top" wrapText="1"/>
    </xf>
    <xf numFmtId="0" fontId="14" fillId="23" borderId="127" xfId="0" applyFont="1" applyFill="1" applyBorder="1" applyAlignment="1">
      <alignment horizontal="left" vertical="top" wrapText="1"/>
    </xf>
    <xf numFmtId="0" fontId="14" fillId="23" borderId="113" xfId="0" applyFont="1" applyFill="1" applyBorder="1" applyAlignment="1">
      <alignment horizontal="left" vertical="top" wrapText="1"/>
    </xf>
    <xf numFmtId="0" fontId="1" fillId="6" borderId="61" xfId="0" applyFont="1" applyFill="1" applyBorder="1" applyAlignment="1">
      <alignment horizontal="left" vertical="top" wrapText="1"/>
    </xf>
    <xf numFmtId="0" fontId="1" fillId="6" borderId="111" xfId="0" applyFont="1" applyFill="1" applyBorder="1" applyAlignment="1">
      <alignment horizontal="left" vertical="top" wrapText="1"/>
    </xf>
    <xf numFmtId="0" fontId="5" fillId="21" borderId="63" xfId="0" applyFont="1" applyFill="1" applyBorder="1" applyAlignment="1">
      <alignment horizontal="left" vertical="top" wrapText="1"/>
    </xf>
    <xf numFmtId="0" fontId="5" fillId="21" borderId="98" xfId="0" applyFont="1" applyFill="1" applyBorder="1" applyAlignment="1">
      <alignment horizontal="left" vertical="top" wrapText="1"/>
    </xf>
    <xf numFmtId="0" fontId="14" fillId="23" borderId="63" xfId="0" applyFont="1" applyFill="1" applyBorder="1" applyAlignment="1">
      <alignment horizontal="left" vertical="top" wrapText="1"/>
    </xf>
    <xf numFmtId="0" fontId="14" fillId="23" borderId="98" xfId="0" applyFont="1" applyFill="1" applyBorder="1" applyAlignment="1">
      <alignment horizontal="left" vertical="top" wrapText="1"/>
    </xf>
    <xf numFmtId="0" fontId="14" fillId="23" borderId="174" xfId="0" applyFont="1" applyFill="1" applyBorder="1" applyAlignment="1">
      <alignment horizontal="left" vertical="top" wrapText="1"/>
    </xf>
    <xf numFmtId="0" fontId="14" fillId="23" borderId="175" xfId="0" applyFont="1" applyFill="1" applyBorder="1" applyAlignment="1">
      <alignment horizontal="left" vertical="top" wrapText="1"/>
    </xf>
    <xf numFmtId="0" fontId="1" fillId="6" borderId="136" xfId="0" applyFont="1" applyFill="1" applyBorder="1" applyAlignment="1">
      <alignment horizontal="left" vertical="top" wrapText="1"/>
    </xf>
    <xf numFmtId="0" fontId="0" fillId="6" borderId="134" xfId="0" applyFill="1" applyBorder="1" applyAlignment="1">
      <alignment horizontal="left" vertical="top" wrapText="1"/>
    </xf>
    <xf numFmtId="0" fontId="0" fillId="6" borderId="136" xfId="0" applyFill="1" applyBorder="1" applyAlignment="1">
      <alignment horizontal="left" vertical="top" wrapText="1"/>
    </xf>
    <xf numFmtId="0" fontId="0" fillId="0" borderId="134" xfId="0" applyBorder="1" applyAlignment="1">
      <alignment horizontal="left" vertical="top" wrapText="1"/>
    </xf>
    <xf numFmtId="0" fontId="14" fillId="0" borderId="0" xfId="0" applyFont="1" applyAlignment="1">
      <alignment horizontal="left" vertical="top" wrapText="1"/>
    </xf>
    <xf numFmtId="0" fontId="1" fillId="0" borderId="0" xfId="0" applyFont="1" applyAlignment="1">
      <alignment horizontal="left" vertical="top" wrapText="1"/>
    </xf>
    <xf numFmtId="0" fontId="0" fillId="0" borderId="0" xfId="0" applyAlignment="1">
      <alignment horizontal="left" vertical="top" wrapText="1"/>
    </xf>
    <xf numFmtId="0" fontId="0" fillId="0" borderId="120" xfId="0" applyBorder="1" applyAlignment="1">
      <alignment horizontal="left" vertical="top" wrapText="1"/>
    </xf>
    <xf numFmtId="0" fontId="0" fillId="0" borderId="111" xfId="0" applyBorder="1" applyAlignment="1">
      <alignment horizontal="left" vertical="top" wrapText="1"/>
    </xf>
    <xf numFmtId="0" fontId="14" fillId="21" borderId="63" xfId="0" applyFont="1" applyFill="1" applyBorder="1" applyAlignment="1">
      <alignment horizontal="left" vertical="top" wrapText="1"/>
    </xf>
    <xf numFmtId="0" fontId="14" fillId="21" borderId="98" xfId="0" applyFont="1" applyFill="1" applyBorder="1" applyAlignment="1">
      <alignment horizontal="left" vertical="top" wrapText="1"/>
    </xf>
    <xf numFmtId="0" fontId="38" fillId="21" borderId="40" xfId="0" applyFont="1" applyFill="1" applyBorder="1" applyAlignment="1">
      <alignment horizontal="left" vertical="top" wrapText="1"/>
    </xf>
    <xf numFmtId="0" fontId="38" fillId="21" borderId="106" xfId="0" applyFont="1" applyFill="1" applyBorder="1" applyAlignment="1">
      <alignment horizontal="left" vertical="top" wrapText="1"/>
    </xf>
    <xf numFmtId="0" fontId="0" fillId="21" borderId="107" xfId="0" applyFill="1" applyBorder="1" applyAlignment="1">
      <alignment vertical="top" wrapText="1"/>
    </xf>
    <xf numFmtId="0" fontId="0" fillId="0" borderId="98" xfId="0" applyBorder="1" applyAlignment="1">
      <alignment horizontal="left" vertical="top" wrapText="1"/>
    </xf>
    <xf numFmtId="0" fontId="0" fillId="0" borderId="108" xfId="0" applyBorder="1" applyAlignment="1">
      <alignment horizontal="left" vertical="top" wrapText="1"/>
    </xf>
    <xf numFmtId="0" fontId="0" fillId="0" borderId="129" xfId="0" applyBorder="1" applyAlignment="1">
      <alignment horizontal="left" vertical="top" wrapText="1"/>
    </xf>
    <xf numFmtId="0" fontId="0" fillId="0" borderId="130" xfId="0" applyBorder="1" applyAlignment="1">
      <alignment horizontal="left" vertical="top" wrapText="1"/>
    </xf>
    <xf numFmtId="0" fontId="5" fillId="23" borderId="63" xfId="0" applyFont="1" applyFill="1" applyBorder="1" applyAlignment="1">
      <alignment horizontal="left" vertical="top" wrapText="1"/>
    </xf>
    <xf numFmtId="0" fontId="5" fillId="23" borderId="98" xfId="0" applyFont="1" applyFill="1" applyBorder="1" applyAlignment="1">
      <alignment horizontal="left" vertical="top" wrapText="1"/>
    </xf>
    <xf numFmtId="0" fontId="14" fillId="23" borderId="63" xfId="0" applyFont="1" applyFill="1" applyBorder="1" applyAlignment="1">
      <alignment horizontal="left" vertical="top"/>
    </xf>
    <xf numFmtId="0" fontId="14" fillId="23" borderId="98" xfId="0" applyFont="1" applyFill="1" applyBorder="1" applyAlignment="1">
      <alignment horizontal="left" vertical="top"/>
    </xf>
    <xf numFmtId="0" fontId="0" fillId="6" borderId="108" xfId="0" applyFill="1" applyBorder="1" applyAlignment="1">
      <alignment horizontal="left" vertical="top" wrapText="1"/>
    </xf>
    <xf numFmtId="0" fontId="5" fillId="22" borderId="127" xfId="0" applyFont="1" applyFill="1" applyBorder="1" applyAlignment="1">
      <alignment horizontal="left" vertical="top" wrapText="1"/>
    </xf>
    <xf numFmtId="0" fontId="5" fillId="22" borderId="113" xfId="0" applyFont="1" applyFill="1" applyBorder="1" applyAlignment="1">
      <alignment horizontal="left" vertical="top" wrapText="1"/>
    </xf>
    <xf numFmtId="0" fontId="5" fillId="22" borderId="128" xfId="0" applyFont="1" applyFill="1" applyBorder="1" applyAlignment="1">
      <alignment horizontal="left" vertical="top" wrapText="1"/>
    </xf>
    <xf numFmtId="0" fontId="1" fillId="6" borderId="172" xfId="0" applyFont="1" applyFill="1" applyBorder="1" applyAlignment="1">
      <alignment horizontal="left" vertical="top" wrapText="1"/>
    </xf>
    <xf numFmtId="0" fontId="1" fillId="6" borderId="132" xfId="0" applyFont="1" applyFill="1" applyBorder="1" applyAlignment="1">
      <alignment horizontal="left" vertical="top" wrapText="1"/>
    </xf>
    <xf numFmtId="0" fontId="1" fillId="6" borderId="8" xfId="0" applyFont="1" applyFill="1" applyBorder="1" applyAlignment="1">
      <alignment horizontal="left" vertical="top" wrapText="1"/>
    </xf>
    <xf numFmtId="0" fontId="0" fillId="6" borderId="19" xfId="0" applyFill="1" applyBorder="1" applyAlignment="1">
      <alignment horizontal="left" vertical="top" wrapText="1"/>
    </xf>
    <xf numFmtId="173" fontId="17" fillId="0" borderId="75" xfId="16" applyFont="1" applyBorder="1" applyAlignment="1" applyProtection="1">
      <alignment horizontal="left"/>
    </xf>
    <xf numFmtId="173" fontId="17" fillId="0" borderId="76" xfId="16" applyFont="1" applyBorder="1" applyAlignment="1" applyProtection="1">
      <alignment horizontal="left"/>
    </xf>
    <xf numFmtId="173" fontId="11" fillId="0" borderId="63" xfId="16" applyFont="1" applyBorder="1" applyAlignment="1" applyProtection="1">
      <alignment horizontal="left" vertical="center" wrapText="1"/>
    </xf>
    <xf numFmtId="173" fontId="11" fillId="0" borderId="98" xfId="16" applyFont="1" applyBorder="1" applyAlignment="1" applyProtection="1">
      <alignment horizontal="left" vertical="center" wrapText="1"/>
    </xf>
    <xf numFmtId="173" fontId="11" fillId="0" borderId="127" xfId="16" applyFont="1" applyBorder="1" applyAlignment="1" applyProtection="1">
      <alignment horizontal="left" vertical="center" wrapText="1"/>
    </xf>
    <xf numFmtId="173" fontId="11" fillId="0" borderId="113" xfId="16" applyFont="1" applyBorder="1" applyAlignment="1" applyProtection="1">
      <alignment horizontal="left" vertical="center" wrapText="1"/>
    </xf>
    <xf numFmtId="173" fontId="11" fillId="0" borderId="109" xfId="16" applyFont="1" applyBorder="1" applyAlignment="1" applyProtection="1">
      <alignment horizontal="left" vertical="center" wrapText="1"/>
    </xf>
    <xf numFmtId="173" fontId="11" fillId="0" borderId="120" xfId="16" applyFont="1" applyBorder="1" applyAlignment="1" applyProtection="1">
      <alignment horizontal="left" vertical="center" wrapText="1"/>
    </xf>
    <xf numFmtId="173" fontId="17" fillId="2" borderId="40" xfId="16" applyFont="1" applyFill="1" applyBorder="1" applyAlignment="1" applyProtection="1">
      <alignment horizontal="left"/>
    </xf>
    <xf numFmtId="173" fontId="17" fillId="2" borderId="106" xfId="16" applyFont="1" applyFill="1" applyBorder="1" applyAlignment="1" applyProtection="1">
      <alignment horizontal="left"/>
    </xf>
    <xf numFmtId="173" fontId="17" fillId="2" borderId="107" xfId="16" applyFont="1" applyFill="1" applyBorder="1" applyAlignment="1" applyProtection="1">
      <alignment horizontal="left"/>
    </xf>
    <xf numFmtId="0" fontId="0" fillId="0" borderId="65" xfId="0" applyBorder="1" applyAlignment="1">
      <alignment horizontal="left" wrapText="1"/>
    </xf>
    <xf numFmtId="173" fontId="17" fillId="0" borderId="143" xfId="16" applyFont="1" applyBorder="1" applyAlignment="1" applyProtection="1">
      <alignment horizontal="left"/>
    </xf>
    <xf numFmtId="173" fontId="17" fillId="0" borderId="79" xfId="16" applyFont="1" applyBorder="1" applyAlignment="1" applyProtection="1">
      <alignment horizontal="left"/>
    </xf>
    <xf numFmtId="0" fontId="1" fillId="20" borderId="8" xfId="0" applyFont="1" applyFill="1" applyBorder="1" applyAlignment="1">
      <alignment horizontal="left"/>
    </xf>
    <xf numFmtId="9" fontId="0" fillId="5" borderId="8" xfId="17" applyFont="1" applyFill="1" applyBorder="1" applyAlignment="1">
      <alignment horizontal="center" vertical="top" wrapText="1"/>
    </xf>
    <xf numFmtId="173" fontId="17" fillId="0" borderId="9" xfId="16" applyFont="1" applyBorder="1" applyAlignment="1" applyProtection="1">
      <alignment wrapText="1"/>
    </xf>
    <xf numFmtId="173" fontId="17" fillId="0" borderId="168" xfId="16" applyFont="1" applyBorder="1" applyAlignment="1" applyProtection="1">
      <alignment wrapText="1"/>
    </xf>
    <xf numFmtId="173" fontId="17" fillId="21" borderId="46" xfId="16" applyFont="1" applyFill="1" applyBorder="1" applyAlignment="1" applyProtection="1">
      <alignment wrapText="1"/>
    </xf>
    <xf numFmtId="0" fontId="0" fillId="21" borderId="47" xfId="0" applyFill="1" applyBorder="1" applyAlignment="1" applyProtection="1">
      <alignment wrapText="1"/>
    </xf>
    <xf numFmtId="0" fontId="54" fillId="13" borderId="0" xfId="0" applyFont="1" applyFill="1" applyAlignment="1">
      <alignment horizontal="left"/>
    </xf>
    <xf numFmtId="0" fontId="55" fillId="0" borderId="0" xfId="0" applyFont="1" applyFill="1" applyBorder="1" applyAlignment="1" applyProtection="1">
      <alignment horizontal="left"/>
    </xf>
    <xf numFmtId="0" fontId="55" fillId="0" borderId="59" xfId="0" applyFont="1" applyFill="1" applyBorder="1" applyAlignment="1" applyProtection="1">
      <alignment horizontal="left"/>
    </xf>
    <xf numFmtId="0" fontId="55" fillId="3" borderId="4" xfId="0" applyFont="1" applyFill="1" applyBorder="1" applyAlignment="1">
      <alignment horizontal="left"/>
    </xf>
    <xf numFmtId="0" fontId="55" fillId="3" borderId="0" xfId="0" applyFont="1" applyFill="1" applyBorder="1" applyAlignment="1">
      <alignment horizontal="left"/>
    </xf>
    <xf numFmtId="0" fontId="55"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1" fillId="0" borderId="2" xfId="0" applyFont="1" applyFill="1" applyBorder="1" applyAlignment="1">
      <alignment horizontal="left" wrapText="1"/>
    </xf>
    <xf numFmtId="0" fontId="57" fillId="0" borderId="2" xfId="0" applyFont="1" applyFill="1" applyBorder="1" applyAlignment="1">
      <alignment horizontal="left" wrapText="1"/>
    </xf>
    <xf numFmtId="0" fontId="57" fillId="0" borderId="0" xfId="0" applyFont="1" applyFill="1" applyBorder="1" applyAlignment="1">
      <alignment horizontal="left" wrapText="1"/>
    </xf>
    <xf numFmtId="0" fontId="54" fillId="13" borderId="0" xfId="0" applyFont="1" applyFill="1" applyBorder="1" applyAlignment="1">
      <alignment horizontal="left" wrapText="1"/>
    </xf>
    <xf numFmtId="0" fontId="0" fillId="0" borderId="59" xfId="0" applyBorder="1" applyAlignment="1">
      <alignment horizontal="left"/>
    </xf>
    <xf numFmtId="0" fontId="3" fillId="0" borderId="2" xfId="0" applyFont="1" applyFill="1" applyBorder="1" applyAlignment="1">
      <alignment horizontal="center"/>
    </xf>
    <xf numFmtId="0" fontId="3" fillId="0" borderId="0" xfId="0" applyFont="1" applyFill="1" applyBorder="1" applyAlignment="1">
      <alignment horizontal="center"/>
    </xf>
    <xf numFmtId="0" fontId="3" fillId="0" borderId="2" xfId="0" applyFont="1" applyFill="1" applyBorder="1" applyAlignment="1">
      <alignment horizontal="left" vertical="center" wrapText="1"/>
    </xf>
    <xf numFmtId="0" fontId="3" fillId="0" borderId="3" xfId="0" applyFont="1" applyFill="1" applyBorder="1" applyAlignment="1">
      <alignment horizontal="left" vertical="center" wrapText="1"/>
    </xf>
    <xf numFmtId="0" fontId="3" fillId="0" borderId="5" xfId="0" applyFont="1" applyFill="1" applyBorder="1" applyAlignment="1">
      <alignment horizontal="center"/>
    </xf>
    <xf numFmtId="0" fontId="57" fillId="0" borderId="4" xfId="0" applyFont="1" applyFill="1" applyBorder="1" applyAlignment="1">
      <alignment horizontal="center"/>
    </xf>
    <xf numFmtId="0" fontId="57" fillId="0" borderId="0" xfId="0" applyFont="1" applyFill="1" applyBorder="1" applyAlignment="1">
      <alignment horizontal="center"/>
    </xf>
    <xf numFmtId="0" fontId="4" fillId="0" borderId="58" xfId="5" applyBorder="1" applyAlignment="1" applyProtection="1">
      <alignment horizontal="left"/>
    </xf>
    <xf numFmtId="0" fontId="4" fillId="0" borderId="59" xfId="5" applyBorder="1" applyAlignment="1" applyProtection="1">
      <alignment horizontal="left"/>
    </xf>
    <xf numFmtId="0" fontId="4" fillId="0" borderId="87" xfId="5" applyBorder="1" applyAlignment="1" applyProtection="1">
      <alignment horizontal="left"/>
    </xf>
    <xf numFmtId="0" fontId="3" fillId="3" borderId="4" xfId="0" applyFont="1" applyFill="1" applyBorder="1" applyAlignment="1">
      <alignment horizontal="center"/>
    </xf>
    <xf numFmtId="0" fontId="3" fillId="3" borderId="0" xfId="0" applyFont="1" applyFill="1" applyBorder="1" applyAlignment="1">
      <alignment horizontal="center"/>
    </xf>
    <xf numFmtId="0" fontId="3" fillId="0" borderId="0" xfId="0" applyFont="1" applyFill="1" applyBorder="1" applyAlignment="1">
      <alignment horizontal="center" vertical="center" wrapText="1"/>
    </xf>
    <xf numFmtId="0" fontId="3" fillId="0" borderId="5" xfId="0" applyFont="1" applyFill="1" applyBorder="1" applyAlignment="1">
      <alignment horizontal="center" vertical="center" wrapText="1"/>
    </xf>
    <xf numFmtId="0" fontId="57" fillId="0" borderId="4" xfId="0" applyFont="1" applyFill="1" applyBorder="1" applyAlignment="1">
      <alignment horizontal="left" wrapText="1"/>
    </xf>
    <xf numFmtId="0" fontId="57" fillId="0" borderId="5" xfId="0" applyFont="1" applyFill="1" applyBorder="1" applyAlignment="1">
      <alignment horizontal="left" wrapText="1"/>
    </xf>
    <xf numFmtId="0" fontId="57" fillId="0" borderId="4" xfId="0" applyFont="1" applyFill="1" applyBorder="1" applyAlignment="1">
      <alignment horizontal="left"/>
    </xf>
    <xf numFmtId="0" fontId="57" fillId="0" borderId="0" xfId="0" applyFont="1" applyFill="1" applyBorder="1" applyAlignment="1">
      <alignment horizontal="left"/>
    </xf>
    <xf numFmtId="0" fontId="57" fillId="0" borderId="5" xfId="0" applyFont="1" applyFill="1" applyBorder="1" applyAlignment="1">
      <alignment horizontal="left"/>
    </xf>
    <xf numFmtId="0" fontId="1" fillId="0" borderId="126" xfId="0" applyFont="1" applyBorder="1" applyAlignment="1">
      <alignment horizontal="left" vertical="top" wrapText="1"/>
    </xf>
    <xf numFmtId="0" fontId="0" fillId="0" borderId="154" xfId="0" applyBorder="1" applyAlignment="1">
      <alignment horizontal="left" vertical="top" wrapText="1"/>
    </xf>
    <xf numFmtId="0" fontId="5" fillId="0" borderId="24" xfId="0" applyFont="1" applyBorder="1" applyAlignment="1">
      <alignment horizontal="left"/>
    </xf>
    <xf numFmtId="0" fontId="5" fillId="0" borderId="66" xfId="0" applyFont="1" applyBorder="1" applyAlignment="1">
      <alignment horizontal="left"/>
    </xf>
    <xf numFmtId="0" fontId="7" fillId="2" borderId="4" xfId="0" applyFont="1" applyFill="1" applyBorder="1" applyAlignment="1">
      <alignment horizontal="left" wrapText="1"/>
    </xf>
    <xf numFmtId="0" fontId="7" fillId="2" borderId="0" xfId="0" applyFont="1" applyFill="1" applyBorder="1" applyAlignment="1">
      <alignment horizontal="left" wrapText="1"/>
    </xf>
    <xf numFmtId="0" fontId="7" fillId="2" borderId="5" xfId="0" applyFont="1" applyFill="1" applyBorder="1" applyAlignment="1">
      <alignment horizontal="left" wrapText="1"/>
    </xf>
    <xf numFmtId="0" fontId="3" fillId="0" borderId="2" xfId="0" applyFont="1" applyBorder="1" applyAlignment="1">
      <alignment horizontal="center" vertical="center" wrapText="1"/>
    </xf>
    <xf numFmtId="0" fontId="3" fillId="0" borderId="1" xfId="0" applyFont="1" applyBorder="1" applyAlignment="1">
      <alignment horizontal="center" vertical="center" wrapText="1"/>
    </xf>
    <xf numFmtId="0" fontId="3" fillId="0" borderId="3" xfId="0" applyFont="1" applyBorder="1" applyAlignment="1">
      <alignment horizontal="center" vertical="center" wrapText="1"/>
    </xf>
    <xf numFmtId="0" fontId="46" fillId="2" borderId="58" xfId="5" applyFont="1" applyFill="1" applyBorder="1" applyAlignment="1" applyProtection="1">
      <alignment horizontal="left" wrapText="1"/>
    </xf>
    <xf numFmtId="0" fontId="46" fillId="2" borderId="59" xfId="5" applyFont="1" applyFill="1" applyBorder="1" applyAlignment="1" applyProtection="1">
      <alignment horizontal="left" wrapText="1"/>
    </xf>
    <xf numFmtId="0" fontId="46" fillId="2" borderId="87" xfId="5" applyFont="1" applyFill="1" applyBorder="1" applyAlignment="1" applyProtection="1">
      <alignment horizontal="left" wrapText="1"/>
    </xf>
    <xf numFmtId="0" fontId="5" fillId="0" borderId="24" xfId="0" applyFont="1" applyBorder="1" applyAlignment="1">
      <alignment horizontal="left" wrapText="1"/>
    </xf>
    <xf numFmtId="0" fontId="5" fillId="0" borderId="66" xfId="0" applyFont="1" applyBorder="1" applyAlignment="1">
      <alignment horizontal="left" wrapText="1"/>
    </xf>
    <xf numFmtId="0" fontId="7" fillId="0" borderId="4" xfId="0" applyFont="1" applyFill="1" applyBorder="1" applyAlignment="1">
      <alignment wrapText="1"/>
    </xf>
    <xf numFmtId="0" fontId="7" fillId="0" borderId="0" xfId="0" applyFont="1" applyFill="1" applyBorder="1" applyAlignment="1">
      <alignment wrapText="1"/>
    </xf>
    <xf numFmtId="0" fontId="7" fillId="0" borderId="5" xfId="0" applyFont="1" applyFill="1" applyBorder="1" applyAlignment="1">
      <alignment wrapText="1"/>
    </xf>
    <xf numFmtId="0" fontId="8" fillId="3" borderId="4"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5" xfId="0" applyFont="1" applyFill="1" applyBorder="1" applyAlignment="1">
      <alignment horizontal="left" vertical="center" wrapText="1"/>
    </xf>
    <xf numFmtId="0" fontId="6" fillId="13" borderId="0" xfId="0" applyFont="1" applyFill="1" applyBorder="1" applyAlignment="1">
      <alignment wrapText="1"/>
    </xf>
    <xf numFmtId="0" fontId="0" fillId="0" borderId="0" xfId="0" applyBorder="1"/>
    <xf numFmtId="0" fontId="7" fillId="0" borderId="59" xfId="0" applyFont="1" applyFill="1" applyBorder="1" applyAlignment="1">
      <alignment horizontal="left" wrapText="1"/>
    </xf>
    <xf numFmtId="0" fontId="8" fillId="2" borderId="2" xfId="0" applyFont="1" applyFill="1" applyBorder="1" applyAlignment="1">
      <alignment horizontal="center" vertical="center" wrapText="1"/>
    </xf>
    <xf numFmtId="0" fontId="7" fillId="2" borderId="4" xfId="0" applyFont="1" applyFill="1" applyBorder="1" applyAlignment="1">
      <alignment wrapText="1"/>
    </xf>
    <xf numFmtId="0" fontId="7" fillId="2" borderId="0" xfId="0" applyFont="1" applyFill="1" applyBorder="1" applyAlignment="1">
      <alignment wrapText="1"/>
    </xf>
    <xf numFmtId="0" fontId="7" fillId="2" borderId="5" xfId="0" applyFont="1" applyFill="1" applyBorder="1" applyAlignment="1">
      <alignment wrapText="1"/>
    </xf>
    <xf numFmtId="173" fontId="17"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7" fillId="3" borderId="13" xfId="0" applyFont="1" applyFill="1" applyBorder="1" applyAlignment="1" applyProtection="1">
      <alignment wrapText="1"/>
    </xf>
    <xf numFmtId="0" fontId="18" fillId="3" borderId="16" xfId="0" applyFont="1" applyFill="1" applyBorder="1" applyAlignment="1" applyProtection="1">
      <alignment wrapText="1"/>
    </xf>
    <xf numFmtId="0" fontId="13" fillId="0" borderId="13" xfId="0" applyFont="1" applyBorder="1" applyAlignment="1" applyProtection="1">
      <alignment horizontal="left"/>
      <protection locked="0"/>
    </xf>
    <xf numFmtId="0" fontId="0" fillId="0" borderId="15" xfId="0" applyBorder="1" applyAlignment="1" applyProtection="1">
      <protection locked="0"/>
    </xf>
    <xf numFmtId="0" fontId="0" fillId="0" borderId="16" xfId="0" applyBorder="1" applyAlignment="1" applyProtection="1">
      <protection locked="0"/>
    </xf>
  </cellXfs>
  <cellStyles count="21">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3">
    <dxf>
      <font>
        <strike val="0"/>
        <condense val="0"/>
        <extend val="0"/>
        <color indexed="22"/>
      </font>
    </dxf>
    <dxf>
      <font>
        <b/>
        <i val="0"/>
        <strike val="0"/>
        <condense val="0"/>
        <extend val="0"/>
        <color auto="1"/>
      </font>
    </dxf>
    <dxf>
      <font>
        <b/>
        <i val="0"/>
        <color rgb="FFFFFF00"/>
      </font>
      <fill>
        <patternFill>
          <bgColor rgb="FFFF0000"/>
        </patternFill>
      </fill>
    </dxf>
  </dxfs>
  <tableStyles count="0" defaultTableStyle="TableStyleMedium9" defaultPivotStyle="PivotStyleLight16"/>
  <colors>
    <mruColors>
      <color rgb="FFFFCC99"/>
      <color rgb="FF97B757"/>
      <color rgb="FFB54E4B"/>
      <color rgb="FFF5FFE6"/>
      <color rgb="FFE4FDC2"/>
      <color rgb="FFDAFDA7"/>
      <color rgb="FFFFA2A1"/>
      <color rgb="FFFFBEBD"/>
      <color rgb="FFFFE5E5"/>
      <color rgb="FFA2BF3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Other Variable Operating Costs</c:v>
                </c:pt>
                <c:pt idx="7">
                  <c:v>Other Raw Material Cost</c:v>
                </c:pt>
                <c:pt idx="8">
                  <c:v>Initial Equity Depreciable Capital</c:v>
                </c:pt>
                <c:pt idx="9">
                  <c:v>Debt Interest</c:v>
                </c:pt>
                <c:pt idx="10">
                  <c:v>Cash for Working Capital Reserve</c:v>
                </c:pt>
                <c:pt idx="11">
                  <c:v>Yearly Replacement Costs</c:v>
                </c:pt>
                <c:pt idx="12">
                  <c:v>Taxes</c:v>
                </c:pt>
                <c:pt idx="13">
                  <c:v>Other Non-Depreciable Capital Costs</c:v>
                </c:pt>
                <c:pt idx="14">
                  <c:v>Principal Payment</c:v>
                </c:pt>
                <c:pt idx="15">
                  <c:v>Decommissioning Costs</c:v>
                </c:pt>
              </c:strCache>
            </c:strRef>
          </c:cat>
          <c:val>
            <c:numRef>
              <c:f>'Tornado Charts &amp; Risk Analysis'!$I$155:$I$170</c:f>
              <c:numCache>
                <c:formatCode>_("$"* #,##0.00_);_("$"* \(#,##0.00\);_("$"* "-"??_);_(@_)</c:formatCode>
                <c:ptCount val="16"/>
                <c:pt idx="0">
                  <c:v>2.2167386276561176</c:v>
                </c:pt>
                <c:pt idx="1">
                  <c:v>1.5466729916409979E-3</c:v>
                </c:pt>
                <c:pt idx="2">
                  <c:v>0</c:v>
                </c:pt>
                <c:pt idx="4">
                  <c:v>1.3438636580768006</c:v>
                </c:pt>
                <c:pt idx="5">
                  <c:v>0.24151439550643775</c:v>
                </c:pt>
                <c:pt idx="6">
                  <c:v>0.18472633156029178</c:v>
                </c:pt>
                <c:pt idx="7">
                  <c:v>0.14277252538404067</c:v>
                </c:pt>
                <c:pt idx="8">
                  <c:v>0.14063856670484737</c:v>
                </c:pt>
                <c:pt idx="9">
                  <c:v>9.2389977839911513E-2</c:v>
                </c:pt>
                <c:pt idx="10">
                  <c:v>2.6099437030722344E-2</c:v>
                </c:pt>
                <c:pt idx="11">
                  <c:v>1.9752209149708037E-2</c:v>
                </c:pt>
                <c:pt idx="12">
                  <c:v>1.5344436337820982E-2</c:v>
                </c:pt>
                <c:pt idx="13">
                  <c:v>5.5084601150012609E-3</c:v>
                </c:pt>
                <c:pt idx="14">
                  <c:v>4.1503685959502759E-3</c:v>
                </c:pt>
                <c:pt idx="15">
                  <c:v>1.5249343462242497E-3</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2.2167386276561176</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1.5466729916409979E-3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1.3438636580768006</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0.24151439550643775</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Other Variable Operating Costs</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0.18472633156029178</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Other Raw Material Cost</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0.14277252538404067</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Initial Equity Depreciable Capital</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0.14063856670484737</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Debt Interest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9.2389977839911513E-2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Cash for Working Capital Reserve</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2.6099437030722344E-2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Yearly Replacement Costs</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1.9752209149708037E-2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Taxes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1.5344436337820982E-2</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Other Non-Depreciable Capital Costs</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5.5084601150012609E-3</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Principal Payment</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4.1503685959502759E-3</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Decommissioning Costs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1.5249343462242497E-3</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2.2182853006477585</c:v>
                </c:pt>
                <c:pt idx="1">
                  <c:v>2.2182853006477568</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Feedstock Consumption (% of baseline)
(95%, 100%, 105%)</c:v>
                </c:pt>
                <c:pt idx="1">
                  <c:v>Operating Capacity Factor
(95%, 90%, 86%)</c:v>
                </c:pt>
                <c:pt idx="2">
                  <c:v>Total Capital Investment
($185,998K, $195,787K, $205,577K) </c:v>
                </c:pt>
                <c:pt idx="3">
                  <c:v>Total Fixed Operating Cost
($11,211K, $11,801K, $12,391K) </c:v>
                </c:pt>
                <c:pt idx="4">
                  <c:v>After-tax Real IRR
(8%, 8%, 8%)</c:v>
                </c:pt>
                <c:pt idx="5">
                  <c:v>Plant Design Capacity (kg of H2/day)
(162,496, 154,758, 147,020) </c:v>
                </c:pt>
                <c:pt idx="6">
                  <c:v>Utilities Consumption (% of baseline)
(95%, 100%, 105%)</c:v>
                </c:pt>
              </c:strCache>
            </c:strRef>
          </c:cat>
          <c:val>
            <c:numRef>
              <c:f>'Tornado Charts &amp; Risk Analysis'!$H$101:$H$107</c:f>
              <c:numCache>
                <c:formatCode>General</c:formatCode>
                <c:ptCount val="7"/>
                <c:pt idx="0">
                  <c:v>2.1483109780849343</c:v>
                </c:pt>
                <c:pt idx="1">
                  <c:v>2.1824300916819852</c:v>
                </c:pt>
                <c:pt idx="2">
                  <c:v>2.2005814457790063</c:v>
                </c:pt>
                <c:pt idx="3">
                  <c:v>2.2044409737022246</c:v>
                </c:pt>
                <c:pt idx="4">
                  <c:v>2.205335690619278</c:v>
                </c:pt>
                <c:pt idx="5">
                  <c:v>2.2079946666505683</c:v>
                </c:pt>
                <c:pt idx="6">
                  <c:v>2.2109829830632637</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($185,998K, $195,787K, $205,577K) </c:v>
                </c:pt>
                <c:pt idx="3">
                  <c:v>Total Fixed Operating Cost
($11,211K, $11,801K, $12,391K) </c:v>
                </c:pt>
                <c:pt idx="4">
                  <c:v>After-tax Real IRR
(8%, 8%, 8%)</c:v>
                </c:pt>
                <c:pt idx="5">
                  <c:v>Plant Design Capacity (kg of H2/day)
(162,496, 154,758, 147,020) </c:v>
                </c:pt>
                <c:pt idx="6">
                  <c:v>Utilities Consumption (% of baseline)
(95%, 100%, 105%)</c:v>
                </c:pt>
              </c:strCache>
            </c:strRef>
          </c:cat>
          <c:val>
            <c:numRef>
              <c:f>'Tornado Charts &amp; Risk Analysis'!$I$101:$I$107</c:f>
              <c:numCache>
                <c:formatCode>General</c:formatCode>
                <c:ptCount val="7"/>
                <c:pt idx="0">
                  <c:v>6.8427649571183302E-2</c:v>
                </c:pt>
                <c:pt idx="1">
                  <c:v>3.4308535974132415E-2</c:v>
                </c:pt>
                <c:pt idx="2">
                  <c:v>1.6157181877111348E-2</c:v>
                </c:pt>
                <c:pt idx="3">
                  <c:v>1.229765395389304E-2</c:v>
                </c:pt>
                <c:pt idx="4">
                  <c:v>1.1402937036839589E-2</c:v>
                </c:pt>
                <c:pt idx="5">
                  <c:v>8.7439610055493056E-3</c:v>
                </c:pt>
                <c:pt idx="6">
                  <c:v>5.7556445928539368E-3</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Feedstock Consumption (% of baseline)
(95%, 100%, 105%)</c:v>
                </c:pt>
                <c:pt idx="1">
                  <c:v>Operating Capacity Factor
(95%, 90%, 86%)</c:v>
                </c:pt>
                <c:pt idx="2">
                  <c:v>Total Capital Investment
($185,998K, $195,787K, $205,577K) </c:v>
                </c:pt>
                <c:pt idx="3">
                  <c:v>Total Fixed Operating Cost
($11,211K, $11,801K, $12,391K) </c:v>
                </c:pt>
                <c:pt idx="4">
                  <c:v>After-tax Real IRR
(8%, 8%, 8%)</c:v>
                </c:pt>
                <c:pt idx="5">
                  <c:v>Plant Design Capacity (kg of H2/day)
(162,496, 154,758, 147,020) </c:v>
                </c:pt>
                <c:pt idx="6">
                  <c:v>Utilities Consumption (% of baseline)
(95%, 100%, 105%)</c:v>
                </c:pt>
              </c:strCache>
            </c:strRef>
          </c:cat>
          <c:val>
            <c:numRef>
              <c:f>'Tornado Charts &amp; Risk Analysis'!$J$101:$J$107</c:f>
              <c:numCache>
                <c:formatCode>General</c:formatCode>
                <c:ptCount val="7"/>
                <c:pt idx="0">
                  <c:v>6.8427649571182414E-2</c:v>
                </c:pt>
                <c:pt idx="1">
                  <c:v>3.7919960813515452E-2</c:v>
                </c:pt>
                <c:pt idx="2">
                  <c:v>1.615718187711046E-2</c:v>
                </c:pt>
                <c:pt idx="3">
                  <c:v>1.2297653953891707E-2</c:v>
                </c:pt>
                <c:pt idx="4">
                  <c:v>1.1725111585239478E-2</c:v>
                </c:pt>
                <c:pt idx="5">
                  <c:v>9.4644840744573244E-3</c:v>
                </c:pt>
                <c:pt idx="6">
                  <c:v>5.7556445928530486E-3</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2.1483109780849343</c:v>
                </c:pt>
                <c:pt idx="1">
                  <c:v>2.1824300916819852</c:v>
                </c:pt>
                <c:pt idx="2">
                  <c:v>2.2005814457790063</c:v>
                </c:pt>
                <c:pt idx="3">
                  <c:v>2.2044409737022246</c:v>
                </c:pt>
                <c:pt idx="4">
                  <c:v>2.205335690619278</c:v>
                </c:pt>
                <c:pt idx="5">
                  <c:v>2.2079946666505683</c:v>
                </c:pt>
                <c:pt idx="6">
                  <c:v>2.2109829830632637</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2.2851662772273</c:v>
                </c:pt>
                <c:pt idx="1">
                  <c:v>2.2546585884696331</c:v>
                </c:pt>
                <c:pt idx="2">
                  <c:v>2.2328958095332281</c:v>
                </c:pt>
                <c:pt idx="3">
                  <c:v>2.2290362816100093</c:v>
                </c:pt>
                <c:pt idx="4">
                  <c:v>2.2284637392413571</c:v>
                </c:pt>
                <c:pt idx="5">
                  <c:v>2.2262031117305749</c:v>
                </c:pt>
                <c:pt idx="6">
                  <c:v>2.2224942722489707</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2.2167386276561176</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Analysis'!$E$175:$E$181</c:f>
              <c:numCache>
                <c:formatCode>_("$"* #,##0.00_);_("$"* \(#,##0.00\);_("$"* "-"??_);_(@_)</c:formatCode>
                <c:ptCount val="7"/>
                <c:pt idx="0">
                  <c:v>2.2167386276561176</c:v>
                </c:pt>
                <c:pt idx="1">
                  <c:v>2.1483109780849343</c:v>
                </c:pt>
                <c:pt idx="2">
                  <c:v>2.1140024421108028</c:v>
                </c:pt>
                <c:pt idx="3">
                  <c:v>2.0986146498468869</c:v>
                </c:pt>
                <c:pt idx="4">
                  <c:v>2.0870969030137525</c:v>
                </c:pt>
                <c:pt idx="5">
                  <c:v>2.0813412584208995</c:v>
                </c:pt>
                <c:pt idx="6">
                  <c:v>2.0813412584208995</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Analysis'!$F$175:$F$181</c:f>
              <c:numCache>
                <c:formatCode>_("$"* #,##0.00_);_("$"* \(#,##0.00\);_("$"* "-"??_);_(@_)</c:formatCode>
                <c:ptCount val="7"/>
                <c:pt idx="1">
                  <c:v>6.8427649571183302E-2</c:v>
                </c:pt>
                <c:pt idx="2">
                  <c:v>3.4308535974131527E-2</c:v>
                </c:pt>
                <c:pt idx="3">
                  <c:v>1.5387792263915845E-2</c:v>
                </c:pt>
                <c:pt idx="4">
                  <c:v>1.1517746833134446E-2</c:v>
                </c:pt>
                <c:pt idx="5">
                  <c:v>5.7556445928530486E-3</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Feedstock consumption (% of most likely value)
= -5%</c:v>
                </c:pt>
                <c:pt idx="2">
                  <c:v>Operating capacity factor
= +5%</c:v>
                </c:pt>
                <c:pt idx="3">
                  <c:v>Total capital investment ($)
= -5%</c:v>
                </c:pt>
                <c:pt idx="4">
                  <c:v>Total fixed operating cost ($/year)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2.1275813137260604</c:v>
                </c:pt>
                <c:pt idx="1">
                  <c:v>2.1373865731833854</c:v>
                </c:pt>
                <c:pt idx="2">
                  <c:v>2.1471918326407096</c:v>
                </c:pt>
                <c:pt idx="3">
                  <c:v>2.1569970920980346</c:v>
                </c:pt>
                <c:pt idx="4">
                  <c:v>2.1668023515553587</c:v>
                </c:pt>
                <c:pt idx="5">
                  <c:v>2.1766076110126837</c:v>
                </c:pt>
                <c:pt idx="6">
                  <c:v>2.1864128704700079</c:v>
                </c:pt>
                <c:pt idx="7">
                  <c:v>2.1962181299273329</c:v>
                </c:pt>
                <c:pt idx="8">
                  <c:v>2.206023389384657</c:v>
                </c:pt>
                <c:pt idx="9">
                  <c:v>2.2158286488419821</c:v>
                </c:pt>
                <c:pt idx="10">
                  <c:v>2.2256339082993062</c:v>
                </c:pt>
                <c:pt idx="11">
                  <c:v>2.2354391677566312</c:v>
                </c:pt>
                <c:pt idx="12">
                  <c:v>2.2452444272139553</c:v>
                </c:pt>
                <c:pt idx="13">
                  <c:v>2.2550496866712804</c:v>
                </c:pt>
                <c:pt idx="14">
                  <c:v>2.2648549461286045</c:v>
                </c:pt>
                <c:pt idx="15">
                  <c:v>2.2746602055859295</c:v>
                </c:pt>
                <c:pt idx="16">
                  <c:v>2.2844654650432537</c:v>
                </c:pt>
                <c:pt idx="17">
                  <c:v>2.2942707245005787</c:v>
                </c:pt>
                <c:pt idx="18">
                  <c:v>2.3040759839579028</c:v>
                </c:pt>
                <c:pt idx="19">
                  <c:v>2.3138817434152275</c:v>
                </c:pt>
              </c:numCache>
            </c:numRef>
          </c:xVal>
          <c:yVal>
            <c:numRef>
              <c:f>'Tornado Charts &amp; Risk Analysis'!$I$202:$I$221</c:f>
              <c:numCache>
                <c:formatCode>General</c:formatCode>
                <c:ptCount val="20"/>
                <c:pt idx="0">
                  <c:v>2E-3</c:v>
                </c:pt>
                <c:pt idx="1">
                  <c:v>7.0000000000000001E-3</c:v>
                </c:pt>
                <c:pt idx="2">
                  <c:v>1.6500000000000001E-2</c:v>
                </c:pt>
                <c:pt idx="3">
                  <c:v>3.9E-2</c:v>
                </c:pt>
                <c:pt idx="4">
                  <c:v>8.3999999999999991E-2</c:v>
                </c:pt>
                <c:pt idx="5">
                  <c:v>0.151</c:v>
                </c:pt>
                <c:pt idx="6">
                  <c:v>0.22299999999999998</c:v>
                </c:pt>
                <c:pt idx="7">
                  <c:v>0.31199999999999994</c:v>
                </c:pt>
                <c:pt idx="8">
                  <c:v>0.42349999999999993</c:v>
                </c:pt>
                <c:pt idx="9">
                  <c:v>0.53699999999999992</c:v>
                </c:pt>
                <c:pt idx="10">
                  <c:v>0.65249999999999997</c:v>
                </c:pt>
                <c:pt idx="11">
                  <c:v>0.75149999999999995</c:v>
                </c:pt>
                <c:pt idx="12">
                  <c:v>0.8304999999999999</c:v>
                </c:pt>
                <c:pt idx="13">
                  <c:v>0.8879999999999999</c:v>
                </c:pt>
                <c:pt idx="14">
                  <c:v>0.94149999999999989</c:v>
                </c:pt>
                <c:pt idx="15">
                  <c:v>0.97049999999999992</c:v>
                </c:pt>
                <c:pt idx="16">
                  <c:v>0.98549999999999993</c:v>
                </c:pt>
                <c:pt idx="17">
                  <c:v>0.99449999999999994</c:v>
                </c:pt>
                <c:pt idx="18">
                  <c:v>0.99949999999999994</c:v>
                </c:pt>
                <c:pt idx="19">
                  <c:v>0.99999999999999989</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2.1275813137260604</c:v>
                </c:pt>
                <c:pt idx="1">
                  <c:v>2.1373865731833854</c:v>
                </c:pt>
                <c:pt idx="2">
                  <c:v>2.1471918326407096</c:v>
                </c:pt>
                <c:pt idx="3">
                  <c:v>2.1569970920980346</c:v>
                </c:pt>
                <c:pt idx="4">
                  <c:v>2.1668023515553587</c:v>
                </c:pt>
                <c:pt idx="5">
                  <c:v>2.1766076110126837</c:v>
                </c:pt>
                <c:pt idx="6">
                  <c:v>2.1864128704700079</c:v>
                </c:pt>
                <c:pt idx="7">
                  <c:v>2.1962181299273329</c:v>
                </c:pt>
                <c:pt idx="8">
                  <c:v>2.206023389384657</c:v>
                </c:pt>
                <c:pt idx="9">
                  <c:v>2.2158286488419821</c:v>
                </c:pt>
                <c:pt idx="10">
                  <c:v>2.2256339082993062</c:v>
                </c:pt>
                <c:pt idx="11">
                  <c:v>2.2354391677566312</c:v>
                </c:pt>
                <c:pt idx="12">
                  <c:v>2.2452444272139553</c:v>
                </c:pt>
                <c:pt idx="13">
                  <c:v>2.2550496866712804</c:v>
                </c:pt>
                <c:pt idx="14">
                  <c:v>2.2648549461286045</c:v>
                </c:pt>
                <c:pt idx="15">
                  <c:v>2.2746602055859295</c:v>
                </c:pt>
                <c:pt idx="16">
                  <c:v>2.2844654650432537</c:v>
                </c:pt>
                <c:pt idx="17">
                  <c:v>2.2942707245005787</c:v>
                </c:pt>
                <c:pt idx="18">
                  <c:v>2.3040759839579028</c:v>
                </c:pt>
                <c:pt idx="19">
                  <c:v>2.3138817434152275</c:v>
                </c:pt>
              </c:numCache>
            </c:numRef>
          </c:xVal>
          <c:yVal>
            <c:numRef>
              <c:f>'Tornado Charts &amp; Risk Analysis'!$H$202:$H$221</c:f>
              <c:numCache>
                <c:formatCode>General</c:formatCode>
                <c:ptCount val="20"/>
                <c:pt idx="0">
                  <c:v>2E-3</c:v>
                </c:pt>
                <c:pt idx="1">
                  <c:v>5.0000000000000001E-3</c:v>
                </c:pt>
                <c:pt idx="2">
                  <c:v>9.4999999999999998E-3</c:v>
                </c:pt>
                <c:pt idx="3">
                  <c:v>2.2499999999999999E-2</c:v>
                </c:pt>
                <c:pt idx="4">
                  <c:v>4.4999999999999998E-2</c:v>
                </c:pt>
                <c:pt idx="5">
                  <c:v>6.7000000000000004E-2</c:v>
                </c:pt>
                <c:pt idx="6">
                  <c:v>7.1999999999999995E-2</c:v>
                </c:pt>
                <c:pt idx="7">
                  <c:v>8.8999999999999996E-2</c:v>
                </c:pt>
                <c:pt idx="8">
                  <c:v>0.1115</c:v>
                </c:pt>
                <c:pt idx="9">
                  <c:v>0.1135</c:v>
                </c:pt>
                <c:pt idx="10">
                  <c:v>0.11550000000000001</c:v>
                </c:pt>
                <c:pt idx="11">
                  <c:v>9.9000000000000005E-2</c:v>
                </c:pt>
                <c:pt idx="12">
                  <c:v>7.9000000000000001E-2</c:v>
                </c:pt>
                <c:pt idx="13">
                  <c:v>5.7500000000000002E-2</c:v>
                </c:pt>
                <c:pt idx="14">
                  <c:v>5.3499999999999999E-2</c:v>
                </c:pt>
                <c:pt idx="15">
                  <c:v>2.9000000000000001E-2</c:v>
                </c:pt>
                <c:pt idx="16">
                  <c:v>1.4999999999999999E-2</c:v>
                </c:pt>
                <c:pt idx="17">
                  <c:v>8.9999999999999993E-3</c:v>
                </c:pt>
                <c:pt idx="18">
                  <c:v>5.0000000000000001E-3</c:v>
                </c:pt>
                <c:pt idx="19">
                  <c:v>5.0000000000000001E-4</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33.emf"/><Relationship Id="rId7" Type="http://schemas.openxmlformats.org/officeDocument/2006/relationships/image" Target="../media/image28.emf"/><Relationship Id="rId2" Type="http://schemas.openxmlformats.org/officeDocument/2006/relationships/image" Target="../media/image32.emf"/><Relationship Id="rId1" Type="http://schemas.openxmlformats.org/officeDocument/2006/relationships/image" Target="../media/image31.emf"/><Relationship Id="rId6" Type="http://schemas.openxmlformats.org/officeDocument/2006/relationships/image" Target="../media/image29.emf"/><Relationship Id="rId11" Type="http://schemas.openxmlformats.org/officeDocument/2006/relationships/image" Target="../media/image24.emf"/><Relationship Id="rId5" Type="http://schemas.openxmlformats.org/officeDocument/2006/relationships/image" Target="../media/image30.emf"/><Relationship Id="rId10" Type="http://schemas.openxmlformats.org/officeDocument/2006/relationships/image" Target="../media/image25.emf"/><Relationship Id="rId4" Type="http://schemas.openxmlformats.org/officeDocument/2006/relationships/image" Target="../media/image34.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7.emf"/></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6862000</xdr:colOff>
      <xdr:row>1</xdr:row>
      <xdr:rowOff>210590</xdr:rowOff>
    </xdr:from>
    <xdr:to>
      <xdr:col>1</xdr:col>
      <xdr:colOff>7991436</xdr:colOff>
      <xdr:row>3</xdr:row>
      <xdr:rowOff>138465</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a:off x="7467118" y="367472"/>
          <a:ext cx="1129436" cy="37611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xdr:col>
      <xdr:colOff>0</xdr:colOff>
      <xdr:row>9</xdr:row>
      <xdr:rowOff>0</xdr:rowOff>
    </xdr:from>
    <xdr:to>
      <xdr:col>2</xdr:col>
      <xdr:colOff>677508</xdr:colOff>
      <xdr:row>49</xdr:row>
      <xdr:rowOff>39781</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5118" y="2689412"/>
          <a:ext cx="9025890" cy="6315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586068</xdr:colOff>
      <xdr:row>29</xdr:row>
      <xdr:rowOff>100853</xdr:rowOff>
    </xdr:from>
    <xdr:to>
      <xdr:col>4</xdr:col>
      <xdr:colOff>336574</xdr:colOff>
      <xdr:row>38</xdr:row>
      <xdr:rowOff>41462</xdr:rowOff>
    </xdr:to>
    <xdr:sp macro="" textlink="">
      <xdr:nvSpPr>
        <xdr:cNvPr id="7" name="AutoShape 4">
          <a:extLst>
            <a:ext uri="{FF2B5EF4-FFF2-40B4-BE49-F238E27FC236}">
              <a16:creationId xmlns:a16="http://schemas.microsoft.com/office/drawing/2014/main" id="{00000000-0008-0000-0200-000007000000}"/>
            </a:ext>
          </a:extLst>
        </xdr:cNvPr>
        <xdr:cNvSpPr>
          <a:spLocks/>
        </xdr:cNvSpPr>
      </xdr:nvSpPr>
      <xdr:spPr bwMode="auto">
        <a:xfrm>
          <a:off x="9539568" y="5927912"/>
          <a:ext cx="1465006" cy="1352550"/>
        </a:xfrm>
        <a:prstGeom prst="borderCallout2">
          <a:avLst>
            <a:gd name="adj1" fmla="val 8449"/>
            <a:gd name="adj2" fmla="val -5370"/>
            <a:gd name="adj3" fmla="val 8449"/>
            <a:gd name="adj4" fmla="val -100671"/>
            <a:gd name="adj5" fmla="val 80984"/>
            <a:gd name="adj6" fmla="val -132885"/>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Hydrogen compression energy usage and capital costs were removed from this analysis to maintain consistency with other H2A case studies.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227</xdr:row>
      <xdr:rowOff>0</xdr:rowOff>
    </xdr:from>
    <xdr:to>
      <xdr:col>2</xdr:col>
      <xdr:colOff>76200</xdr:colOff>
      <xdr:row>228</xdr:row>
      <xdr:rowOff>36439</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17720" y="5262372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3</xdr:col>
          <xdr:colOff>165100</xdr:colOff>
          <xdr:row>66</xdr:row>
          <xdr:rowOff>12700</xdr:rowOff>
        </xdr:from>
        <xdr:to>
          <xdr:col>3</xdr:col>
          <xdr:colOff>488950</xdr:colOff>
          <xdr:row>66</xdr:row>
          <xdr:rowOff>190500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2495550</xdr:colOff>
          <xdr:row>66</xdr:row>
          <xdr:rowOff>31750</xdr:rowOff>
        </xdr:from>
        <xdr:to>
          <xdr:col>1</xdr:col>
          <xdr:colOff>3714750</xdr:colOff>
          <xdr:row>66</xdr:row>
          <xdr:rowOff>209550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130</xdr:row>
          <xdr:rowOff>247650</xdr:rowOff>
        </xdr:from>
        <xdr:to>
          <xdr:col>3</xdr:col>
          <xdr:colOff>184150</xdr:colOff>
          <xdr:row>131</xdr:row>
          <xdr:rowOff>228600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2222500</xdr:colOff>
          <xdr:row>133</xdr:row>
          <xdr:rowOff>38100</xdr:rowOff>
        </xdr:from>
        <xdr:to>
          <xdr:col>1</xdr:col>
          <xdr:colOff>3613150</xdr:colOff>
          <xdr:row>133</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133</xdr:row>
          <xdr:rowOff>50800</xdr:rowOff>
        </xdr:from>
        <xdr:to>
          <xdr:col>3</xdr:col>
          <xdr:colOff>609600</xdr:colOff>
          <xdr:row>133</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40</xdr:row>
          <xdr:rowOff>184150</xdr:rowOff>
        </xdr:from>
        <xdr:to>
          <xdr:col>3</xdr:col>
          <xdr:colOff>1231900</xdr:colOff>
          <xdr:row>41</xdr:row>
          <xdr:rowOff>184150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42</xdr:row>
          <xdr:rowOff>12700</xdr:rowOff>
        </xdr:from>
        <xdr:to>
          <xdr:col>3</xdr:col>
          <xdr:colOff>1231900</xdr:colOff>
          <xdr:row>43</xdr:row>
          <xdr:rowOff>12700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29</xdr:row>
          <xdr:rowOff>12700</xdr:rowOff>
        </xdr:from>
        <xdr:to>
          <xdr:col>3</xdr:col>
          <xdr:colOff>1231900</xdr:colOff>
          <xdr:row>30</xdr:row>
          <xdr:rowOff>31750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12700</xdr:rowOff>
        </xdr:from>
        <xdr:to>
          <xdr:col>3</xdr:col>
          <xdr:colOff>1231900</xdr:colOff>
          <xdr:row>49</xdr:row>
          <xdr:rowOff>12700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49</xdr:row>
          <xdr:rowOff>12700</xdr:rowOff>
        </xdr:from>
        <xdr:to>
          <xdr:col>3</xdr:col>
          <xdr:colOff>1231900</xdr:colOff>
          <xdr:row>50</xdr:row>
          <xdr:rowOff>12700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12700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51</xdr:row>
          <xdr:rowOff>12700</xdr:rowOff>
        </xdr:from>
        <xdr:to>
          <xdr:col>3</xdr:col>
          <xdr:colOff>1231900</xdr:colOff>
          <xdr:row>52</xdr:row>
          <xdr:rowOff>12700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52</xdr:row>
          <xdr:rowOff>12700</xdr:rowOff>
        </xdr:from>
        <xdr:to>
          <xdr:col>3</xdr:col>
          <xdr:colOff>1231900</xdr:colOff>
          <xdr:row>53</xdr:row>
          <xdr:rowOff>12700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53</xdr:row>
          <xdr:rowOff>12700</xdr:rowOff>
        </xdr:from>
        <xdr:to>
          <xdr:col>3</xdr:col>
          <xdr:colOff>1231900</xdr:colOff>
          <xdr:row>54</xdr:row>
          <xdr:rowOff>12700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55</xdr:row>
          <xdr:rowOff>12700</xdr:rowOff>
        </xdr:from>
        <xdr:to>
          <xdr:col>3</xdr:col>
          <xdr:colOff>1231900</xdr:colOff>
          <xdr:row>56</xdr:row>
          <xdr:rowOff>12700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115</xdr:row>
          <xdr:rowOff>12700</xdr:rowOff>
        </xdr:from>
        <xdr:to>
          <xdr:col>3</xdr:col>
          <xdr:colOff>1162050</xdr:colOff>
          <xdr:row>116</xdr:row>
          <xdr:rowOff>31750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118</xdr:row>
          <xdr:rowOff>38100</xdr:rowOff>
        </xdr:from>
        <xdr:to>
          <xdr:col>3</xdr:col>
          <xdr:colOff>1085850</xdr:colOff>
          <xdr:row>118</xdr:row>
          <xdr:rowOff>247650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156</xdr:row>
          <xdr:rowOff>12700</xdr:rowOff>
        </xdr:from>
        <xdr:to>
          <xdr:col>5</xdr:col>
          <xdr:colOff>1212850</xdr:colOff>
          <xdr:row>157</xdr:row>
          <xdr:rowOff>12700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157</xdr:row>
          <xdr:rowOff>12700</xdr:rowOff>
        </xdr:from>
        <xdr:to>
          <xdr:col>5</xdr:col>
          <xdr:colOff>1212850</xdr:colOff>
          <xdr:row>158</xdr:row>
          <xdr:rowOff>12700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158</xdr:row>
          <xdr:rowOff>0</xdr:rowOff>
        </xdr:from>
        <xdr:to>
          <xdr:col>5</xdr:col>
          <xdr:colOff>1212850</xdr:colOff>
          <xdr:row>159</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160</xdr:row>
          <xdr:rowOff>0</xdr:rowOff>
        </xdr:from>
        <xdr:to>
          <xdr:col>5</xdr:col>
          <xdr:colOff>1212850</xdr:colOff>
          <xdr:row>161</xdr:row>
          <xdr:rowOff>0</xdr:rowOff>
        </xdr:to>
        <xdr:sp macro="" textlink="">
          <xdr:nvSpPr>
            <xdr:cNvPr id="1223" name="chk_Proc_CO2_tax"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162</xdr:row>
          <xdr:rowOff>0</xdr:rowOff>
        </xdr:from>
        <xdr:to>
          <xdr:col>5</xdr:col>
          <xdr:colOff>1212850</xdr:colOff>
          <xdr:row>163</xdr:row>
          <xdr:rowOff>0</xdr:rowOff>
        </xdr:to>
        <xdr:sp macro="" textlink="">
          <xdr:nvSpPr>
            <xdr:cNvPr id="1224" name="chk_Upstream_CO2_tax" hidden="1">
              <a:extLst>
                <a:ext uri="{63B3BB69-23CF-44E3-9099-C40C66FF867C}">
                  <a14:compatExt spid="_x0000_s1224"/>
                </a:ext>
                <a:ext uri="{FF2B5EF4-FFF2-40B4-BE49-F238E27FC236}">
                  <a16:creationId xmlns:a16="http://schemas.microsoft.com/office/drawing/2014/main" id="{00000000-0008-0000-0300-0000C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132</xdr:row>
      <xdr:rowOff>289433</xdr:rowOff>
    </xdr:from>
    <xdr:to>
      <xdr:col>5</xdr:col>
      <xdr:colOff>681318</xdr:colOff>
      <xdr:row>134</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5290" y="33647104"/>
          <a:ext cx="2923134" cy="2753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135</xdr:row>
      <xdr:rowOff>143435</xdr:rowOff>
    </xdr:from>
    <xdr:to>
      <xdr:col>4</xdr:col>
      <xdr:colOff>645460</xdr:colOff>
      <xdr:row>136</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8641" y="34272070"/>
          <a:ext cx="1236490" cy="39444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135</xdr:row>
      <xdr:rowOff>152400</xdr:rowOff>
    </xdr:from>
    <xdr:to>
      <xdr:col>5</xdr:col>
      <xdr:colOff>1156447</xdr:colOff>
      <xdr:row>137</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69507" y="34281035"/>
          <a:ext cx="1004046" cy="39828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155</xdr:row>
      <xdr:rowOff>17930</xdr:rowOff>
    </xdr:from>
    <xdr:to>
      <xdr:col>4</xdr:col>
      <xdr:colOff>762001</xdr:colOff>
      <xdr:row>155</xdr:row>
      <xdr:rowOff>331695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4966" y="40054306"/>
          <a:ext cx="2106706" cy="31376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88</xdr:row>
      <xdr:rowOff>205408</xdr:rowOff>
    </xdr:from>
    <xdr:to>
      <xdr:col>3</xdr:col>
      <xdr:colOff>1351721</xdr:colOff>
      <xdr:row>90</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102625" y="21382382"/>
          <a:ext cx="1318592" cy="265043"/>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90</xdr:row>
      <xdr:rowOff>20351</xdr:rowOff>
    </xdr:from>
    <xdr:to>
      <xdr:col>3</xdr:col>
      <xdr:colOff>1364974</xdr:colOff>
      <xdr:row>92</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5136" y="21804586"/>
          <a:ext cx="1338944" cy="62510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Unlink</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0.19752</cdr:x>
      <cdr:y>0.17079</cdr:y>
    </cdr:to>
    <cdr:sp macro="" textlink="'Tornado Charts &amp; Risk Analysis'!$H$155">
      <cdr:nvSpPr>
        <cdr:cNvPr id="3" name="TextBox 2"/>
        <cdr:cNvSpPr txBox="1"/>
      </cdr:nvSpPr>
      <cdr:spPr>
        <a:xfrm xmlns:a="http://schemas.openxmlformats.org/drawingml/2006/main">
          <a:off x="0" y="512904"/>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0.16896</cdr:x>
      <cdr:y>0.22302</cdr:y>
    </cdr:to>
    <cdr:sp macro="" textlink="'Tornado Charts &amp; Risk Analysis'!$H$156">
      <cdr:nvSpPr>
        <cdr:cNvPr id="4" name="TextBox 1"/>
        <cdr:cNvSpPr txBox="1"/>
      </cdr:nvSpPr>
      <cdr:spPr>
        <a:xfrm xmlns:a="http://schemas.openxmlformats.org/drawingml/2006/main">
          <a:off x="0" y="743089"/>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0.18681</cdr:x>
      <cdr:y>0.27404</cdr:y>
    </cdr:to>
    <cdr:sp macro="" textlink="'Tornado Charts &amp; Risk Analysis'!$H$157">
      <cdr:nvSpPr>
        <cdr:cNvPr id="5" name="TextBox 1"/>
        <cdr:cNvSpPr txBox="1"/>
      </cdr:nvSpPr>
      <cdr:spPr>
        <a:xfrm xmlns:a="http://schemas.openxmlformats.org/drawingml/2006/main">
          <a:off x="0" y="967942"/>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0.17965</cdr:x>
      <cdr:y>0.37808</cdr:y>
    </cdr:to>
    <cdr:sp macro="" textlink="'Tornado Charts &amp; Risk Analysis'!$H$159">
      <cdr:nvSpPr>
        <cdr:cNvPr id="6" name="TextBox 1"/>
        <cdr:cNvSpPr txBox="1"/>
      </cdr:nvSpPr>
      <cdr:spPr>
        <a:xfrm xmlns:a="http://schemas.openxmlformats.org/drawingml/2006/main">
          <a:off x="0" y="1426462"/>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0.23288</cdr:x>
      <cdr:y>0.42919</cdr:y>
    </cdr:to>
    <cdr:sp macro="" textlink="'Tornado Charts &amp; Risk Analysis'!$H$160">
      <cdr:nvSpPr>
        <cdr:cNvPr id="7" name="TextBox 1"/>
        <cdr:cNvSpPr txBox="1"/>
      </cdr:nvSpPr>
      <cdr:spPr>
        <a:xfrm xmlns:a="http://schemas.openxmlformats.org/drawingml/2006/main">
          <a:off x="0" y="1653866"/>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0.32917</cdr:x>
      <cdr:y>0.48115</cdr:y>
    </cdr:to>
    <cdr:sp macro="" textlink="'Tornado Charts &amp; Risk Analysis'!$H$161">
      <cdr:nvSpPr>
        <cdr:cNvPr id="8" name="TextBox 1"/>
        <cdr:cNvSpPr txBox="1"/>
      </cdr:nvSpPr>
      <cdr:spPr>
        <a:xfrm xmlns:a="http://schemas.openxmlformats.org/drawingml/2006/main">
          <a:off x="0" y="1883124"/>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0.26494</cdr:x>
      <cdr:y>0.53278</cdr:y>
    </cdr:to>
    <cdr:sp macro="" textlink="'Tornado Charts &amp; Risk Analysis'!$H$162">
      <cdr:nvSpPr>
        <cdr:cNvPr id="9" name="TextBox 1"/>
        <cdr:cNvSpPr txBox="1"/>
      </cdr:nvSpPr>
      <cdr:spPr>
        <a:xfrm xmlns:a="http://schemas.openxmlformats.org/drawingml/2006/main">
          <a:off x="0" y="2110925"/>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0.33866</cdr:x>
      <cdr:y>0.58457</cdr:y>
    </cdr:to>
    <cdr:sp macro="" textlink="'Tornado Charts &amp; Risk Analysis'!$H$163">
      <cdr:nvSpPr>
        <cdr:cNvPr id="10" name="TextBox 1"/>
        <cdr:cNvSpPr txBox="1"/>
      </cdr:nvSpPr>
      <cdr:spPr>
        <a:xfrm xmlns:a="http://schemas.openxmlformats.org/drawingml/2006/main">
          <a:off x="0" y="2339432"/>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0.15325</cdr:x>
      <cdr:y>0.63681</cdr:y>
    </cdr:to>
    <cdr:sp macro="" textlink="'Tornado Charts &amp; Risk Analysis'!$H$164">
      <cdr:nvSpPr>
        <cdr:cNvPr id="11" name="TextBox 1"/>
        <cdr:cNvSpPr txBox="1"/>
      </cdr:nvSpPr>
      <cdr:spPr>
        <a:xfrm xmlns:a="http://schemas.openxmlformats.org/drawingml/2006/main">
          <a:off x="0" y="2569925"/>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0.35461</cdr:x>
      <cdr:y>0.68772</cdr:y>
    </cdr:to>
    <cdr:sp macro="" textlink="'Tornado Charts &amp; Risk Analysis'!$H$165">
      <cdr:nvSpPr>
        <cdr:cNvPr id="12" name="TextBox 1"/>
        <cdr:cNvSpPr txBox="1"/>
      </cdr:nvSpPr>
      <cdr:spPr>
        <a:xfrm xmlns:a="http://schemas.openxmlformats.org/drawingml/2006/main">
          <a:off x="0" y="2791092"/>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0.2844</cdr:x>
      <cdr:y>0.73996</cdr:y>
    </cdr:to>
    <cdr:sp macro="" textlink="'Tornado Charts &amp; Risk Analysis'!$H$166">
      <cdr:nvSpPr>
        <cdr:cNvPr id="13" name="TextBox 1"/>
        <cdr:cNvSpPr txBox="1"/>
      </cdr:nvSpPr>
      <cdr:spPr>
        <a:xfrm xmlns:a="http://schemas.openxmlformats.org/drawingml/2006/main">
          <a:off x="0" y="3021321"/>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0.08904</cdr:x>
      <cdr:y>0.79153</cdr:y>
    </cdr:to>
    <cdr:sp macro="" textlink="'Tornado Charts &amp; Risk Analysis'!$H$167">
      <cdr:nvSpPr>
        <cdr:cNvPr id="14" name="TextBox 1"/>
        <cdr:cNvSpPr txBox="1"/>
      </cdr:nvSpPr>
      <cdr:spPr>
        <a:xfrm xmlns:a="http://schemas.openxmlformats.org/drawingml/2006/main">
          <a:off x="0" y="3252580"/>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0.38381</cdr:x>
      <cdr:y>0.84321</cdr:y>
    </cdr:to>
    <cdr:sp macro="" textlink="'Tornado Charts &amp; Risk Analysis'!$H$168">
      <cdr:nvSpPr>
        <cdr:cNvPr id="15" name="TextBox 1"/>
        <cdr:cNvSpPr txBox="1"/>
      </cdr:nvSpPr>
      <cdr:spPr>
        <a:xfrm xmlns:a="http://schemas.openxmlformats.org/drawingml/2006/main">
          <a:off x="0" y="3480602"/>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0.20345</cdr:x>
      <cdr:y>0.89501</cdr:y>
    </cdr:to>
    <cdr:sp macro="" textlink="'Tornado Charts &amp; Risk Analysis'!$H$169">
      <cdr:nvSpPr>
        <cdr:cNvPr id="16" name="TextBox 1"/>
        <cdr:cNvSpPr txBox="1"/>
      </cdr:nvSpPr>
      <cdr:spPr>
        <a:xfrm xmlns:a="http://schemas.openxmlformats.org/drawingml/2006/main">
          <a:off x="0" y="3704649"/>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0.26017</cdr:x>
      <cdr:y>0.94691</cdr:y>
    </cdr:to>
    <cdr:sp macro="" textlink="'Tornado Charts &amp; Risk Analysis'!$H$170">
      <cdr:nvSpPr>
        <cdr:cNvPr id="17" name="TextBox 1"/>
        <cdr:cNvSpPr txBox="1"/>
      </cdr:nvSpPr>
      <cdr:spPr>
        <a:xfrm xmlns:a="http://schemas.openxmlformats.org/drawingml/2006/main">
          <a:off x="0" y="3938146"/>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247650</xdr:colOff>
          <xdr:row>28</xdr:row>
          <xdr:rowOff>171450</xdr:rowOff>
        </xdr:from>
        <xdr:to>
          <xdr:col>4</xdr:col>
          <xdr:colOff>38100</xdr:colOff>
          <xdr:row>30</xdr:row>
          <xdr:rowOff>0</xdr:rowOff>
        </xdr:to>
        <xdr:sp macro="" textlink="">
          <xdr:nvSpPr>
            <xdr:cNvPr id="17452" name="chk_CO2_Capture_Efficiency" hidden="1">
              <a:extLst>
                <a:ext uri="{63B3BB69-23CF-44E3-9099-C40C66FF867C}">
                  <a14:compatExt spid="_x0000_s17452"/>
                </a:ext>
                <a:ext uri="{FF2B5EF4-FFF2-40B4-BE49-F238E27FC236}">
                  <a16:creationId xmlns:a16="http://schemas.microsoft.com/office/drawing/2014/main" id="{00000000-0008-0000-0700-00002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43</xdr:row>
          <xdr:rowOff>0</xdr:rowOff>
        </xdr:from>
        <xdr:to>
          <xdr:col>4</xdr:col>
          <xdr:colOff>38100</xdr:colOff>
          <xdr:row>44</xdr:row>
          <xdr:rowOff>19050</xdr:rowOff>
        </xdr:to>
        <xdr:sp macro="" textlink="">
          <xdr:nvSpPr>
            <xdr:cNvPr id="17453" name="chk_CO2_MaintFactor" hidden="1">
              <a:extLst>
                <a:ext uri="{63B3BB69-23CF-44E3-9099-C40C66FF867C}">
                  <a14:compatExt spid="_x0000_s17453"/>
                </a:ext>
                <a:ext uri="{FF2B5EF4-FFF2-40B4-BE49-F238E27FC236}">
                  <a16:creationId xmlns:a16="http://schemas.microsoft.com/office/drawing/2014/main" id="{00000000-0008-0000-0700-00002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30</xdr:row>
          <xdr:rowOff>69850</xdr:rowOff>
        </xdr:from>
        <xdr:to>
          <xdr:col>4</xdr:col>
          <xdr:colOff>38100</xdr:colOff>
          <xdr:row>30</xdr:row>
          <xdr:rowOff>279400</xdr:rowOff>
        </xdr:to>
        <xdr:sp macro="" textlink="">
          <xdr:nvSpPr>
            <xdr:cNvPr id="17497" name="chk_CO2_Pin_psia" hidden="1">
              <a:extLst>
                <a:ext uri="{63B3BB69-23CF-44E3-9099-C40C66FF867C}">
                  <a14:compatExt spid="_x0000_s17497"/>
                </a:ext>
                <a:ext uri="{FF2B5EF4-FFF2-40B4-BE49-F238E27FC236}">
                  <a16:creationId xmlns:a16="http://schemas.microsoft.com/office/drawing/2014/main" id="{00000000-0008-0000-0700-00005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41</xdr:row>
          <xdr:rowOff>171450</xdr:rowOff>
        </xdr:from>
        <xdr:to>
          <xdr:col>4</xdr:col>
          <xdr:colOff>146050</xdr:colOff>
          <xdr:row>43</xdr:row>
          <xdr:rowOff>12700</xdr:rowOff>
        </xdr:to>
        <xdr:sp macro="" textlink="">
          <xdr:nvSpPr>
            <xdr:cNvPr id="17509" name="chk_CO2_credit" hidden="1">
              <a:extLst>
                <a:ext uri="{63B3BB69-23CF-44E3-9099-C40C66FF867C}">
                  <a14:compatExt spid="_x0000_s17509"/>
                </a:ext>
                <a:ext uri="{FF2B5EF4-FFF2-40B4-BE49-F238E27FC236}">
                  <a16:creationId xmlns:a16="http://schemas.microsoft.com/office/drawing/2014/main" id="{00000000-0008-0000-0700-00006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241300</xdr:colOff>
          <xdr:row>31</xdr:row>
          <xdr:rowOff>69850</xdr:rowOff>
        </xdr:from>
        <xdr:to>
          <xdr:col>4</xdr:col>
          <xdr:colOff>31750</xdr:colOff>
          <xdr:row>31</xdr:row>
          <xdr:rowOff>279400</xdr:rowOff>
        </xdr:to>
        <xdr:sp macro="" textlink="">
          <xdr:nvSpPr>
            <xdr:cNvPr id="17561" name="chk_n_CO2_pumps" hidden="1">
              <a:extLst>
                <a:ext uri="{63B3BB69-23CF-44E3-9099-C40C66FF867C}">
                  <a14:compatExt spid="_x0000_s17561"/>
                </a:ext>
                <a:ext uri="{FF2B5EF4-FFF2-40B4-BE49-F238E27FC236}">
                  <a16:creationId xmlns:a16="http://schemas.microsoft.com/office/drawing/2014/main" id="{00000000-0008-0000-0700-00009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31</xdr:row>
          <xdr:rowOff>336550</xdr:rowOff>
        </xdr:from>
        <xdr:to>
          <xdr:col>4</xdr:col>
          <xdr:colOff>31750</xdr:colOff>
          <xdr:row>33</xdr:row>
          <xdr:rowOff>12700</xdr:rowOff>
        </xdr:to>
        <xdr:sp macro="" textlink="">
          <xdr:nvSpPr>
            <xdr:cNvPr id="17562" name="chk_CO2_Pump_Eff" hidden="1">
              <a:extLst>
                <a:ext uri="{63B3BB69-23CF-44E3-9099-C40C66FF867C}">
                  <a14:compatExt spid="_x0000_s17562"/>
                </a:ext>
                <a:ext uri="{FF2B5EF4-FFF2-40B4-BE49-F238E27FC236}">
                  <a16:creationId xmlns:a16="http://schemas.microsoft.com/office/drawing/2014/main" id="{00000000-0008-0000-0700-00009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32</xdr:row>
          <xdr:rowOff>165100</xdr:rowOff>
        </xdr:from>
        <xdr:to>
          <xdr:col>4</xdr:col>
          <xdr:colOff>31750</xdr:colOff>
          <xdr:row>34</xdr:row>
          <xdr:rowOff>12700</xdr:rowOff>
        </xdr:to>
        <xdr:sp macro="" textlink="">
          <xdr:nvSpPr>
            <xdr:cNvPr id="17563" name="chk_CO2_ControlSystem" hidden="1">
              <a:extLst>
                <a:ext uri="{63B3BB69-23CF-44E3-9099-C40C66FF867C}">
                  <a14:compatExt spid="_x0000_s17563"/>
                </a:ext>
                <a:ext uri="{FF2B5EF4-FFF2-40B4-BE49-F238E27FC236}">
                  <a16:creationId xmlns:a16="http://schemas.microsoft.com/office/drawing/2014/main" id="{00000000-0008-0000-0700-00009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33</xdr:row>
          <xdr:rowOff>152400</xdr:rowOff>
        </xdr:from>
        <xdr:to>
          <xdr:col>4</xdr:col>
          <xdr:colOff>31750</xdr:colOff>
          <xdr:row>34</xdr:row>
          <xdr:rowOff>184150</xdr:rowOff>
        </xdr:to>
        <xdr:sp macro="" textlink="">
          <xdr:nvSpPr>
            <xdr:cNvPr id="17565" name="chk_CO2_SurgeTank" hidden="1">
              <a:extLst>
                <a:ext uri="{63B3BB69-23CF-44E3-9099-C40C66FF867C}">
                  <a14:compatExt spid="_x0000_s17565"/>
                </a:ext>
                <a:ext uri="{FF2B5EF4-FFF2-40B4-BE49-F238E27FC236}">
                  <a16:creationId xmlns:a16="http://schemas.microsoft.com/office/drawing/2014/main" id="{00000000-0008-0000-0700-00009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34</xdr:row>
          <xdr:rowOff>152400</xdr:rowOff>
        </xdr:from>
        <xdr:to>
          <xdr:col>4</xdr:col>
          <xdr:colOff>31750</xdr:colOff>
          <xdr:row>36</xdr:row>
          <xdr:rowOff>0</xdr:rowOff>
        </xdr:to>
        <xdr:sp macro="" textlink="">
          <xdr:nvSpPr>
            <xdr:cNvPr id="17566" name="chk_CO2_PipeLength" hidden="1">
              <a:extLst>
                <a:ext uri="{63B3BB69-23CF-44E3-9099-C40C66FF867C}">
                  <a14:compatExt spid="_x0000_s17566"/>
                </a:ext>
                <a:ext uri="{FF2B5EF4-FFF2-40B4-BE49-F238E27FC236}">
                  <a16:creationId xmlns:a16="http://schemas.microsoft.com/office/drawing/2014/main" id="{00000000-0008-0000-0700-00009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241300</xdr:colOff>
          <xdr:row>35</xdr:row>
          <xdr:rowOff>165100</xdr:rowOff>
        </xdr:from>
        <xdr:to>
          <xdr:col>4</xdr:col>
          <xdr:colOff>31750</xdr:colOff>
          <xdr:row>37</xdr:row>
          <xdr:rowOff>19050</xdr:rowOff>
        </xdr:to>
        <xdr:sp macro="" textlink="">
          <xdr:nvSpPr>
            <xdr:cNvPr id="17567" name="chk_CO2_PipeElevation" hidden="1">
              <a:extLst>
                <a:ext uri="{63B3BB69-23CF-44E3-9099-C40C66FF867C}">
                  <a14:compatExt spid="_x0000_s17567"/>
                </a:ext>
                <a:ext uri="{FF2B5EF4-FFF2-40B4-BE49-F238E27FC236}">
                  <a16:creationId xmlns:a16="http://schemas.microsoft.com/office/drawing/2014/main" id="{00000000-0008-0000-0700-00009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38</xdr:row>
          <xdr:rowOff>165100</xdr:rowOff>
        </xdr:from>
        <xdr:to>
          <xdr:col>4</xdr:col>
          <xdr:colOff>38100</xdr:colOff>
          <xdr:row>40</xdr:row>
          <xdr:rowOff>19050</xdr:rowOff>
        </xdr:to>
        <xdr:sp macro="" textlink="">
          <xdr:nvSpPr>
            <xdr:cNvPr id="17568" name="chk_CO2_Pipeline_Temp" hidden="1">
              <a:extLst>
                <a:ext uri="{63B3BB69-23CF-44E3-9099-C40C66FF867C}">
                  <a14:compatExt spid="_x0000_s17568"/>
                </a:ext>
                <a:ext uri="{FF2B5EF4-FFF2-40B4-BE49-F238E27FC236}">
                  <a16:creationId xmlns:a16="http://schemas.microsoft.com/office/drawing/2014/main" id="{00000000-0008-0000-0700-0000A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69702" y="1595589"/>
          <a:ext cx="6277376" cy="1395261"/>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Other Variable Operating Costs</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Other Raw Material Cost</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Initial Equity Depreciable Capital</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Debt Interest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Cash for Working Capital Reserve</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Yearly Replacement Costs</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Taxes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Other Non-Depreciable Capital Costs</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Principal Payment</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Decommissioning Costs</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665024</xdr:colOff>
      <xdr:row>15</xdr:row>
      <xdr:rowOff>94009</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79103</xdr:rowOff>
    </xdr:from>
    <xdr:to>
      <xdr:col>4</xdr:col>
      <xdr:colOff>910172</xdr:colOff>
      <xdr:row>35</xdr:row>
      <xdr:rowOff>107</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985670</xdr:colOff>
      <xdr:row>11</xdr:row>
      <xdr:rowOff>65060</xdr:rowOff>
    </xdr:from>
    <xdr:to>
      <xdr:col>13</xdr:col>
      <xdr:colOff>315112</xdr:colOff>
      <xdr:row>39</xdr:row>
      <xdr:rowOff>137332</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Operating Capacity Factor
(95%, 90%, 86%)</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Capital Investment
($185,998K, $195,787K, $205,577K)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Total Fixed Operating Cost
($11,211K, $11,801K, $12,391K)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Plant Design Capacity (kg of H2/day)
(162,496, 154,758, 147,020) </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13</xdr:col>
          <xdr:colOff>38100</xdr:colOff>
          <xdr:row>4</xdr:row>
          <xdr:rowOff>95250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0721" name="cmdInputSheet5" hidden="1">
              <a:extLst>
                <a:ext uri="{63B3BB69-23CF-44E3-9099-C40C66FF867C}">
                  <a14:compatExt spid="_x0000_s30721"/>
                </a:ext>
                <a:ext uri="{FF2B5EF4-FFF2-40B4-BE49-F238E27FC236}">
                  <a16:creationId xmlns:a16="http://schemas.microsoft.com/office/drawing/2014/main" id="{00000000-0008-0000-13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31745" name="cmdInputSheet4" hidden="1">
              <a:extLst>
                <a:ext uri="{63B3BB69-23CF-44E3-9099-C40C66FF867C}">
                  <a14:compatExt spid="_x0000_s31745"/>
                </a:ext>
                <a:ext uri="{FF2B5EF4-FFF2-40B4-BE49-F238E27FC236}">
                  <a16:creationId xmlns:a16="http://schemas.microsoft.com/office/drawing/2014/main" id="{00000000-0008-0000-14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32769" name="cmdInputSheet3" hidden="1">
              <a:extLst>
                <a:ext uri="{63B3BB69-23CF-44E3-9099-C40C66FF867C}">
                  <a14:compatExt spid="_x0000_s32769"/>
                </a:ext>
                <a:ext uri="{FF2B5EF4-FFF2-40B4-BE49-F238E27FC236}">
                  <a16:creationId xmlns:a16="http://schemas.microsoft.com/office/drawing/2014/main" id="{00000000-0008-0000-15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nrel.gov/" TargetMode="External"/><Relationship Id="rId1" Type="http://schemas.openxmlformats.org/officeDocument/2006/relationships/hyperlink" Target="mailto:mike.penev@nrel.gov"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4" Type="http://schemas.openxmlformats.org/officeDocument/2006/relationships/drawing" Target="../drawings/drawing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8.emf"/><Relationship Id="rId18" Type="http://schemas.openxmlformats.org/officeDocument/2006/relationships/control" Target="../activeX/activeX30.xml"/><Relationship Id="rId26" Type="http://schemas.openxmlformats.org/officeDocument/2006/relationships/comments" Target="../comments2.xml"/><Relationship Id="rId3" Type="http://schemas.openxmlformats.org/officeDocument/2006/relationships/vmlDrawing" Target="../drawings/vmlDrawing3.vml"/><Relationship Id="rId21" Type="http://schemas.openxmlformats.org/officeDocument/2006/relationships/image" Target="../media/image32.emf"/><Relationship Id="rId7" Type="http://schemas.openxmlformats.org/officeDocument/2006/relationships/image" Target="../media/image25.emf"/><Relationship Id="rId12" Type="http://schemas.openxmlformats.org/officeDocument/2006/relationships/control" Target="../activeX/activeX27.xml"/><Relationship Id="rId17" Type="http://schemas.openxmlformats.org/officeDocument/2006/relationships/image" Target="../media/image30.emf"/><Relationship Id="rId25" Type="http://schemas.openxmlformats.org/officeDocument/2006/relationships/image" Target="../media/image34.emf"/><Relationship Id="rId2" Type="http://schemas.openxmlformats.org/officeDocument/2006/relationships/drawing" Target="../drawings/drawing10.xml"/><Relationship Id="rId16" Type="http://schemas.openxmlformats.org/officeDocument/2006/relationships/control" Target="../activeX/activeX29.xml"/><Relationship Id="rId20" Type="http://schemas.openxmlformats.org/officeDocument/2006/relationships/control" Target="../activeX/activeX31.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7.emf"/><Relationship Id="rId24" Type="http://schemas.openxmlformats.org/officeDocument/2006/relationships/control" Target="../activeX/activeX33.xml"/><Relationship Id="rId5" Type="http://schemas.openxmlformats.org/officeDocument/2006/relationships/image" Target="../media/image24.emf"/><Relationship Id="rId15" Type="http://schemas.openxmlformats.org/officeDocument/2006/relationships/image" Target="../media/image29.emf"/><Relationship Id="rId23" Type="http://schemas.openxmlformats.org/officeDocument/2006/relationships/image" Target="../media/image33.emf"/><Relationship Id="rId10" Type="http://schemas.openxmlformats.org/officeDocument/2006/relationships/control" Target="../activeX/activeX26.xml"/><Relationship Id="rId19" Type="http://schemas.openxmlformats.org/officeDocument/2006/relationships/image" Target="../media/image31.emf"/><Relationship Id="rId4" Type="http://schemas.openxmlformats.org/officeDocument/2006/relationships/control" Target="../activeX/activeX23.xml"/><Relationship Id="rId9" Type="http://schemas.openxmlformats.org/officeDocument/2006/relationships/image" Target="../media/image26.emf"/><Relationship Id="rId14" Type="http://schemas.openxmlformats.org/officeDocument/2006/relationships/control" Target="../activeX/activeX28.xml"/><Relationship Id="rId22"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8.vml"/><Relationship Id="rId1" Type="http://schemas.openxmlformats.org/officeDocument/2006/relationships/drawing" Target="../drawings/drawing17.xml"/><Relationship Id="rId4" Type="http://schemas.openxmlformats.org/officeDocument/2006/relationships/image" Target="../media/image35.emf"/></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9.vml"/><Relationship Id="rId1" Type="http://schemas.openxmlformats.org/officeDocument/2006/relationships/drawing" Target="../drawings/drawing18.xml"/><Relationship Id="rId4" Type="http://schemas.openxmlformats.org/officeDocument/2006/relationships/image" Target="../media/image36.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36.xml"/><Relationship Id="rId2" Type="http://schemas.openxmlformats.org/officeDocument/2006/relationships/vmlDrawing" Target="../drawings/vmlDrawing10.vml"/><Relationship Id="rId1" Type="http://schemas.openxmlformats.org/officeDocument/2006/relationships/drawing" Target="../drawings/drawing19.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2"/>
  <sheetViews>
    <sheetView tabSelected="1" workbookViewId="0">
      <selection activeCell="B2" sqref="B2"/>
    </sheetView>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2" t="s">
        <v>407</v>
      </c>
    </row>
    <row r="4" spans="2:4" ht="13" thickBot="1" x14ac:dyDescent="0.3"/>
    <row r="5" spans="2:4" ht="26" thickTop="1" x14ac:dyDescent="0.3">
      <c r="B5" s="788" t="s">
        <v>211</v>
      </c>
      <c r="C5" s="1262" t="s">
        <v>1406</v>
      </c>
      <c r="D5" s="1265"/>
    </row>
    <row r="6" spans="2:4" ht="13" x14ac:dyDescent="0.3">
      <c r="B6" s="791" t="s">
        <v>212</v>
      </c>
      <c r="C6" s="1263" t="s">
        <v>1357</v>
      </c>
      <c r="D6" s="1265"/>
    </row>
    <row r="7" spans="2:4" ht="13" x14ac:dyDescent="0.3">
      <c r="B7" s="791" t="s">
        <v>213</v>
      </c>
      <c r="C7" s="1263" t="s">
        <v>1350</v>
      </c>
      <c r="D7" s="1265"/>
    </row>
    <row r="8" spans="2:4" ht="13" x14ac:dyDescent="0.3">
      <c r="B8" s="791" t="s">
        <v>214</v>
      </c>
      <c r="C8" s="1263" t="s">
        <v>1351</v>
      </c>
      <c r="D8" s="1265"/>
    </row>
    <row r="9" spans="2:4" ht="13" x14ac:dyDescent="0.3">
      <c r="B9" s="791" t="s">
        <v>215</v>
      </c>
      <c r="C9" s="992" t="s">
        <v>1352</v>
      </c>
      <c r="D9" s="793"/>
    </row>
    <row r="10" spans="2:4" ht="13" x14ac:dyDescent="0.3">
      <c r="B10" s="791" t="s">
        <v>216</v>
      </c>
      <c r="C10" s="1263" t="s">
        <v>830</v>
      </c>
      <c r="D10" s="1265"/>
    </row>
    <row r="11" spans="2:4" ht="13" x14ac:dyDescent="0.3">
      <c r="B11" s="791" t="s">
        <v>217</v>
      </c>
      <c r="C11" s="1264">
        <v>43137</v>
      </c>
      <c r="D11" s="1443"/>
    </row>
    <row r="12" spans="2:4" ht="13.5" thickBot="1" x14ac:dyDescent="0.35">
      <c r="B12" s="796" t="s">
        <v>218</v>
      </c>
      <c r="C12" s="993" t="s">
        <v>1298</v>
      </c>
      <c r="D12" s="1265"/>
    </row>
    <row r="13" spans="2:4" ht="14" thickTop="1" thickBot="1" x14ac:dyDescent="0.35">
      <c r="B13" s="797"/>
      <c r="C13" s="1265"/>
      <c r="D13" s="1444"/>
    </row>
    <row r="14" spans="2:4" ht="13.5" thickTop="1" x14ac:dyDescent="0.3">
      <c r="B14" s="788" t="s">
        <v>219</v>
      </c>
      <c r="C14" s="1445">
        <v>154758</v>
      </c>
      <c r="D14" s="1446"/>
    </row>
    <row r="15" spans="2:4" ht="13" x14ac:dyDescent="0.3">
      <c r="B15" s="791" t="s">
        <v>220</v>
      </c>
      <c r="C15" s="1266">
        <v>2040</v>
      </c>
      <c r="D15" s="802"/>
    </row>
    <row r="16" spans="2:4" ht="13" x14ac:dyDescent="0.3">
      <c r="B16" s="791" t="s">
        <v>221</v>
      </c>
      <c r="C16" s="1205" t="s">
        <v>1358</v>
      </c>
      <c r="D16" s="1446"/>
    </row>
    <row r="17" spans="2:4" ht="13" x14ac:dyDescent="0.3">
      <c r="B17" s="791" t="s">
        <v>222</v>
      </c>
      <c r="C17" s="1205" t="s">
        <v>1356</v>
      </c>
      <c r="D17" s="1446"/>
    </row>
    <row r="18" spans="2:4" ht="25.5" x14ac:dyDescent="0.3">
      <c r="B18" s="791" t="s">
        <v>223</v>
      </c>
      <c r="C18" s="1205" t="s">
        <v>1359</v>
      </c>
      <c r="D18" s="803"/>
    </row>
    <row r="19" spans="2:4" ht="25.5" x14ac:dyDescent="0.3">
      <c r="B19" s="791" t="s">
        <v>224</v>
      </c>
      <c r="C19" s="1205" t="s">
        <v>1360</v>
      </c>
      <c r="D19" s="1446"/>
    </row>
    <row r="20" spans="2:4" ht="13" x14ac:dyDescent="0.3">
      <c r="B20" s="791" t="s">
        <v>225</v>
      </c>
      <c r="C20" s="1205" t="s">
        <v>1356</v>
      </c>
      <c r="D20" s="1446"/>
    </row>
    <row r="21" spans="2:4" ht="13" x14ac:dyDescent="0.3">
      <c r="B21" s="791" t="s">
        <v>226</v>
      </c>
      <c r="C21" s="1205" t="s">
        <v>1356</v>
      </c>
      <c r="D21" s="1446"/>
    </row>
    <row r="22" spans="2:4" ht="26" x14ac:dyDescent="0.3">
      <c r="B22" s="804" t="s">
        <v>227</v>
      </c>
      <c r="C22" s="1266"/>
      <c r="D22" s="1446"/>
    </row>
    <row r="23" spans="2:4" ht="13" x14ac:dyDescent="0.3">
      <c r="B23" s="804" t="s">
        <v>228</v>
      </c>
      <c r="C23" s="1205" t="s">
        <v>1356</v>
      </c>
      <c r="D23" s="1446"/>
    </row>
    <row r="24" spans="2:4" ht="13.5" thickBot="1" x14ac:dyDescent="0.35">
      <c r="B24" s="796" t="s">
        <v>229</v>
      </c>
      <c r="C24" s="1267" t="s">
        <v>1361</v>
      </c>
      <c r="D24" s="1446"/>
    </row>
    <row r="25" spans="2:4" ht="14" thickTop="1" thickBot="1" x14ac:dyDescent="0.35">
      <c r="B25" s="806"/>
      <c r="C25" s="1446"/>
      <c r="D25" s="1446"/>
    </row>
    <row r="26" spans="2:4" ht="13" x14ac:dyDescent="0.3">
      <c r="B26" s="1502" t="s">
        <v>230</v>
      </c>
      <c r="C26" s="1503"/>
      <c r="D26" s="1504"/>
    </row>
    <row r="27" spans="2:4" ht="13" x14ac:dyDescent="0.3">
      <c r="B27" s="1447" t="s">
        <v>231</v>
      </c>
      <c r="C27" s="808" t="s">
        <v>232</v>
      </c>
      <c r="D27" s="1448" t="s">
        <v>1030</v>
      </c>
    </row>
    <row r="28" spans="2:4" ht="13" x14ac:dyDescent="0.3">
      <c r="B28" s="1468" t="s">
        <v>1300</v>
      </c>
      <c r="C28" s="1204"/>
      <c r="D28" s="1469"/>
    </row>
    <row r="29" spans="2:4" x14ac:dyDescent="0.25">
      <c r="B29" s="1470">
        <v>43137</v>
      </c>
      <c r="C29" s="1204" t="s">
        <v>1301</v>
      </c>
      <c r="D29" s="1469" t="s">
        <v>1302</v>
      </c>
    </row>
    <row r="30" spans="2:4" x14ac:dyDescent="0.25">
      <c r="B30" s="1470">
        <v>41442</v>
      </c>
      <c r="C30" s="1204" t="s">
        <v>1383</v>
      </c>
      <c r="D30" s="1469" t="s">
        <v>1384</v>
      </c>
    </row>
    <row r="31" spans="2:4" ht="13" x14ac:dyDescent="0.3">
      <c r="B31" s="1468" t="s">
        <v>1385</v>
      </c>
      <c r="C31" s="1204"/>
      <c r="D31" s="1469"/>
    </row>
    <row r="32" spans="2:4" x14ac:dyDescent="0.25">
      <c r="B32" s="1470">
        <v>40884</v>
      </c>
      <c r="C32" s="1204" t="s">
        <v>1386</v>
      </c>
      <c r="D32" s="1469" t="s">
        <v>1387</v>
      </c>
    </row>
    <row r="33" spans="2:4" x14ac:dyDescent="0.25">
      <c r="B33" s="1470"/>
      <c r="C33" s="1204"/>
      <c r="D33" s="1469"/>
    </row>
    <row r="34" spans="2:4" ht="13" x14ac:dyDescent="0.3">
      <c r="B34" s="1468" t="s">
        <v>1299</v>
      </c>
      <c r="C34" s="1204"/>
      <c r="D34" s="1469"/>
    </row>
    <row r="35" spans="2:4" ht="25" x14ac:dyDescent="0.25">
      <c r="B35" s="1470">
        <v>39713</v>
      </c>
      <c r="C35" s="1204" t="s">
        <v>1388</v>
      </c>
      <c r="D35" s="1469" t="s">
        <v>1389</v>
      </c>
    </row>
    <row r="36" spans="2:4" x14ac:dyDescent="0.25">
      <c r="B36" s="1470">
        <v>39713</v>
      </c>
      <c r="C36" s="1204" t="s">
        <v>1388</v>
      </c>
      <c r="D36" s="1469" t="s">
        <v>831</v>
      </c>
    </row>
    <row r="37" spans="2:4" x14ac:dyDescent="0.25">
      <c r="B37" s="1470">
        <v>39596</v>
      </c>
      <c r="C37" s="1204" t="s">
        <v>1390</v>
      </c>
      <c r="D37" s="1469"/>
    </row>
    <row r="38" spans="2:4" x14ac:dyDescent="0.25">
      <c r="B38" s="1470">
        <v>39479</v>
      </c>
      <c r="C38" s="1204" t="s">
        <v>1386</v>
      </c>
      <c r="D38" s="1469" t="s">
        <v>1387</v>
      </c>
    </row>
    <row r="39" spans="2:4" ht="13" x14ac:dyDescent="0.3">
      <c r="B39" s="1468" t="s">
        <v>1391</v>
      </c>
      <c r="C39" s="1204"/>
      <c r="D39" s="1469"/>
    </row>
    <row r="40" spans="2:4" x14ac:dyDescent="0.25">
      <c r="B40" s="1470">
        <v>38352</v>
      </c>
      <c r="C40" s="1204" t="s">
        <v>1392</v>
      </c>
      <c r="D40" s="1469"/>
    </row>
    <row r="41" spans="2:4" x14ac:dyDescent="0.25">
      <c r="B41" s="1470">
        <v>38875</v>
      </c>
      <c r="C41" s="1204" t="s">
        <v>1355</v>
      </c>
      <c r="D41" s="1469"/>
    </row>
    <row r="42" spans="2:4" ht="13" thickBot="1" x14ac:dyDescent="0.3">
      <c r="B42" s="1471"/>
      <c r="C42" s="1466"/>
      <c r="D42" s="1472"/>
    </row>
  </sheetData>
  <mergeCells count="1">
    <mergeCell ref="B26:D26"/>
  </mergeCells>
  <phoneticPr fontId="0" type="noConversion"/>
  <hyperlinks>
    <hyperlink ref="C9" r:id="rId1" xr:uid="{F8B944E2-635C-4C31-BB5D-07D882325051}"/>
    <hyperlink ref="C12" r:id="rId2" xr:uid="{FAA3332E-52DB-4203-AAFE-192BEDB8E9A9}"/>
  </hyperlinks>
  <pageMargins left="0.75" right="0.75" top="1" bottom="1" header="0.5" footer="0.5"/>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6"/>
  <sheetViews>
    <sheetView workbookViewId="0">
      <selection activeCell="B29" sqref="B29"/>
    </sheetView>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408</v>
      </c>
    </row>
    <row r="6" spans="2:2" ht="13" x14ac:dyDescent="0.3">
      <c r="B6" s="783" t="s">
        <v>206</v>
      </c>
    </row>
    <row r="7" spans="2:2" x14ac:dyDescent="0.25">
      <c r="B7" s="1268" t="s">
        <v>1362</v>
      </c>
    </row>
    <row r="8" spans="2:2" x14ac:dyDescent="0.25">
      <c r="B8" s="784"/>
    </row>
    <row r="9" spans="2:2" x14ac:dyDescent="0.25">
      <c r="B9" s="784"/>
    </row>
    <row r="10" spans="2:2" ht="13" x14ac:dyDescent="0.3">
      <c r="B10" s="785" t="s">
        <v>207</v>
      </c>
    </row>
    <row r="11" spans="2:2" ht="50" x14ac:dyDescent="0.25">
      <c r="B11" s="1268" t="s">
        <v>1363</v>
      </c>
    </row>
    <row r="12" spans="2:2" x14ac:dyDescent="0.25">
      <c r="B12" s="209"/>
    </row>
    <row r="13" spans="2:2" x14ac:dyDescent="0.25">
      <c r="B13" s="784"/>
    </row>
    <row r="14" spans="2:2" ht="13" x14ac:dyDescent="0.3">
      <c r="B14" s="785" t="s">
        <v>208</v>
      </c>
    </row>
    <row r="15" spans="2:2" x14ac:dyDescent="0.25">
      <c r="B15" s="1268" t="s">
        <v>1393</v>
      </c>
    </row>
    <row r="16" spans="2:2" x14ac:dyDescent="0.25">
      <c r="B16" s="784"/>
    </row>
    <row r="17" spans="2:2" x14ac:dyDescent="0.25">
      <c r="B17" s="784"/>
    </row>
    <row r="18" spans="2:2" ht="13" x14ac:dyDescent="0.3">
      <c r="B18" s="785" t="s">
        <v>209</v>
      </c>
    </row>
    <row r="19" spans="2:2" x14ac:dyDescent="0.25">
      <c r="B19" s="1268" t="s">
        <v>1364</v>
      </c>
    </row>
    <row r="20" spans="2:2" x14ac:dyDescent="0.25">
      <c r="B20" s="784"/>
    </row>
    <row r="21" spans="2:2" ht="13" x14ac:dyDescent="0.25">
      <c r="B21" s="786" t="s">
        <v>210</v>
      </c>
    </row>
    <row r="22" spans="2:2" ht="25" x14ac:dyDescent="0.25">
      <c r="B22" s="994" t="s">
        <v>1394</v>
      </c>
    </row>
    <row r="23" spans="2:2" x14ac:dyDescent="0.25">
      <c r="B23" s="1268"/>
    </row>
    <row r="24" spans="2:2" x14ac:dyDescent="0.25">
      <c r="B24" s="1268" t="s">
        <v>1395</v>
      </c>
    </row>
    <row r="25" spans="2:2" x14ac:dyDescent="0.25">
      <c r="B25" s="1268"/>
    </row>
    <row r="26" spans="2:2" ht="37.5" x14ac:dyDescent="0.25">
      <c r="B26" s="1268" t="s">
        <v>1365</v>
      </c>
    </row>
    <row r="27" spans="2:2" x14ac:dyDescent="0.25">
      <c r="B27" s="1268"/>
    </row>
    <row r="28" spans="2:2" ht="37.5" x14ac:dyDescent="0.25">
      <c r="B28" s="1268" t="s">
        <v>1366</v>
      </c>
    </row>
    <row r="29" spans="2:2" x14ac:dyDescent="0.25">
      <c r="B29" s="1268"/>
    </row>
    <row r="30" spans="2:2" x14ac:dyDescent="0.25">
      <c r="B30" s="1268"/>
    </row>
    <row r="31" spans="2:2" x14ac:dyDescent="0.25">
      <c r="B31" s="994"/>
    </row>
    <row r="76" ht="81" customHeight="1" x14ac:dyDescent="0.25"/>
    <row r="78" ht="97.5" customHeight="1" x14ac:dyDescent="0.25"/>
    <row r="80" ht="68.25" customHeight="1" x14ac:dyDescent="0.25"/>
    <row r="82" ht="63" customHeight="1" x14ac:dyDescent="0.25"/>
    <row r="84" ht="63.75" customHeight="1" x14ac:dyDescent="0.25"/>
    <row r="86"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B2:B45"/>
  <sheetViews>
    <sheetView zoomScale="85" zoomScaleNormal="85" workbookViewId="0">
      <selection activeCell="E5" sqref="E5"/>
    </sheetView>
  </sheetViews>
  <sheetFormatPr defaultRowHeight="12.5" x14ac:dyDescent="0.25"/>
  <cols>
    <col min="2" max="2" width="125.26953125" customWidth="1"/>
    <col min="3" max="3" width="12" customWidth="1"/>
    <col min="4" max="4" width="13.81640625" customWidth="1"/>
    <col min="5" max="5" width="17.26953125" customWidth="1"/>
    <col min="6" max="6" width="16.7265625" customWidth="1"/>
    <col min="7" max="7" width="14.26953125" customWidth="1"/>
    <col min="13" max="13" width="38.81640625" customWidth="1"/>
    <col min="14" max="15" width="22.54296875" customWidth="1"/>
    <col min="16" max="16" width="44.453125" customWidth="1"/>
    <col min="254" max="254" width="10.1796875" customWidth="1"/>
    <col min="255" max="255" width="12" customWidth="1"/>
    <col min="256" max="256" width="17.81640625" customWidth="1"/>
    <col min="257" max="257" width="17.26953125" customWidth="1"/>
    <col min="258" max="259" width="31" customWidth="1"/>
    <col min="260" max="263" width="25.1796875" customWidth="1"/>
    <col min="510" max="510" width="10.1796875" customWidth="1"/>
    <col min="511" max="511" width="12" customWidth="1"/>
    <col min="512" max="512" width="17.81640625" customWidth="1"/>
    <col min="513" max="513" width="17.26953125" customWidth="1"/>
    <col min="514" max="515" width="31" customWidth="1"/>
    <col min="516" max="519" width="25.1796875" customWidth="1"/>
    <col min="766" max="766" width="10.1796875" customWidth="1"/>
    <col min="767" max="767" width="12" customWidth="1"/>
    <col min="768" max="768" width="17.81640625" customWidth="1"/>
    <col min="769" max="769" width="17.26953125" customWidth="1"/>
    <col min="770" max="771" width="31" customWidth="1"/>
    <col min="772" max="775" width="25.1796875" customWidth="1"/>
    <col min="1022" max="1022" width="10.1796875" customWidth="1"/>
    <col min="1023" max="1023" width="12" customWidth="1"/>
    <col min="1024" max="1024" width="17.81640625" customWidth="1"/>
    <col min="1025" max="1025" width="17.26953125" customWidth="1"/>
    <col min="1026" max="1027" width="31" customWidth="1"/>
    <col min="1028" max="1031" width="25.1796875" customWidth="1"/>
    <col min="1278" max="1278" width="10.1796875" customWidth="1"/>
    <col min="1279" max="1279" width="12" customWidth="1"/>
    <col min="1280" max="1280" width="17.81640625" customWidth="1"/>
    <col min="1281" max="1281" width="17.26953125" customWidth="1"/>
    <col min="1282" max="1283" width="31" customWidth="1"/>
    <col min="1284" max="1287" width="25.1796875" customWidth="1"/>
    <col min="1534" max="1534" width="10.1796875" customWidth="1"/>
    <col min="1535" max="1535" width="12" customWidth="1"/>
    <col min="1536" max="1536" width="17.81640625" customWidth="1"/>
    <col min="1537" max="1537" width="17.26953125" customWidth="1"/>
    <col min="1538" max="1539" width="31" customWidth="1"/>
    <col min="1540" max="1543" width="25.1796875" customWidth="1"/>
    <col min="1790" max="1790" width="10.1796875" customWidth="1"/>
    <col min="1791" max="1791" width="12" customWidth="1"/>
    <col min="1792" max="1792" width="17.81640625" customWidth="1"/>
    <col min="1793" max="1793" width="17.26953125" customWidth="1"/>
    <col min="1794" max="1795" width="31" customWidth="1"/>
    <col min="1796" max="1799" width="25.1796875" customWidth="1"/>
    <col min="2046" max="2046" width="10.1796875" customWidth="1"/>
    <col min="2047" max="2047" width="12" customWidth="1"/>
    <col min="2048" max="2048" width="17.81640625" customWidth="1"/>
    <col min="2049" max="2049" width="17.26953125" customWidth="1"/>
    <col min="2050" max="2051" width="31" customWidth="1"/>
    <col min="2052" max="2055" width="25.1796875" customWidth="1"/>
    <col min="2302" max="2302" width="10.1796875" customWidth="1"/>
    <col min="2303" max="2303" width="12" customWidth="1"/>
    <col min="2304" max="2304" width="17.81640625" customWidth="1"/>
    <col min="2305" max="2305" width="17.26953125" customWidth="1"/>
    <col min="2306" max="2307" width="31" customWidth="1"/>
    <col min="2308" max="2311" width="25.1796875" customWidth="1"/>
    <col min="2558" max="2558" width="10.1796875" customWidth="1"/>
    <col min="2559" max="2559" width="12" customWidth="1"/>
    <col min="2560" max="2560" width="17.81640625" customWidth="1"/>
    <col min="2561" max="2561" width="17.26953125" customWidth="1"/>
    <col min="2562" max="2563" width="31" customWidth="1"/>
    <col min="2564" max="2567" width="25.1796875" customWidth="1"/>
    <col min="2814" max="2814" width="10.1796875" customWidth="1"/>
    <col min="2815" max="2815" width="12" customWidth="1"/>
    <col min="2816" max="2816" width="17.81640625" customWidth="1"/>
    <col min="2817" max="2817" width="17.26953125" customWidth="1"/>
    <col min="2818" max="2819" width="31" customWidth="1"/>
    <col min="2820" max="2823" width="25.1796875" customWidth="1"/>
    <col min="3070" max="3070" width="10.1796875" customWidth="1"/>
    <col min="3071" max="3071" width="12" customWidth="1"/>
    <col min="3072" max="3072" width="17.81640625" customWidth="1"/>
    <col min="3073" max="3073" width="17.26953125" customWidth="1"/>
    <col min="3074" max="3075" width="31" customWidth="1"/>
    <col min="3076" max="3079" width="25.1796875" customWidth="1"/>
    <col min="3326" max="3326" width="10.1796875" customWidth="1"/>
    <col min="3327" max="3327" width="12" customWidth="1"/>
    <col min="3328" max="3328" width="17.81640625" customWidth="1"/>
    <col min="3329" max="3329" width="17.26953125" customWidth="1"/>
    <col min="3330" max="3331" width="31" customWidth="1"/>
    <col min="3332" max="3335" width="25.1796875" customWidth="1"/>
    <col min="3582" max="3582" width="10.1796875" customWidth="1"/>
    <col min="3583" max="3583" width="12" customWidth="1"/>
    <col min="3584" max="3584" width="17.81640625" customWidth="1"/>
    <col min="3585" max="3585" width="17.26953125" customWidth="1"/>
    <col min="3586" max="3587" width="31" customWidth="1"/>
    <col min="3588" max="3591" width="25.1796875" customWidth="1"/>
    <col min="3838" max="3838" width="10.1796875" customWidth="1"/>
    <col min="3839" max="3839" width="12" customWidth="1"/>
    <col min="3840" max="3840" width="17.81640625" customWidth="1"/>
    <col min="3841" max="3841" width="17.26953125" customWidth="1"/>
    <col min="3842" max="3843" width="31" customWidth="1"/>
    <col min="3844" max="3847" width="25.1796875" customWidth="1"/>
    <col min="4094" max="4094" width="10.1796875" customWidth="1"/>
    <col min="4095" max="4095" width="12" customWidth="1"/>
    <col min="4096" max="4096" width="17.81640625" customWidth="1"/>
    <col min="4097" max="4097" width="17.26953125" customWidth="1"/>
    <col min="4098" max="4099" width="31" customWidth="1"/>
    <col min="4100" max="4103" width="25.1796875" customWidth="1"/>
    <col min="4350" max="4350" width="10.1796875" customWidth="1"/>
    <col min="4351" max="4351" width="12" customWidth="1"/>
    <col min="4352" max="4352" width="17.81640625" customWidth="1"/>
    <col min="4353" max="4353" width="17.26953125" customWidth="1"/>
    <col min="4354" max="4355" width="31" customWidth="1"/>
    <col min="4356" max="4359" width="25.1796875" customWidth="1"/>
    <col min="4606" max="4606" width="10.1796875" customWidth="1"/>
    <col min="4607" max="4607" width="12" customWidth="1"/>
    <col min="4608" max="4608" width="17.81640625" customWidth="1"/>
    <col min="4609" max="4609" width="17.26953125" customWidth="1"/>
    <col min="4610" max="4611" width="31" customWidth="1"/>
    <col min="4612" max="4615" width="25.1796875" customWidth="1"/>
    <col min="4862" max="4862" width="10.1796875" customWidth="1"/>
    <col min="4863" max="4863" width="12" customWidth="1"/>
    <col min="4864" max="4864" width="17.81640625" customWidth="1"/>
    <col min="4865" max="4865" width="17.26953125" customWidth="1"/>
    <col min="4866" max="4867" width="31" customWidth="1"/>
    <col min="4868" max="4871" width="25.1796875" customWidth="1"/>
    <col min="5118" max="5118" width="10.1796875" customWidth="1"/>
    <col min="5119" max="5119" width="12" customWidth="1"/>
    <col min="5120" max="5120" width="17.81640625" customWidth="1"/>
    <col min="5121" max="5121" width="17.26953125" customWidth="1"/>
    <col min="5122" max="5123" width="31" customWidth="1"/>
    <col min="5124" max="5127" width="25.1796875" customWidth="1"/>
    <col min="5374" max="5374" width="10.1796875" customWidth="1"/>
    <col min="5375" max="5375" width="12" customWidth="1"/>
    <col min="5376" max="5376" width="17.81640625" customWidth="1"/>
    <col min="5377" max="5377" width="17.26953125" customWidth="1"/>
    <col min="5378" max="5379" width="31" customWidth="1"/>
    <col min="5380" max="5383" width="25.1796875" customWidth="1"/>
    <col min="5630" max="5630" width="10.1796875" customWidth="1"/>
    <col min="5631" max="5631" width="12" customWidth="1"/>
    <col min="5632" max="5632" width="17.81640625" customWidth="1"/>
    <col min="5633" max="5633" width="17.26953125" customWidth="1"/>
    <col min="5634" max="5635" width="31" customWidth="1"/>
    <col min="5636" max="5639" width="25.1796875" customWidth="1"/>
    <col min="5886" max="5886" width="10.1796875" customWidth="1"/>
    <col min="5887" max="5887" width="12" customWidth="1"/>
    <col min="5888" max="5888" width="17.81640625" customWidth="1"/>
    <col min="5889" max="5889" width="17.26953125" customWidth="1"/>
    <col min="5890" max="5891" width="31" customWidth="1"/>
    <col min="5892" max="5895" width="25.1796875" customWidth="1"/>
    <col min="6142" max="6142" width="10.1796875" customWidth="1"/>
    <col min="6143" max="6143" width="12" customWidth="1"/>
    <col min="6144" max="6144" width="17.81640625" customWidth="1"/>
    <col min="6145" max="6145" width="17.26953125" customWidth="1"/>
    <col min="6146" max="6147" width="31" customWidth="1"/>
    <col min="6148" max="6151" width="25.1796875" customWidth="1"/>
    <col min="6398" max="6398" width="10.1796875" customWidth="1"/>
    <col min="6399" max="6399" width="12" customWidth="1"/>
    <col min="6400" max="6400" width="17.81640625" customWidth="1"/>
    <col min="6401" max="6401" width="17.26953125" customWidth="1"/>
    <col min="6402" max="6403" width="31" customWidth="1"/>
    <col min="6404" max="6407" width="25.1796875" customWidth="1"/>
    <col min="6654" max="6654" width="10.1796875" customWidth="1"/>
    <col min="6655" max="6655" width="12" customWidth="1"/>
    <col min="6656" max="6656" width="17.81640625" customWidth="1"/>
    <col min="6657" max="6657" width="17.26953125" customWidth="1"/>
    <col min="6658" max="6659" width="31" customWidth="1"/>
    <col min="6660" max="6663" width="25.1796875" customWidth="1"/>
    <col min="6910" max="6910" width="10.1796875" customWidth="1"/>
    <col min="6911" max="6911" width="12" customWidth="1"/>
    <col min="6912" max="6912" width="17.81640625" customWidth="1"/>
    <col min="6913" max="6913" width="17.26953125" customWidth="1"/>
    <col min="6914" max="6915" width="31" customWidth="1"/>
    <col min="6916" max="6919" width="25.1796875" customWidth="1"/>
    <col min="7166" max="7166" width="10.1796875" customWidth="1"/>
    <col min="7167" max="7167" width="12" customWidth="1"/>
    <col min="7168" max="7168" width="17.81640625" customWidth="1"/>
    <col min="7169" max="7169" width="17.26953125" customWidth="1"/>
    <col min="7170" max="7171" width="31" customWidth="1"/>
    <col min="7172" max="7175" width="25.1796875" customWidth="1"/>
    <col min="7422" max="7422" width="10.1796875" customWidth="1"/>
    <col min="7423" max="7423" width="12" customWidth="1"/>
    <col min="7424" max="7424" width="17.81640625" customWidth="1"/>
    <col min="7425" max="7425" width="17.26953125" customWidth="1"/>
    <col min="7426" max="7427" width="31" customWidth="1"/>
    <col min="7428" max="7431" width="25.1796875" customWidth="1"/>
    <col min="7678" max="7678" width="10.1796875" customWidth="1"/>
    <col min="7679" max="7679" width="12" customWidth="1"/>
    <col min="7680" max="7680" width="17.81640625" customWidth="1"/>
    <col min="7681" max="7681" width="17.26953125" customWidth="1"/>
    <col min="7682" max="7683" width="31" customWidth="1"/>
    <col min="7684" max="7687" width="25.1796875" customWidth="1"/>
    <col min="7934" max="7934" width="10.1796875" customWidth="1"/>
    <col min="7935" max="7935" width="12" customWidth="1"/>
    <col min="7936" max="7936" width="17.81640625" customWidth="1"/>
    <col min="7937" max="7937" width="17.26953125" customWidth="1"/>
    <col min="7938" max="7939" width="31" customWidth="1"/>
    <col min="7940" max="7943" width="25.1796875" customWidth="1"/>
    <col min="8190" max="8190" width="10.1796875" customWidth="1"/>
    <col min="8191" max="8191" width="12" customWidth="1"/>
    <col min="8192" max="8192" width="17.81640625" customWidth="1"/>
    <col min="8193" max="8193" width="17.26953125" customWidth="1"/>
    <col min="8194" max="8195" width="31" customWidth="1"/>
    <col min="8196" max="8199" width="25.1796875" customWidth="1"/>
    <col min="8446" max="8446" width="10.1796875" customWidth="1"/>
    <col min="8447" max="8447" width="12" customWidth="1"/>
    <col min="8448" max="8448" width="17.81640625" customWidth="1"/>
    <col min="8449" max="8449" width="17.26953125" customWidth="1"/>
    <col min="8450" max="8451" width="31" customWidth="1"/>
    <col min="8452" max="8455" width="25.1796875" customWidth="1"/>
    <col min="8702" max="8702" width="10.1796875" customWidth="1"/>
    <col min="8703" max="8703" width="12" customWidth="1"/>
    <col min="8704" max="8704" width="17.81640625" customWidth="1"/>
    <col min="8705" max="8705" width="17.26953125" customWidth="1"/>
    <col min="8706" max="8707" width="31" customWidth="1"/>
    <col min="8708" max="8711" width="25.1796875" customWidth="1"/>
    <col min="8958" max="8958" width="10.1796875" customWidth="1"/>
    <col min="8959" max="8959" width="12" customWidth="1"/>
    <col min="8960" max="8960" width="17.81640625" customWidth="1"/>
    <col min="8961" max="8961" width="17.26953125" customWidth="1"/>
    <col min="8962" max="8963" width="31" customWidth="1"/>
    <col min="8964" max="8967" width="25.1796875" customWidth="1"/>
    <col min="9214" max="9214" width="10.1796875" customWidth="1"/>
    <col min="9215" max="9215" width="12" customWidth="1"/>
    <col min="9216" max="9216" width="17.81640625" customWidth="1"/>
    <col min="9217" max="9217" width="17.26953125" customWidth="1"/>
    <col min="9218" max="9219" width="31" customWidth="1"/>
    <col min="9220" max="9223" width="25.1796875" customWidth="1"/>
    <col min="9470" max="9470" width="10.1796875" customWidth="1"/>
    <col min="9471" max="9471" width="12" customWidth="1"/>
    <col min="9472" max="9472" width="17.81640625" customWidth="1"/>
    <col min="9473" max="9473" width="17.26953125" customWidth="1"/>
    <col min="9474" max="9475" width="31" customWidth="1"/>
    <col min="9476" max="9479" width="25.1796875" customWidth="1"/>
    <col min="9726" max="9726" width="10.1796875" customWidth="1"/>
    <col min="9727" max="9727" width="12" customWidth="1"/>
    <col min="9728" max="9728" width="17.81640625" customWidth="1"/>
    <col min="9729" max="9729" width="17.26953125" customWidth="1"/>
    <col min="9730" max="9731" width="31" customWidth="1"/>
    <col min="9732" max="9735" width="25.1796875" customWidth="1"/>
    <col min="9982" max="9982" width="10.1796875" customWidth="1"/>
    <col min="9983" max="9983" width="12" customWidth="1"/>
    <col min="9984" max="9984" width="17.81640625" customWidth="1"/>
    <col min="9985" max="9985" width="17.26953125" customWidth="1"/>
    <col min="9986" max="9987" width="31" customWidth="1"/>
    <col min="9988" max="9991" width="25.1796875" customWidth="1"/>
    <col min="10238" max="10238" width="10.1796875" customWidth="1"/>
    <col min="10239" max="10239" width="12" customWidth="1"/>
    <col min="10240" max="10240" width="17.81640625" customWidth="1"/>
    <col min="10241" max="10241" width="17.26953125" customWidth="1"/>
    <col min="10242" max="10243" width="31" customWidth="1"/>
    <col min="10244" max="10247" width="25.1796875" customWidth="1"/>
    <col min="10494" max="10494" width="10.1796875" customWidth="1"/>
    <col min="10495" max="10495" width="12" customWidth="1"/>
    <col min="10496" max="10496" width="17.81640625" customWidth="1"/>
    <col min="10497" max="10497" width="17.26953125" customWidth="1"/>
    <col min="10498" max="10499" width="31" customWidth="1"/>
    <col min="10500" max="10503" width="25.1796875" customWidth="1"/>
    <col min="10750" max="10750" width="10.1796875" customWidth="1"/>
    <col min="10751" max="10751" width="12" customWidth="1"/>
    <col min="10752" max="10752" width="17.81640625" customWidth="1"/>
    <col min="10753" max="10753" width="17.26953125" customWidth="1"/>
    <col min="10754" max="10755" width="31" customWidth="1"/>
    <col min="10756" max="10759" width="25.1796875" customWidth="1"/>
    <col min="11006" max="11006" width="10.1796875" customWidth="1"/>
    <col min="11007" max="11007" width="12" customWidth="1"/>
    <col min="11008" max="11008" width="17.81640625" customWidth="1"/>
    <col min="11009" max="11009" width="17.26953125" customWidth="1"/>
    <col min="11010" max="11011" width="31" customWidth="1"/>
    <col min="11012" max="11015" width="25.1796875" customWidth="1"/>
    <col min="11262" max="11262" width="10.1796875" customWidth="1"/>
    <col min="11263" max="11263" width="12" customWidth="1"/>
    <col min="11264" max="11264" width="17.81640625" customWidth="1"/>
    <col min="11265" max="11265" width="17.26953125" customWidth="1"/>
    <col min="11266" max="11267" width="31" customWidth="1"/>
    <col min="11268" max="11271" width="25.1796875" customWidth="1"/>
    <col min="11518" max="11518" width="10.1796875" customWidth="1"/>
    <col min="11519" max="11519" width="12" customWidth="1"/>
    <col min="11520" max="11520" width="17.81640625" customWidth="1"/>
    <col min="11521" max="11521" width="17.26953125" customWidth="1"/>
    <col min="11522" max="11523" width="31" customWidth="1"/>
    <col min="11524" max="11527" width="25.1796875" customWidth="1"/>
    <col min="11774" max="11774" width="10.1796875" customWidth="1"/>
    <col min="11775" max="11775" width="12" customWidth="1"/>
    <col min="11776" max="11776" width="17.81640625" customWidth="1"/>
    <col min="11777" max="11777" width="17.26953125" customWidth="1"/>
    <col min="11778" max="11779" width="31" customWidth="1"/>
    <col min="11780" max="11783" width="25.1796875" customWidth="1"/>
    <col min="12030" max="12030" width="10.1796875" customWidth="1"/>
    <col min="12031" max="12031" width="12" customWidth="1"/>
    <col min="12032" max="12032" width="17.81640625" customWidth="1"/>
    <col min="12033" max="12033" width="17.26953125" customWidth="1"/>
    <col min="12034" max="12035" width="31" customWidth="1"/>
    <col min="12036" max="12039" width="25.1796875" customWidth="1"/>
    <col min="12286" max="12286" width="10.1796875" customWidth="1"/>
    <col min="12287" max="12287" width="12" customWidth="1"/>
    <col min="12288" max="12288" width="17.81640625" customWidth="1"/>
    <col min="12289" max="12289" width="17.26953125" customWidth="1"/>
    <col min="12290" max="12291" width="31" customWidth="1"/>
    <col min="12292" max="12295" width="25.1796875" customWidth="1"/>
    <col min="12542" max="12542" width="10.1796875" customWidth="1"/>
    <col min="12543" max="12543" width="12" customWidth="1"/>
    <col min="12544" max="12544" width="17.81640625" customWidth="1"/>
    <col min="12545" max="12545" width="17.26953125" customWidth="1"/>
    <col min="12546" max="12547" width="31" customWidth="1"/>
    <col min="12548" max="12551" width="25.1796875" customWidth="1"/>
    <col min="12798" max="12798" width="10.1796875" customWidth="1"/>
    <col min="12799" max="12799" width="12" customWidth="1"/>
    <col min="12800" max="12800" width="17.81640625" customWidth="1"/>
    <col min="12801" max="12801" width="17.26953125" customWidth="1"/>
    <col min="12802" max="12803" width="31" customWidth="1"/>
    <col min="12804" max="12807" width="25.1796875" customWidth="1"/>
    <col min="13054" max="13054" width="10.1796875" customWidth="1"/>
    <col min="13055" max="13055" width="12" customWidth="1"/>
    <col min="13056" max="13056" width="17.81640625" customWidth="1"/>
    <col min="13057" max="13057" width="17.26953125" customWidth="1"/>
    <col min="13058" max="13059" width="31" customWidth="1"/>
    <col min="13060" max="13063" width="25.1796875" customWidth="1"/>
    <col min="13310" max="13310" width="10.1796875" customWidth="1"/>
    <col min="13311" max="13311" width="12" customWidth="1"/>
    <col min="13312" max="13312" width="17.81640625" customWidth="1"/>
    <col min="13313" max="13313" width="17.26953125" customWidth="1"/>
    <col min="13314" max="13315" width="31" customWidth="1"/>
    <col min="13316" max="13319" width="25.1796875" customWidth="1"/>
    <col min="13566" max="13566" width="10.1796875" customWidth="1"/>
    <col min="13567" max="13567" width="12" customWidth="1"/>
    <col min="13568" max="13568" width="17.81640625" customWidth="1"/>
    <col min="13569" max="13569" width="17.26953125" customWidth="1"/>
    <col min="13570" max="13571" width="31" customWidth="1"/>
    <col min="13572" max="13575" width="25.1796875" customWidth="1"/>
    <col min="13822" max="13822" width="10.1796875" customWidth="1"/>
    <col min="13823" max="13823" width="12" customWidth="1"/>
    <col min="13824" max="13824" width="17.81640625" customWidth="1"/>
    <col min="13825" max="13825" width="17.26953125" customWidth="1"/>
    <col min="13826" max="13827" width="31" customWidth="1"/>
    <col min="13828" max="13831" width="25.1796875" customWidth="1"/>
    <col min="14078" max="14078" width="10.1796875" customWidth="1"/>
    <col min="14079" max="14079" width="12" customWidth="1"/>
    <col min="14080" max="14080" width="17.81640625" customWidth="1"/>
    <col min="14081" max="14081" width="17.26953125" customWidth="1"/>
    <col min="14082" max="14083" width="31" customWidth="1"/>
    <col min="14084" max="14087" width="25.1796875" customWidth="1"/>
    <col min="14334" max="14334" width="10.1796875" customWidth="1"/>
    <col min="14335" max="14335" width="12" customWidth="1"/>
    <col min="14336" max="14336" width="17.81640625" customWidth="1"/>
    <col min="14337" max="14337" width="17.26953125" customWidth="1"/>
    <col min="14338" max="14339" width="31" customWidth="1"/>
    <col min="14340" max="14343" width="25.1796875" customWidth="1"/>
    <col min="14590" max="14590" width="10.1796875" customWidth="1"/>
    <col min="14591" max="14591" width="12" customWidth="1"/>
    <col min="14592" max="14592" width="17.81640625" customWidth="1"/>
    <col min="14593" max="14593" width="17.26953125" customWidth="1"/>
    <col min="14594" max="14595" width="31" customWidth="1"/>
    <col min="14596" max="14599" width="25.1796875" customWidth="1"/>
    <col min="14846" max="14846" width="10.1796875" customWidth="1"/>
    <col min="14847" max="14847" width="12" customWidth="1"/>
    <col min="14848" max="14848" width="17.81640625" customWidth="1"/>
    <col min="14849" max="14849" width="17.26953125" customWidth="1"/>
    <col min="14850" max="14851" width="31" customWidth="1"/>
    <col min="14852" max="14855" width="25.1796875" customWidth="1"/>
    <col min="15102" max="15102" width="10.1796875" customWidth="1"/>
    <col min="15103" max="15103" width="12" customWidth="1"/>
    <col min="15104" max="15104" width="17.81640625" customWidth="1"/>
    <col min="15105" max="15105" width="17.26953125" customWidth="1"/>
    <col min="15106" max="15107" width="31" customWidth="1"/>
    <col min="15108" max="15111" width="25.1796875" customWidth="1"/>
    <col min="15358" max="15358" width="10.1796875" customWidth="1"/>
    <col min="15359" max="15359" width="12" customWidth="1"/>
    <col min="15360" max="15360" width="17.81640625" customWidth="1"/>
    <col min="15361" max="15361" width="17.26953125" customWidth="1"/>
    <col min="15362" max="15363" width="31" customWidth="1"/>
    <col min="15364" max="15367" width="25.1796875" customWidth="1"/>
    <col min="15614" max="15614" width="10.1796875" customWidth="1"/>
    <col min="15615" max="15615" width="12" customWidth="1"/>
    <col min="15616" max="15616" width="17.81640625" customWidth="1"/>
    <col min="15617" max="15617" width="17.26953125" customWidth="1"/>
    <col min="15618" max="15619" width="31" customWidth="1"/>
    <col min="15620" max="15623" width="25.1796875" customWidth="1"/>
    <col min="15870" max="15870" width="10.1796875" customWidth="1"/>
    <col min="15871" max="15871" width="12" customWidth="1"/>
    <col min="15872" max="15872" width="17.81640625" customWidth="1"/>
    <col min="15873" max="15873" width="17.26953125" customWidth="1"/>
    <col min="15874" max="15875" width="31" customWidth="1"/>
    <col min="15876" max="15879" width="25.1796875" customWidth="1"/>
    <col min="16126" max="16126" width="10.1796875" customWidth="1"/>
    <col min="16127" max="16127" width="12" customWidth="1"/>
    <col min="16128" max="16128" width="17.81640625" customWidth="1"/>
    <col min="16129" max="16129" width="17.26953125" customWidth="1"/>
    <col min="16130" max="16131" width="31" customWidth="1"/>
    <col min="16132" max="16135" width="25.1796875" customWidth="1"/>
  </cols>
  <sheetData>
    <row r="2" spans="2:2" ht="22" x14ac:dyDescent="0.65">
      <c r="B2" s="782" t="s">
        <v>409</v>
      </c>
    </row>
    <row r="6" spans="2:2" ht="13" x14ac:dyDescent="0.25">
      <c r="B6" s="1473" t="s">
        <v>204</v>
      </c>
    </row>
    <row r="7" spans="2:2" ht="37.5" x14ac:dyDescent="0.25">
      <c r="B7" s="1474" t="s">
        <v>1396</v>
      </c>
    </row>
    <row r="8" spans="2:2" x14ac:dyDescent="0.25">
      <c r="B8" s="1467"/>
    </row>
    <row r="9" spans="2:2" ht="62.5" x14ac:dyDescent="0.25">
      <c r="B9" s="1475" t="s">
        <v>1397</v>
      </c>
    </row>
    <row r="10" spans="2:2" x14ac:dyDescent="0.25">
      <c r="B10" s="784"/>
    </row>
    <row r="11" spans="2:2" x14ac:dyDescent="0.25">
      <c r="B11" s="784"/>
    </row>
    <row r="12" spans="2:2" x14ac:dyDescent="0.25">
      <c r="B12" s="784"/>
    </row>
    <row r="13" spans="2:2" x14ac:dyDescent="0.25">
      <c r="B13" s="784"/>
    </row>
    <row r="14" spans="2:2" x14ac:dyDescent="0.25">
      <c r="B14" s="784"/>
    </row>
    <row r="15" spans="2:2" x14ac:dyDescent="0.25">
      <c r="B15" s="784"/>
    </row>
    <row r="16" spans="2:2" x14ac:dyDescent="0.25">
      <c r="B16" s="784"/>
    </row>
    <row r="17" spans="2:2" x14ac:dyDescent="0.25">
      <c r="B17" s="784"/>
    </row>
    <row r="18" spans="2:2" x14ac:dyDescent="0.25">
      <c r="B18" s="784"/>
    </row>
    <row r="19" spans="2:2" x14ac:dyDescent="0.25">
      <c r="B19" s="784"/>
    </row>
    <row r="20" spans="2:2" x14ac:dyDescent="0.25">
      <c r="B20" s="784"/>
    </row>
    <row r="21" spans="2:2" x14ac:dyDescent="0.25">
      <c r="B21" s="784"/>
    </row>
    <row r="22" spans="2:2" x14ac:dyDescent="0.25">
      <c r="B22" s="784"/>
    </row>
    <row r="23" spans="2:2" x14ac:dyDescent="0.25">
      <c r="B23" s="784"/>
    </row>
    <row r="24" spans="2:2" x14ac:dyDescent="0.25">
      <c r="B24" s="784"/>
    </row>
    <row r="25" spans="2:2" x14ac:dyDescent="0.25">
      <c r="B25" s="784"/>
    </row>
    <row r="26" spans="2:2" x14ac:dyDescent="0.25">
      <c r="B26" s="784"/>
    </row>
    <row r="27" spans="2:2" x14ac:dyDescent="0.25">
      <c r="B27" s="784"/>
    </row>
    <row r="28" spans="2:2" x14ac:dyDescent="0.25">
      <c r="B28" s="784"/>
    </row>
    <row r="29" spans="2:2" x14ac:dyDescent="0.25">
      <c r="B29" s="784"/>
    </row>
    <row r="30" spans="2:2" x14ac:dyDescent="0.25">
      <c r="B30" s="784"/>
    </row>
    <row r="31" spans="2:2" x14ac:dyDescent="0.25">
      <c r="B31" s="784"/>
    </row>
    <row r="32" spans="2:2" x14ac:dyDescent="0.25">
      <c r="B32" s="784"/>
    </row>
    <row r="33" spans="2:2" x14ac:dyDescent="0.25">
      <c r="B33" s="784"/>
    </row>
    <row r="34" spans="2:2" x14ac:dyDescent="0.25">
      <c r="B34" s="784"/>
    </row>
    <row r="35" spans="2:2" x14ac:dyDescent="0.25">
      <c r="B35" s="784"/>
    </row>
    <row r="36" spans="2:2" x14ac:dyDescent="0.25">
      <c r="B36" s="784"/>
    </row>
    <row r="37" spans="2:2" x14ac:dyDescent="0.25">
      <c r="B37" s="784"/>
    </row>
    <row r="38" spans="2:2" x14ac:dyDescent="0.25">
      <c r="B38" s="784"/>
    </row>
    <row r="39" spans="2:2" x14ac:dyDescent="0.25">
      <c r="B39" s="784"/>
    </row>
    <row r="40" spans="2:2" x14ac:dyDescent="0.25">
      <c r="B40" s="784"/>
    </row>
    <row r="41" spans="2:2" x14ac:dyDescent="0.25">
      <c r="B41" s="784"/>
    </row>
    <row r="42" spans="2:2" x14ac:dyDescent="0.25">
      <c r="B42" s="784"/>
    </row>
    <row r="43" spans="2:2" ht="13" x14ac:dyDescent="0.3">
      <c r="B43" s="785" t="s">
        <v>205</v>
      </c>
    </row>
    <row r="44" spans="2:2" x14ac:dyDescent="0.25">
      <c r="B44" s="1268"/>
    </row>
    <row r="45" spans="2:2" x14ac:dyDescent="0.25">
      <c r="B45" s="209"/>
    </row>
  </sheetData>
  <phoneticPr fontId="0"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7"/>
  <sheetViews>
    <sheetView zoomScale="85" zoomScaleNormal="85" workbookViewId="0">
      <pane ySplit="7" topLeftCell="A23" activePane="bottomLeft" state="frozen"/>
      <selection pane="bottomLeft" activeCell="C32" sqref="C32"/>
    </sheetView>
  </sheetViews>
  <sheetFormatPr defaultColWidth="9.1796875" defaultRowHeight="12.5" x14ac:dyDescent="0.25"/>
  <cols>
    <col min="1" max="1" width="4.453125" style="464" customWidth="1"/>
    <col min="2" max="2" width="62.81640625" style="29" customWidth="1"/>
    <col min="3" max="3" width="21.1796875" style="29" customWidth="1"/>
    <col min="4" max="4" width="20.1796875" style="29" customWidth="1"/>
    <col min="5" max="5" width="24.26953125" style="29" customWidth="1"/>
    <col min="6" max="6" width="21.81640625" style="29" customWidth="1"/>
    <col min="7" max="7" width="16.26953125" style="29" customWidth="1"/>
    <col min="8" max="8" width="33.7265625" style="29" bestFit="1" customWidth="1"/>
    <col min="9" max="9" width="38" style="29" bestFit="1" customWidth="1"/>
    <col min="10" max="10" width="47.26953125" style="29" customWidth="1"/>
    <col min="11" max="11" width="18.453125" style="29" customWidth="1"/>
    <col min="12" max="16384" width="9.1796875" style="29"/>
  </cols>
  <sheetData>
    <row r="1" spans="1:8" ht="8.5" customHeight="1" thickBot="1" x14ac:dyDescent="0.3">
      <c r="A1" s="985" t="s">
        <v>1288</v>
      </c>
    </row>
    <row r="2" spans="1:8" ht="27" customHeight="1" thickBot="1" x14ac:dyDescent="0.3">
      <c r="A2" s="465"/>
      <c r="B2" s="1521" t="s">
        <v>1405</v>
      </c>
      <c r="C2" s="1522"/>
      <c r="D2" s="1522"/>
      <c r="E2" s="1523"/>
      <c r="F2" s="1523"/>
      <c r="G2" s="1524"/>
    </row>
    <row r="3" spans="1:8" ht="19.899999999999999" customHeight="1" thickBot="1" x14ac:dyDescent="0.3">
      <c r="A3" s="465" t="s">
        <v>1042</v>
      </c>
      <c r="B3" s="1525" t="s">
        <v>1382</v>
      </c>
      <c r="C3" s="1526"/>
      <c r="D3" s="1527"/>
      <c r="E3" s="318"/>
      <c r="F3" s="319"/>
      <c r="G3" s="320"/>
    </row>
    <row r="4" spans="1:8" ht="6.65" customHeight="1" thickBot="1" x14ac:dyDescent="0.3">
      <c r="A4" s="465"/>
      <c r="B4" s="504"/>
      <c r="C4" s="505"/>
      <c r="D4" s="1528"/>
      <c r="E4" s="1528"/>
      <c r="F4" s="496"/>
      <c r="G4" s="497"/>
    </row>
    <row r="5" spans="1:8" ht="22.5" thickTop="1" x14ac:dyDescent="0.25">
      <c r="A5" s="465"/>
      <c r="B5" s="776" t="s">
        <v>1067</v>
      </c>
      <c r="C5" s="777"/>
      <c r="D5" s="778"/>
      <c r="E5" s="778"/>
      <c r="F5" s="499"/>
      <c r="G5" s="501"/>
    </row>
    <row r="6" spans="1:8" ht="21" customHeight="1" x14ac:dyDescent="0.25">
      <c r="A6" s="465"/>
      <c r="B6" s="1244" t="s">
        <v>203</v>
      </c>
      <c r="C6" s="505"/>
      <c r="D6" s="1200"/>
      <c r="E6" s="1200"/>
      <c r="F6" s="496"/>
      <c r="G6" s="497"/>
    </row>
    <row r="7" spans="1:8" ht="20" x14ac:dyDescent="0.25">
      <c r="A7" s="465"/>
      <c r="B7" s="1245"/>
      <c r="C7" s="505"/>
      <c r="D7" s="772"/>
      <c r="E7" s="772"/>
      <c r="F7" s="496"/>
      <c r="G7" s="497"/>
    </row>
    <row r="8" spans="1:8" ht="29.25" customHeight="1" x14ac:dyDescent="0.25">
      <c r="A8" s="465"/>
      <c r="B8" s="1244" t="s">
        <v>198</v>
      </c>
      <c r="C8" s="505"/>
      <c r="D8" s="1127"/>
      <c r="E8" s="1127"/>
      <c r="F8" s="496"/>
      <c r="G8" s="497"/>
    </row>
    <row r="9" spans="1:8" ht="20" x14ac:dyDescent="0.25">
      <c r="A9" s="465"/>
      <c r="B9" s="1245"/>
      <c r="C9" s="505"/>
      <c r="D9" s="505"/>
      <c r="E9" s="505"/>
      <c r="F9" s="496"/>
      <c r="G9" s="497"/>
    </row>
    <row r="10" spans="1:8" ht="20" x14ac:dyDescent="0.25">
      <c r="A10" s="465"/>
      <c r="B10" s="1244" t="s">
        <v>197</v>
      </c>
      <c r="C10" s="505"/>
      <c r="D10" s="505"/>
      <c r="E10" s="505"/>
      <c r="F10" s="496"/>
      <c r="G10" s="497"/>
    </row>
    <row r="11" spans="1:8" ht="20" x14ac:dyDescent="0.25">
      <c r="A11" s="465"/>
      <c r="B11" s="504"/>
      <c r="C11" s="505"/>
      <c r="D11" s="505"/>
      <c r="E11" s="505"/>
      <c r="F11" s="496"/>
      <c r="G11" s="497"/>
    </row>
    <row r="12" spans="1:8" ht="20" x14ac:dyDescent="0.25">
      <c r="A12" s="465"/>
      <c r="B12" s="504"/>
      <c r="C12" s="505"/>
      <c r="D12" s="505"/>
      <c r="E12" s="505"/>
      <c r="F12" s="496"/>
      <c r="G12" s="497"/>
    </row>
    <row r="13" spans="1:8" ht="20" x14ac:dyDescent="0.25">
      <c r="A13" s="465"/>
      <c r="B13" s="504"/>
      <c r="C13" s="505"/>
      <c r="D13" s="505"/>
      <c r="E13" s="505"/>
      <c r="F13" s="496"/>
      <c r="G13" s="497"/>
    </row>
    <row r="14" spans="1:8" ht="20" x14ac:dyDescent="0.25">
      <c r="A14" s="465"/>
      <c r="B14" s="831" t="s">
        <v>322</v>
      </c>
      <c r="C14" s="505"/>
      <c r="D14" s="505"/>
      <c r="E14" s="505"/>
      <c r="F14" s="505"/>
      <c r="G14" s="497"/>
    </row>
    <row r="15" spans="1:8" ht="20" x14ac:dyDescent="0.25">
      <c r="A15" s="465"/>
      <c r="B15" s="831" t="s">
        <v>372</v>
      </c>
      <c r="C15" s="505"/>
      <c r="D15" s="505"/>
      <c r="E15" s="505"/>
      <c r="F15" s="505"/>
      <c r="G15" s="497"/>
    </row>
    <row r="16" spans="1:8" ht="20" x14ac:dyDescent="0.25">
      <c r="A16" s="465"/>
      <c r="B16" s="831" t="s">
        <v>143</v>
      </c>
      <c r="C16" s="505"/>
      <c r="D16" s="505"/>
      <c r="E16" s="505"/>
      <c r="F16" s="505"/>
      <c r="G16" s="497"/>
      <c r="H16" s="1196" t="s">
        <v>1178</v>
      </c>
    </row>
    <row r="17" spans="1:8" ht="20" x14ac:dyDescent="0.25">
      <c r="A17" s="465"/>
      <c r="B17" s="831" t="s">
        <v>951</v>
      </c>
      <c r="C17" s="505"/>
      <c r="D17" s="505"/>
      <c r="E17" s="505"/>
      <c r="F17" s="505"/>
      <c r="G17" s="497"/>
      <c r="H17" s="1197">
        <f ca="1">+NPV</f>
        <v>1.0284136215620438E-6</v>
      </c>
    </row>
    <row r="18" spans="1:8" ht="20" x14ac:dyDescent="0.25">
      <c r="A18" s="465"/>
      <c r="B18" s="831" t="s">
        <v>354</v>
      </c>
      <c r="C18" s="505"/>
      <c r="D18" s="505"/>
      <c r="E18" s="505"/>
      <c r="F18" s="505"/>
      <c r="G18" s="497"/>
    </row>
    <row r="19" spans="1:8" ht="20" x14ac:dyDescent="0.25">
      <c r="A19" s="465"/>
      <c r="B19" s="831" t="s">
        <v>952</v>
      </c>
      <c r="C19" s="505"/>
      <c r="D19" s="505"/>
      <c r="E19" s="505"/>
      <c r="F19" s="505"/>
      <c r="G19" s="497"/>
    </row>
    <row r="20" spans="1:8" ht="20" x14ac:dyDescent="0.25">
      <c r="A20" s="465"/>
      <c r="B20" s="831" t="s">
        <v>953</v>
      </c>
      <c r="C20" s="505"/>
      <c r="D20" s="505"/>
      <c r="E20" s="505"/>
      <c r="F20" s="505"/>
      <c r="G20" s="497"/>
    </row>
    <row r="21" spans="1:8" ht="5.5" customHeight="1" x14ac:dyDescent="0.25">
      <c r="A21" s="465"/>
      <c r="B21" s="829"/>
      <c r="C21" s="505"/>
      <c r="D21" s="772"/>
      <c r="E21" s="772"/>
      <c r="F21" s="496"/>
      <c r="G21" s="497"/>
    </row>
    <row r="22" spans="1:8" ht="5.5" customHeight="1" x14ac:dyDescent="0.25">
      <c r="A22" s="465"/>
      <c r="E22" s="772"/>
      <c r="F22" s="496"/>
      <c r="G22" s="497"/>
    </row>
    <row r="23" spans="1:8" ht="5.5" customHeight="1" thickBot="1" x14ac:dyDescent="0.3">
      <c r="A23" s="465"/>
      <c r="B23" s="504"/>
      <c r="C23" s="505"/>
      <c r="D23" s="772"/>
      <c r="E23" s="772"/>
      <c r="F23" s="496"/>
      <c r="G23" s="497"/>
    </row>
    <row r="24" spans="1:8" ht="31.5" customHeight="1" thickTop="1" thickBot="1" x14ac:dyDescent="0.3">
      <c r="A24" s="465"/>
      <c r="B24" s="498" t="s">
        <v>322</v>
      </c>
      <c r="C24" s="500"/>
      <c r="D24" s="500"/>
      <c r="E24" s="1507" t="s">
        <v>441</v>
      </c>
      <c r="F24" s="1507"/>
      <c r="G24" s="1508"/>
    </row>
    <row r="25" spans="1:8" ht="17.149999999999999" customHeight="1" thickBot="1" x14ac:dyDescent="0.3">
      <c r="A25" s="465" t="s">
        <v>8</v>
      </c>
      <c r="B25" s="321" t="s">
        <v>334</v>
      </c>
      <c r="C25" s="856">
        <f ca="1">0.9*sensitivity_01</f>
        <v>0.9</v>
      </c>
      <c r="D25" s="471"/>
      <c r="E25" s="1514"/>
      <c r="F25" s="1514"/>
      <c r="G25" s="1515"/>
    </row>
    <row r="26" spans="1:8" ht="17.149999999999999" customHeight="1" thickBot="1" x14ac:dyDescent="0.3">
      <c r="A26" s="465" t="s">
        <v>26</v>
      </c>
      <c r="B26" s="321" t="s">
        <v>335</v>
      </c>
      <c r="C26" s="556">
        <f ca="1">154758.064516129*sensitivity_02</f>
        <v>154758.064516129</v>
      </c>
      <c r="D26" s="471"/>
      <c r="E26" s="1514"/>
      <c r="F26" s="1514"/>
      <c r="G26" s="1515"/>
    </row>
    <row r="27" spans="1:8" ht="17.149999999999999" customHeight="1" thickBot="1" x14ac:dyDescent="0.3">
      <c r="A27" s="465"/>
      <c r="B27" s="321" t="s">
        <v>430</v>
      </c>
      <c r="C27" s="857">
        <f ca="1">design_cap*cap_factor</f>
        <v>139282.25806451609</v>
      </c>
      <c r="D27" s="471"/>
      <c r="E27" s="242"/>
      <c r="F27" s="242"/>
      <c r="G27" s="553"/>
    </row>
    <row r="28" spans="1:8" ht="17.149999999999999" customHeight="1" thickBot="1" x14ac:dyDescent="0.3">
      <c r="A28" s="465" t="s">
        <v>1009</v>
      </c>
      <c r="B28" s="321" t="s">
        <v>20</v>
      </c>
      <c r="C28" s="502">
        <f ca="1">output_kgpday*365</f>
        <v>50838024.193548374</v>
      </c>
      <c r="D28" s="471"/>
      <c r="E28" s="1518"/>
      <c r="F28" s="1514"/>
      <c r="G28" s="1515"/>
    </row>
    <row r="29" spans="1:8" ht="20.149999999999999" customHeight="1" thickTop="1" thickBot="1" x14ac:dyDescent="0.3">
      <c r="A29" s="465"/>
      <c r="B29" s="498" t="s">
        <v>372</v>
      </c>
      <c r="C29" s="500"/>
      <c r="D29" s="503"/>
      <c r="E29" s="1507" t="s">
        <v>1099</v>
      </c>
      <c r="F29" s="1507"/>
      <c r="G29" s="1508"/>
    </row>
    <row r="30" spans="1:8" ht="17.149999999999999" customHeight="1" thickBot="1" x14ac:dyDescent="0.3">
      <c r="A30" s="465" t="s">
        <v>1025</v>
      </c>
      <c r="B30" s="322" t="s">
        <v>1026</v>
      </c>
      <c r="C30" s="1269">
        <v>2016</v>
      </c>
      <c r="D30" s="471"/>
      <c r="E30" s="1505"/>
      <c r="F30" s="1505"/>
      <c r="G30" s="1506"/>
    </row>
    <row r="31" spans="1:8" ht="17.149999999999999" customHeight="1" thickBot="1" x14ac:dyDescent="0.3">
      <c r="A31" s="465" t="s">
        <v>182</v>
      </c>
      <c r="B31" s="321" t="s">
        <v>373</v>
      </c>
      <c r="C31" s="1269">
        <v>2040</v>
      </c>
      <c r="D31" s="471"/>
      <c r="E31" s="1505"/>
      <c r="F31" s="1505"/>
      <c r="G31" s="1506"/>
    </row>
    <row r="32" spans="1:8" ht="17.149999999999999" customHeight="1" thickBot="1" x14ac:dyDescent="0.3">
      <c r="A32" s="465"/>
      <c r="B32" s="321" t="s">
        <v>841</v>
      </c>
      <c r="C32" s="858">
        <v>2005</v>
      </c>
      <c r="D32" s="1529" t="s">
        <v>1098</v>
      </c>
      <c r="E32" s="1003"/>
      <c r="F32" s="1003"/>
      <c r="G32" s="1004"/>
    </row>
    <row r="33" spans="1:7" ht="17.149999999999999" customHeight="1" thickBot="1" x14ac:dyDescent="0.3">
      <c r="A33" s="465" t="s">
        <v>10</v>
      </c>
      <c r="B33" s="321" t="s">
        <v>374</v>
      </c>
      <c r="C33" s="858">
        <v>3</v>
      </c>
      <c r="D33" s="1529"/>
      <c r="E33" s="1519"/>
      <c r="F33" s="1519"/>
      <c r="G33" s="1520"/>
    </row>
    <row r="34" spans="1:7" ht="17.149999999999999" customHeight="1" thickBot="1" x14ac:dyDescent="0.3">
      <c r="A34" s="465" t="s">
        <v>161</v>
      </c>
      <c r="B34" s="321" t="s">
        <v>945</v>
      </c>
      <c r="C34" s="859">
        <v>0.08</v>
      </c>
      <c r="D34" s="987"/>
      <c r="E34" s="1505"/>
      <c r="F34" s="1505"/>
      <c r="G34" s="1506"/>
    </row>
    <row r="35" spans="1:7" ht="17.149999999999999" customHeight="1" thickBot="1" x14ac:dyDescent="0.3">
      <c r="A35" s="465" t="s">
        <v>162</v>
      </c>
      <c r="B35" s="321" t="s">
        <v>375</v>
      </c>
      <c r="C35" s="859">
        <v>0.6</v>
      </c>
      <c r="D35" s="987"/>
      <c r="E35" s="1505"/>
      <c r="F35" s="1505"/>
      <c r="G35" s="1506"/>
    </row>
    <row r="36" spans="1:7" ht="17.149999999999999" customHeight="1" thickBot="1" x14ac:dyDescent="0.3">
      <c r="A36" s="465" t="s">
        <v>163</v>
      </c>
      <c r="B36" s="323" t="s">
        <v>376</v>
      </c>
      <c r="C36" s="859">
        <v>0.32</v>
      </c>
      <c r="D36" s="987"/>
      <c r="E36" s="1505"/>
      <c r="F36" s="1505"/>
      <c r="G36" s="1506"/>
    </row>
    <row r="37" spans="1:7" ht="17.149999999999999" customHeight="1" thickBot="1" x14ac:dyDescent="0.3">
      <c r="A37" s="465" t="s">
        <v>164</v>
      </c>
      <c r="B37" s="323" t="s">
        <v>323</v>
      </c>
      <c r="C37" s="859"/>
      <c r="D37" s="471"/>
      <c r="E37" s="1505"/>
      <c r="F37" s="1505"/>
      <c r="G37" s="1506"/>
    </row>
    <row r="38" spans="1:7" ht="17.149999999999999" customHeight="1" thickBot="1" x14ac:dyDescent="0.3">
      <c r="A38" s="465" t="s">
        <v>181</v>
      </c>
      <c r="B38" s="321" t="s">
        <v>378</v>
      </c>
      <c r="C38" s="858">
        <v>1</v>
      </c>
      <c r="D38" s="471"/>
      <c r="E38" s="1505"/>
      <c r="F38" s="1505"/>
      <c r="G38" s="1506"/>
    </row>
    <row r="39" spans="1:7" ht="17.149999999999999" customHeight="1" thickBot="1" x14ac:dyDescent="0.3">
      <c r="A39" s="465" t="s">
        <v>170</v>
      </c>
      <c r="B39" s="321" t="s">
        <v>379</v>
      </c>
      <c r="C39" s="858">
        <v>40</v>
      </c>
      <c r="D39" s="471"/>
      <c r="E39" s="1505"/>
      <c r="F39" s="1505"/>
      <c r="G39" s="1506"/>
    </row>
    <row r="40" spans="1:7" ht="17.149999999999999" customHeight="1" thickBot="1" x14ac:dyDescent="0.3">
      <c r="A40" s="465" t="s">
        <v>7</v>
      </c>
      <c r="B40" s="321" t="s">
        <v>380</v>
      </c>
      <c r="C40" s="858">
        <v>40</v>
      </c>
      <c r="D40" s="471"/>
      <c r="E40" s="1505"/>
      <c r="F40" s="1505"/>
      <c r="G40" s="1506"/>
    </row>
    <row r="41" spans="1:7" ht="17.149999999999999" customHeight="1" thickBot="1" x14ac:dyDescent="0.3">
      <c r="A41" s="465" t="s">
        <v>24</v>
      </c>
      <c r="B41" s="321" t="s">
        <v>381</v>
      </c>
      <c r="C41" s="858">
        <v>20</v>
      </c>
      <c r="D41" s="471"/>
      <c r="E41" s="1505"/>
      <c r="F41" s="1505"/>
      <c r="G41" s="1506"/>
    </row>
    <row r="42" spans="1:7" ht="17.149999999999999" customHeight="1" thickBot="1" x14ac:dyDescent="0.3">
      <c r="A42" s="465" t="s">
        <v>25</v>
      </c>
      <c r="B42" s="321" t="s">
        <v>389</v>
      </c>
      <c r="C42" s="858" t="s">
        <v>438</v>
      </c>
      <c r="D42" s="471"/>
      <c r="E42" s="1505"/>
      <c r="F42" s="1505"/>
      <c r="G42" s="1506"/>
    </row>
    <row r="43" spans="1:7" ht="17.149999999999999" customHeight="1" thickBot="1" x14ac:dyDescent="0.3">
      <c r="A43" s="465" t="s">
        <v>247</v>
      </c>
      <c r="B43" s="321" t="s">
        <v>19</v>
      </c>
      <c r="C43" s="860">
        <v>0.4</v>
      </c>
      <c r="D43" s="471"/>
      <c r="E43" s="1505"/>
      <c r="F43" s="1505"/>
      <c r="G43" s="1506"/>
    </row>
    <row r="44" spans="1:7" ht="17.149999999999999" customHeight="1" thickBot="1" x14ac:dyDescent="0.3">
      <c r="A44" s="465" t="s">
        <v>13</v>
      </c>
      <c r="B44" s="321" t="s">
        <v>388</v>
      </c>
      <c r="C44" s="1442">
        <v>3.6999999999999998E-2</v>
      </c>
      <c r="D44" s="471"/>
      <c r="E44" s="1512"/>
      <c r="F44" s="1505"/>
      <c r="G44" s="1506"/>
    </row>
    <row r="45" spans="1:7" ht="17.149999999999999" customHeight="1" thickBot="1" x14ac:dyDescent="0.3">
      <c r="A45" s="465" t="s">
        <v>14</v>
      </c>
      <c r="B45" s="321" t="s">
        <v>382</v>
      </c>
      <c r="C45" s="1501">
        <v>0</v>
      </c>
      <c r="D45" s="471"/>
      <c r="E45" s="1512" t="s">
        <v>1404</v>
      </c>
      <c r="F45" s="1512"/>
      <c r="G45" s="1530"/>
    </row>
    <row r="46" spans="1:7" ht="17.149999999999999" customHeight="1" thickBot="1" x14ac:dyDescent="0.3">
      <c r="A46" s="465" t="s">
        <v>165</v>
      </c>
      <c r="B46" s="321" t="s">
        <v>383</v>
      </c>
      <c r="C46" s="859">
        <v>1</v>
      </c>
      <c r="D46" s="471"/>
      <c r="E46" s="1505"/>
      <c r="F46" s="1505"/>
      <c r="G46" s="1506"/>
    </row>
    <row r="47" spans="1:7" ht="17.149999999999999" customHeight="1" thickBot="1" x14ac:dyDescent="0.3">
      <c r="A47" s="465" t="s">
        <v>167</v>
      </c>
      <c r="B47" s="321" t="s">
        <v>384</v>
      </c>
      <c r="C47" s="859">
        <v>0.5</v>
      </c>
      <c r="D47" s="471"/>
      <c r="E47" s="1505"/>
      <c r="F47" s="1505"/>
      <c r="G47" s="1506"/>
    </row>
    <row r="48" spans="1:7" ht="17.149999999999999" customHeight="1" thickBot="1" x14ac:dyDescent="0.3">
      <c r="A48" s="465" t="s">
        <v>168</v>
      </c>
      <c r="B48" s="321" t="s">
        <v>385</v>
      </c>
      <c r="C48" s="859">
        <v>0.75</v>
      </c>
      <c r="D48" s="471"/>
      <c r="E48" s="1505"/>
      <c r="F48" s="1505"/>
      <c r="G48" s="1506"/>
    </row>
    <row r="49" spans="1:7" ht="17.149999999999999" customHeight="1" thickBot="1" x14ac:dyDescent="0.3">
      <c r="A49" s="465" t="s">
        <v>18</v>
      </c>
      <c r="B49" s="321" t="s">
        <v>386</v>
      </c>
      <c r="C49" s="859">
        <v>0.1</v>
      </c>
      <c r="D49" s="471"/>
      <c r="E49" s="1505"/>
      <c r="F49" s="1505"/>
      <c r="G49" s="1506"/>
    </row>
    <row r="50" spans="1:7" ht="17.149999999999999" customHeight="1" thickBot="1" x14ac:dyDescent="0.3">
      <c r="A50" s="465" t="s">
        <v>178</v>
      </c>
      <c r="B50" s="321" t="s">
        <v>387</v>
      </c>
      <c r="C50" s="859">
        <v>0.1</v>
      </c>
      <c r="D50" s="471"/>
      <c r="E50" s="1505"/>
      <c r="F50" s="1505"/>
      <c r="G50" s="1506"/>
    </row>
    <row r="51" spans="1:7" ht="17.149999999999999" customHeight="1" thickBot="1" x14ac:dyDescent="0.3">
      <c r="A51" s="465" t="s">
        <v>30</v>
      </c>
      <c r="B51" s="321" t="s">
        <v>978</v>
      </c>
      <c r="C51" s="856">
        <v>1.9E-2</v>
      </c>
      <c r="D51" s="471"/>
      <c r="E51" s="1505"/>
      <c r="F51" s="1505"/>
      <c r="G51" s="1506"/>
    </row>
    <row r="52" spans="1:7" ht="17.149999999999999" customHeight="1" thickBot="1" x14ac:dyDescent="0.3">
      <c r="A52" s="465" t="s">
        <v>174</v>
      </c>
      <c r="B52" s="321" t="s">
        <v>1020</v>
      </c>
      <c r="C52" s="856">
        <f ca="1">0.08*sensitivity_03</f>
        <v>0.08</v>
      </c>
      <c r="D52" s="471"/>
      <c r="E52" s="1512"/>
      <c r="F52" s="1505"/>
      <c r="G52" s="1506"/>
    </row>
    <row r="53" spans="1:7" ht="17.149999999999999" customHeight="1" thickBot="1" x14ac:dyDescent="0.3">
      <c r="A53" s="465" t="s">
        <v>184</v>
      </c>
      <c r="B53" s="321" t="s">
        <v>1021</v>
      </c>
      <c r="C53" s="856">
        <v>0.06</v>
      </c>
      <c r="D53" s="471"/>
      <c r="E53" s="1505"/>
      <c r="F53" s="1505"/>
      <c r="G53" s="1506"/>
    </row>
    <row r="54" spans="1:7" ht="17.149999999999999" customHeight="1" thickBot="1" x14ac:dyDescent="0.3">
      <c r="A54" s="465" t="s">
        <v>28</v>
      </c>
      <c r="B54" s="321" t="s">
        <v>977</v>
      </c>
      <c r="C54" s="470">
        <v>0.21</v>
      </c>
      <c r="D54" s="471"/>
      <c r="E54" s="1505"/>
      <c r="F54" s="1505"/>
      <c r="G54" s="1506"/>
    </row>
    <row r="55" spans="1:7" ht="17.149999999999999" customHeight="1" thickBot="1" x14ac:dyDescent="0.3">
      <c r="A55" s="465" t="s">
        <v>1017</v>
      </c>
      <c r="B55" s="321" t="s">
        <v>21</v>
      </c>
      <c r="C55" s="861">
        <f>fed_tax_rate+state_tax_rate*(1-fed_tax_rate)</f>
        <v>0.25739999999999996</v>
      </c>
      <c r="D55" s="472"/>
      <c r="E55" s="1513"/>
      <c r="F55" s="1505"/>
      <c r="G55" s="1506"/>
    </row>
    <row r="56" spans="1:7" ht="17.149999999999999" customHeight="1" thickBot="1" x14ac:dyDescent="0.3">
      <c r="A56" s="465" t="s">
        <v>189</v>
      </c>
      <c r="B56" s="321" t="s">
        <v>371</v>
      </c>
      <c r="C56" s="473">
        <v>0.15</v>
      </c>
      <c r="D56" s="471"/>
      <c r="E56" s="1505"/>
      <c r="F56" s="1505"/>
      <c r="G56" s="1506"/>
    </row>
    <row r="57" spans="1:7" ht="18.75" customHeight="1" thickTop="1" x14ac:dyDescent="0.3">
      <c r="A57" s="465"/>
      <c r="B57" s="506" t="s">
        <v>1043</v>
      </c>
      <c r="C57" s="833"/>
      <c r="D57" s="827"/>
      <c r="E57" s="827"/>
      <c r="F57" s="827"/>
      <c r="G57" s="828"/>
    </row>
    <row r="58" spans="1:7" ht="21" customHeight="1" thickBot="1" x14ac:dyDescent="0.3">
      <c r="A58" s="465"/>
      <c r="B58" s="432" t="s">
        <v>275</v>
      </c>
      <c r="C58" s="490"/>
      <c r="D58" s="434"/>
      <c r="E58" s="433"/>
      <c r="F58" s="433"/>
      <c r="G58" s="435"/>
    </row>
    <row r="59" spans="1:7" ht="23.25" customHeight="1" thickBot="1" x14ac:dyDescent="0.3">
      <c r="A59" s="465"/>
      <c r="B59" s="476" t="s">
        <v>1290</v>
      </c>
      <c r="C59" s="490"/>
      <c r="D59" s="434"/>
      <c r="E59" s="433"/>
      <c r="F59" s="1509" t="s">
        <v>714</v>
      </c>
      <c r="G59" s="435"/>
    </row>
    <row r="60" spans="1:7" ht="18.75" customHeight="1" thickBot="1" x14ac:dyDescent="0.3">
      <c r="A60" s="465"/>
      <c r="B60" s="432" t="s">
        <v>696</v>
      </c>
      <c r="C60" s="433"/>
      <c r="D60" s="434"/>
      <c r="E60" s="433"/>
      <c r="F60" s="1509"/>
      <c r="G60" s="435"/>
    </row>
    <row r="61" spans="1:7" ht="17.149999999999999" customHeight="1" thickBot="1" x14ac:dyDescent="0.3">
      <c r="A61" s="465"/>
      <c r="B61" s="476" t="s">
        <v>1369</v>
      </c>
      <c r="C61" s="436" t="str">
        <f>IF(OR(TMP_FeedType="Feedstock",TMP_FeedType = "Utility")," Enter usage in","Enter production in")</f>
        <v xml:space="preserve"> Enter usage in</v>
      </c>
      <c r="D61" s="436" t="str">
        <f ca="1">VLOOKUP(TMP_FeedName,INDIRECT(TMP_PriceTable),4,FALSE)</f>
        <v>mmBtu</v>
      </c>
      <c r="E61" s="433"/>
      <c r="F61" s="1509"/>
      <c r="G61" s="435"/>
    </row>
    <row r="62" spans="1:7" ht="17.149999999999999" customHeight="1" thickBot="1" x14ac:dyDescent="0.3">
      <c r="A62" s="465"/>
      <c r="B62" s="432" t="s">
        <v>697</v>
      </c>
      <c r="C62" s="436"/>
      <c r="D62" s="436"/>
      <c r="E62" s="433"/>
      <c r="F62" s="1509"/>
      <c r="G62" s="435"/>
    </row>
    <row r="63" spans="1:7" ht="17.149999999999999" customHeight="1" thickBot="1" x14ac:dyDescent="0.3">
      <c r="A63" s="465"/>
      <c r="B63" s="1198" t="s">
        <v>1085</v>
      </c>
      <c r="C63" s="434"/>
      <c r="D63" s="434"/>
      <c r="E63" s="433"/>
      <c r="F63" s="1509"/>
      <c r="G63" s="435"/>
    </row>
    <row r="64" spans="1:7" ht="17.149999999999999" customHeight="1" thickBot="1" x14ac:dyDescent="0.3">
      <c r="A64" s="465"/>
      <c r="B64" s="892"/>
      <c r="C64" s="434"/>
      <c r="D64" s="434"/>
      <c r="E64" s="433"/>
      <c r="F64" s="1509"/>
      <c r="G64" s="435"/>
    </row>
    <row r="65" spans="1:7" ht="37.5" customHeight="1" thickBot="1" x14ac:dyDescent="0.3">
      <c r="A65" s="465"/>
      <c r="B65" s="445" t="str">
        <f>SELECTED_FEED</f>
        <v>utility</v>
      </c>
      <c r="C65" s="547" t="str">
        <f>TMP_FeedName</f>
        <v>Commercial Natural Gas</v>
      </c>
      <c r="D65" s="548"/>
      <c r="E65" s="438"/>
      <c r="F65" s="1509"/>
      <c r="G65" s="435"/>
    </row>
    <row r="66" spans="1:7" ht="19" customHeight="1" thickBot="1" x14ac:dyDescent="0.3">
      <c r="A66" s="465"/>
      <c r="B66" s="446" t="str">
        <f ca="1">"Price Conversion Factor (GJ/"&amp;TMP_Units&amp;")"</f>
        <v>Price Conversion Factor (GJ/mmBtu)</v>
      </c>
      <c r="C66" s="457">
        <f ca="1">VLOOKUP(TMP_FeedName,MASTER_PROPERTY_TABLE,9,FALSE)</f>
        <v>1.0549999999999999</v>
      </c>
      <c r="D66" s="439"/>
      <c r="E66" s="438"/>
      <c r="F66" s="1509"/>
      <c r="G66" s="435"/>
    </row>
    <row r="67" spans="1:7" ht="19" customHeight="1" thickBot="1" x14ac:dyDescent="0.3">
      <c r="A67" s="465"/>
      <c r="B67" s="837" t="str">
        <f ca="1">"Price in Startup Year ($" &amp; ref_year &amp; ")/" &amp; TMP_Units</f>
        <v>Price in Startup Year ($2016)/mmBtu</v>
      </c>
      <c r="C67" s="1270">
        <f ca="1">HLOOKUP(startup_year,INDIRECT(TMP_PriceTable),MATCH(TMP_FeedName,INDIRECT(Energy_Feed_List),0),FALSE)*TMP_Conversion</f>
        <v>11.434927027570099</v>
      </c>
      <c r="D67" s="440"/>
      <c r="E67" s="441"/>
      <c r="F67" s="1509"/>
      <c r="G67" s="435"/>
    </row>
    <row r="68" spans="1:7" ht="19" customHeight="1" thickBot="1" x14ac:dyDescent="0.35">
      <c r="A68" s="465"/>
      <c r="B68" s="446" t="str">
        <f ca="1">IF(OR(TMP_FeedType="Feedstock",TMP_FeedType = "Utility"),"Usage ("&amp;TMP_Units&amp;"/kg H2)","Production ("&amp;TMP_Units&amp;"/kg H2)")</f>
        <v>Usage (mmBtu/kg H2)</v>
      </c>
      <c r="C68" s="911">
        <v>2.9510000000000001E-3</v>
      </c>
      <c r="D68" s="441"/>
      <c r="E68" s="438"/>
      <c r="F68" s="1509"/>
      <c r="G68" s="435"/>
    </row>
    <row r="69" spans="1:7" ht="19" customHeight="1" thickBot="1" x14ac:dyDescent="0.3">
      <c r="A69" s="465"/>
      <c r="B69" s="447" t="str">
        <f>IF(OR(TMP_FeedType = "Feedstock",TMP_FeedType = "Utility"), "Cost in Startup Year","Income in Startup Year")</f>
        <v>Cost in Startup Year</v>
      </c>
      <c r="C69" s="462">
        <f ca="1">design_cap*365*cap_factor*TMP_Usage*TMP_StartPrice</f>
        <v>1715502.1648901324</v>
      </c>
      <c r="D69" s="439"/>
      <c r="E69" s="438"/>
      <c r="F69" s="433"/>
      <c r="G69" s="435"/>
    </row>
    <row r="70" spans="1:7" ht="19" customHeight="1" thickBot="1" x14ac:dyDescent="0.3">
      <c r="A70" s="465"/>
      <c r="B70" s="446" t="s">
        <v>262</v>
      </c>
      <c r="C70" s="456" t="s">
        <v>711</v>
      </c>
      <c r="D70" s="439"/>
      <c r="E70" s="438"/>
      <c r="F70" s="433"/>
      <c r="G70" s="435"/>
    </row>
    <row r="71" spans="1:7" s="434" customFormat="1" ht="19" customHeight="1" x14ac:dyDescent="0.25">
      <c r="A71" s="906"/>
      <c r="B71" s="907"/>
      <c r="C71" s="908"/>
      <c r="D71" s="439"/>
      <c r="E71" s="438"/>
      <c r="F71" s="433"/>
      <c r="G71" s="435"/>
    </row>
    <row r="72" spans="1:7" ht="27" customHeight="1" thickBot="1" x14ac:dyDescent="0.35">
      <c r="A72" s="466"/>
      <c r="B72" s="909" t="s">
        <v>715</v>
      </c>
      <c r="C72" s="443"/>
      <c r="D72" s="443"/>
      <c r="E72" s="443"/>
      <c r="F72" s="443"/>
      <c r="G72" s="444"/>
    </row>
    <row r="73" spans="1:7" ht="28" customHeight="1" x14ac:dyDescent="0.25">
      <c r="A73" s="466" t="s">
        <v>15</v>
      </c>
      <c r="B73" s="458"/>
      <c r="C73" s="459"/>
      <c r="D73" s="459"/>
      <c r="E73" s="459"/>
      <c r="F73" s="460"/>
      <c r="G73" s="461"/>
    </row>
    <row r="74" spans="1:7" ht="28" customHeight="1" x14ac:dyDescent="0.25">
      <c r="A74" s="466"/>
      <c r="B74" s="458" t="s">
        <v>833</v>
      </c>
      <c r="C74" s="459" t="s">
        <v>1303</v>
      </c>
      <c r="D74" s="459" t="s">
        <v>1304</v>
      </c>
      <c r="E74" s="459" t="s">
        <v>1305</v>
      </c>
      <c r="F74" s="460" t="s">
        <v>834</v>
      </c>
      <c r="G74" s="461" t="s">
        <v>262</v>
      </c>
    </row>
    <row r="75" spans="1:7" ht="28" customHeight="1" x14ac:dyDescent="0.25">
      <c r="A75" s="466"/>
      <c r="B75" s="458" t="s">
        <v>1081</v>
      </c>
      <c r="C75" s="459">
        <v>1.9551069237418006E-2</v>
      </c>
      <c r="D75" s="459">
        <v>9.9647594727723249E-2</v>
      </c>
      <c r="E75" s="459">
        <f ca="1">13.02868*sensitivity_04</f>
        <v>13.02868</v>
      </c>
      <c r="F75" s="460">
        <f ca="1">feedstockWoody_Biomass_Price*feedstockWoody_Biomass_Usage*output_kgyear*(1+inflation_rate)^(startup_year-ref_year)*percnt_var</f>
        <v>77767400.228181481</v>
      </c>
      <c r="G75" s="461" t="s">
        <v>711</v>
      </c>
    </row>
    <row r="76" spans="1:7" ht="28" customHeight="1" x14ac:dyDescent="0.25">
      <c r="A76" s="466" t="s">
        <v>15</v>
      </c>
      <c r="B76" s="458"/>
      <c r="C76" s="459"/>
      <c r="D76" s="459"/>
      <c r="E76" s="459"/>
      <c r="F76" s="460"/>
      <c r="G76" s="461"/>
    </row>
    <row r="77" spans="1:7" ht="28" customHeight="1" x14ac:dyDescent="0.25">
      <c r="A77" s="466"/>
      <c r="B77" s="458" t="s">
        <v>1369</v>
      </c>
      <c r="C77" s="459" t="s">
        <v>1353</v>
      </c>
      <c r="D77" s="459" t="s">
        <v>1354</v>
      </c>
      <c r="E77" s="459" t="s">
        <v>1375</v>
      </c>
      <c r="F77" s="460" t="s">
        <v>834</v>
      </c>
      <c r="G77" s="461" t="s">
        <v>262</v>
      </c>
    </row>
    <row r="78" spans="1:7" ht="28" customHeight="1" x14ac:dyDescent="0.25">
      <c r="A78" s="466"/>
      <c r="B78" s="458" t="s">
        <v>698</v>
      </c>
      <c r="C78" s="459">
        <v>3.5999999999999995E-3</v>
      </c>
      <c r="D78" s="459">
        <v>7.7596976084681746E-2</v>
      </c>
      <c r="E78" s="459">
        <f ca="1">0.945*sensitivity_05</f>
        <v>0.94499999999999995</v>
      </c>
      <c r="F78" s="460">
        <f ca="1">utilityIndustrial_Electricity_Price*utilityIndustrial_Electricity_Usage*output_kgyear*(1+inflation_rate)^(startup_year-ref_year)*percnt_var</f>
        <v>4392451.2371994695</v>
      </c>
      <c r="G78" s="461" t="s">
        <v>711</v>
      </c>
    </row>
    <row r="79" spans="1:7" ht="28" customHeight="1" x14ac:dyDescent="0.25">
      <c r="A79" s="466"/>
      <c r="B79" s="458" t="s">
        <v>1369</v>
      </c>
      <c r="C79" s="459" t="s">
        <v>1370</v>
      </c>
      <c r="D79" s="459" t="s">
        <v>1371</v>
      </c>
      <c r="E79" s="459" t="s">
        <v>1372</v>
      </c>
      <c r="F79" s="460" t="s">
        <v>834</v>
      </c>
      <c r="G79" s="461" t="s">
        <v>262</v>
      </c>
    </row>
    <row r="80" spans="1:7" ht="28" customHeight="1" x14ac:dyDescent="0.25">
      <c r="A80" s="466"/>
      <c r="B80" s="458" t="s">
        <v>1085</v>
      </c>
      <c r="C80" s="459">
        <v>1.0549999999999999</v>
      </c>
      <c r="D80" s="459">
        <v>11.434927027570099</v>
      </c>
      <c r="E80" s="459">
        <f ca="1">0.002951*sensitivity_05</f>
        <v>2.9510000000000001E-3</v>
      </c>
      <c r="F80" s="460">
        <f ca="1">utilityCommercial_Natural_Gas_Price*utilityCommercial_Natural_Gas_Usage*output_kgyear*(1+inflation_rate)^(startup_year-ref_year)*percnt_var</f>
        <v>2021310.1183009543</v>
      </c>
      <c r="G80" s="461" t="s">
        <v>711</v>
      </c>
    </row>
    <row r="81" spans="1:8" ht="28" customHeight="1" x14ac:dyDescent="0.25">
      <c r="A81" s="465" t="s">
        <v>273</v>
      </c>
      <c r="B81" s="458"/>
      <c r="C81" s="459"/>
      <c r="D81" s="459"/>
      <c r="E81" s="459"/>
      <c r="F81" s="460"/>
      <c r="G81" s="461"/>
    </row>
    <row r="82" spans="1:8" ht="28" customHeight="1" x14ac:dyDescent="0.25">
      <c r="A82" s="467" t="s">
        <v>274</v>
      </c>
      <c r="B82" s="459"/>
      <c r="C82" s="459"/>
      <c r="D82" s="459"/>
      <c r="E82" s="459"/>
      <c r="F82" s="460"/>
      <c r="G82" s="461"/>
    </row>
    <row r="83" spans="1:8" ht="17.149999999999999" customHeight="1" thickBot="1" x14ac:dyDescent="0.3">
      <c r="A83" s="467"/>
      <c r="B83" s="326"/>
      <c r="C83" s="326"/>
      <c r="D83" s="332"/>
      <c r="E83" s="332"/>
      <c r="F83" s="329" t="s">
        <v>58</v>
      </c>
      <c r="G83" s="331"/>
    </row>
    <row r="84" spans="1:8" ht="17.149999999999999" customHeight="1" thickBot="1" x14ac:dyDescent="0.3">
      <c r="A84" s="465" t="s">
        <v>251</v>
      </c>
      <c r="B84" s="333" t="s">
        <v>277</v>
      </c>
      <c r="C84" s="329"/>
      <c r="D84" s="332"/>
      <c r="E84" s="332"/>
      <c r="F84" s="245">
        <f ca="1">SUM(Dynamic_Feed_Total)</f>
        <v>77767400.228181481</v>
      </c>
      <c r="G84" s="331"/>
    </row>
    <row r="85" spans="1:8" ht="17.149999999999999" customHeight="1" thickBot="1" x14ac:dyDescent="0.3">
      <c r="A85" s="465" t="s">
        <v>252</v>
      </c>
      <c r="B85" s="333" t="s">
        <v>278</v>
      </c>
      <c r="C85" s="329"/>
      <c r="D85" s="332"/>
      <c r="E85" s="332"/>
      <c r="F85" s="245">
        <f ca="1">SUM(Dynamic_Utilities_Total)</f>
        <v>6413761.3555004243</v>
      </c>
      <c r="G85" s="331"/>
    </row>
    <row r="86" spans="1:8" ht="17.149999999999999" customHeight="1" thickBot="1" x14ac:dyDescent="0.3">
      <c r="A86" s="465" t="s">
        <v>256</v>
      </c>
      <c r="B86" s="324" t="s">
        <v>276</v>
      </c>
      <c r="C86" s="329"/>
      <c r="D86" s="332"/>
      <c r="E86" s="332"/>
      <c r="F86" s="245">
        <f>SUM(Dynamic_Byproduct_Total)</f>
        <v>0</v>
      </c>
      <c r="G86" s="331"/>
    </row>
    <row r="87" spans="1:8" ht="38.25" customHeight="1" x14ac:dyDescent="0.25">
      <c r="A87" s="465"/>
      <c r="B87" s="324"/>
      <c r="C87" s="319"/>
      <c r="D87" s="834" t="s">
        <v>317</v>
      </c>
      <c r="E87" s="1514"/>
      <c r="F87" s="1514"/>
      <c r="G87" s="1515"/>
    </row>
    <row r="88" spans="1:8" ht="28.5" customHeight="1" thickBot="1" x14ac:dyDescent="0.3">
      <c r="A88" s="465"/>
      <c r="B88" s="324"/>
      <c r="C88" s="319"/>
      <c r="D88" s="434"/>
      <c r="E88" s="1516"/>
      <c r="F88" s="1516"/>
      <c r="G88" s="1517"/>
    </row>
    <row r="89" spans="1:8" ht="17.149999999999999" customHeight="1" thickTop="1" thickBot="1" x14ac:dyDescent="0.3">
      <c r="A89" s="465"/>
      <c r="B89" s="498" t="s">
        <v>83</v>
      </c>
      <c r="C89" s="499"/>
      <c r="D89" s="499"/>
      <c r="E89" s="1507" t="s">
        <v>441</v>
      </c>
      <c r="F89" s="1507"/>
      <c r="G89" s="1508"/>
    </row>
    <row r="90" spans="1:8" ht="20.149999999999999" customHeight="1" thickBot="1" x14ac:dyDescent="0.3">
      <c r="A90" s="465" t="s">
        <v>246</v>
      </c>
      <c r="B90" s="327" t="s">
        <v>336</v>
      </c>
      <c r="C90" s="243">
        <f ca="1">Det_scaled_cap</f>
        <v>135940493.20088241</v>
      </c>
      <c r="D90" s="471"/>
      <c r="E90" s="1510" t="s">
        <v>531</v>
      </c>
      <c r="F90" s="1510"/>
      <c r="G90" s="1511"/>
    </row>
    <row r="91" spans="1:8" ht="28.9" customHeight="1" thickBot="1" x14ac:dyDescent="0.3">
      <c r="A91" s="465"/>
      <c r="B91" s="327" t="s">
        <v>1003</v>
      </c>
      <c r="C91" s="1276">
        <f>Det_CO2_seq</f>
        <v>0</v>
      </c>
      <c r="D91" s="471"/>
      <c r="E91" s="1510" t="s">
        <v>843</v>
      </c>
      <c r="F91" s="1510"/>
      <c r="G91" s="1511"/>
    </row>
    <row r="92" spans="1:8" ht="21.75" customHeight="1" x14ac:dyDescent="0.25">
      <c r="A92" s="465"/>
      <c r="B92" s="327"/>
      <c r="C92"/>
      <c r="D92"/>
      <c r="E92"/>
      <c r="F92"/>
      <c r="G92" s="449"/>
    </row>
    <row r="93" spans="1:8" ht="45.75" customHeight="1" thickBot="1" x14ac:dyDescent="0.35">
      <c r="A93" s="465"/>
      <c r="B93" s="327" t="s">
        <v>337</v>
      </c>
      <c r="C93" s="988" t="str">
        <f>"Enter values in basis year (" &amp; BasisYear &amp; ") dollars"</f>
        <v>Enter values in basis year (2005) dollars</v>
      </c>
      <c r="D93" s="988" t="s">
        <v>844</v>
      </c>
      <c r="E93" s="988" t="str">
        <f xml:space="preserve"> "Reference Year ("&amp; ref_year &amp; ") Dollars"</f>
        <v>Reference Year (2016) Dollars</v>
      </c>
      <c r="F93"/>
      <c r="G93" s="449"/>
      <c r="H93" s="35"/>
    </row>
    <row r="94" spans="1:8" ht="17.149999999999999" customHeight="1" x14ac:dyDescent="0.25">
      <c r="A94" s="465" t="s">
        <v>179</v>
      </c>
      <c r="B94" s="322" t="s">
        <v>712</v>
      </c>
      <c r="C94" s="1014">
        <f ca="1">0.02*(direct_cap+CO2_seq)/(CEPCIinflator*CPIinflator)</f>
        <v>2099606.0000000005</v>
      </c>
      <c r="D94" s="1036">
        <f t="shared" ref="D94:D100" si="0">CEPCIinflator*CPIinflator</f>
        <v>1.294914314408345</v>
      </c>
      <c r="E94" s="1016">
        <f ca="1">C94*D94</f>
        <v>2718809.8640176482</v>
      </c>
      <c r="F94" s="1002"/>
      <c r="G94" s="1005"/>
    </row>
    <row r="95" spans="1:8" ht="29.25" customHeight="1" x14ac:dyDescent="0.25">
      <c r="A95" s="465" t="s">
        <v>27</v>
      </c>
      <c r="B95" s="321" t="s">
        <v>338</v>
      </c>
      <c r="C95" s="1017">
        <f ca="1">0.1*(direct_cap+CO2_seq)/(CEPCIinflator*CPIinflator)</f>
        <v>10498030.000000002</v>
      </c>
      <c r="D95" s="1037">
        <f t="shared" si="0"/>
        <v>1.294914314408345</v>
      </c>
      <c r="E95" s="1019">
        <f t="shared" ref="E95:E100" ca="1" si="1">C95*D95</f>
        <v>13594049.320088241</v>
      </c>
      <c r="F95" s="1002"/>
      <c r="G95" s="1005"/>
      <c r="H95" s="34"/>
    </row>
    <row r="96" spans="1:8" ht="17.149999999999999" customHeight="1" x14ac:dyDescent="0.25">
      <c r="A96" s="465" t="s">
        <v>171</v>
      </c>
      <c r="B96" s="321" t="s">
        <v>347</v>
      </c>
      <c r="C96" s="1017"/>
      <c r="D96" s="1037">
        <f t="shared" si="0"/>
        <v>1.294914314408345</v>
      </c>
      <c r="E96" s="1019">
        <f t="shared" si="1"/>
        <v>0</v>
      </c>
      <c r="F96" s="1002"/>
      <c r="G96" s="1005"/>
      <c r="H96" s="905"/>
    </row>
    <row r="97" spans="1:8" ht="17.149999999999999" customHeight="1" x14ac:dyDescent="0.25">
      <c r="A97" s="465" t="s">
        <v>173</v>
      </c>
      <c r="B97" s="321" t="s">
        <v>348</v>
      </c>
      <c r="C97" s="1017">
        <f ca="1">0.15*(direct_cap+CO2_seq)/(CEPCIinflator*CPIinflator)</f>
        <v>15747045.000000002</v>
      </c>
      <c r="D97" s="1037">
        <f t="shared" si="0"/>
        <v>1.294914314408345</v>
      </c>
      <c r="E97" s="1019">
        <f t="shared" ca="1" si="1"/>
        <v>20391073.98013236</v>
      </c>
      <c r="F97" s="1002"/>
      <c r="G97" s="1005"/>
      <c r="H97" s="905"/>
    </row>
    <row r="98" spans="1:8" ht="31.5" customHeight="1" x14ac:dyDescent="0.25">
      <c r="A98" s="465" t="s">
        <v>159</v>
      </c>
      <c r="B98" s="321" t="s">
        <v>350</v>
      </c>
      <c r="C98" s="1017"/>
      <c r="D98" s="1037">
        <f t="shared" si="0"/>
        <v>1.294914314408345</v>
      </c>
      <c r="E98" s="1019">
        <f t="shared" si="1"/>
        <v>0</v>
      </c>
      <c r="F98" s="1002"/>
      <c r="G98" s="1005"/>
      <c r="H98" s="34"/>
    </row>
    <row r="99" spans="1:8" ht="17.149999999999999" customHeight="1" x14ac:dyDescent="0.25">
      <c r="A99" s="465" t="s">
        <v>29</v>
      </c>
      <c r="B99" s="321" t="s">
        <v>349</v>
      </c>
      <c r="C99" s="1017"/>
      <c r="D99" s="1037">
        <f t="shared" si="0"/>
        <v>1.294914314408345</v>
      </c>
      <c r="E99" s="1019">
        <f t="shared" si="1"/>
        <v>0</v>
      </c>
      <c r="F99" s="1002"/>
      <c r="G99" s="1005"/>
    </row>
    <row r="100" spans="1:8" ht="21.75" customHeight="1" thickBot="1" x14ac:dyDescent="0.3">
      <c r="A100" s="465" t="s">
        <v>169</v>
      </c>
      <c r="B100" s="322" t="s">
        <v>713</v>
      </c>
      <c r="C100" s="1020">
        <f ca="1">0.15*(direct_cap+CO2_seq)/(CEPCIinflator*CPIinflator)</f>
        <v>15747045.000000002</v>
      </c>
      <c r="D100" s="1038">
        <f t="shared" si="0"/>
        <v>1.294914314408345</v>
      </c>
      <c r="E100" s="1021">
        <f t="shared" ca="1" si="1"/>
        <v>20391073.98013236</v>
      </c>
      <c r="F100" s="1002"/>
      <c r="G100" s="1005"/>
    </row>
    <row r="101" spans="1:8" ht="20.149999999999999" customHeight="1" thickBot="1" x14ac:dyDescent="0.3">
      <c r="A101" s="465" t="s">
        <v>1010</v>
      </c>
      <c r="B101" s="327" t="s">
        <v>979</v>
      </c>
      <c r="C101"/>
      <c r="E101" s="862">
        <f ca="1">direct_cap+CO2_seq+SUM($E$94:$E$100)</f>
        <v>193035500.34525302</v>
      </c>
      <c r="F101" s="1006"/>
      <c r="G101" s="1007"/>
    </row>
    <row r="102" spans="1:8" x14ac:dyDescent="0.25">
      <c r="A102" s="465"/>
      <c r="B102" s="321"/>
      <c r="C102" s="319"/>
      <c r="D102" s="1536" t="s">
        <v>844</v>
      </c>
      <c r="E102"/>
      <c r="F102" s="475"/>
      <c r="G102" s="474"/>
    </row>
    <row r="103" spans="1:8" ht="30.75" customHeight="1" thickBot="1" x14ac:dyDescent="0.35">
      <c r="A103" s="465"/>
      <c r="B103" s="327" t="s">
        <v>351</v>
      </c>
      <c r="C103" s="988" t="str">
        <f>"Enter values in basis year (" &amp; BasisYear &amp; ") dollars"</f>
        <v>Enter values in basis year (2005) dollars</v>
      </c>
      <c r="D103" s="1537"/>
      <c r="E103" s="988" t="str">
        <f xml:space="preserve"> "Reference Year ("&amp; ref_year &amp; ") Dollars"</f>
        <v>Reference Year (2016) Dollars</v>
      </c>
      <c r="F103" s="475"/>
      <c r="G103" s="474"/>
    </row>
    <row r="104" spans="1:8" ht="27.75" customHeight="1" thickBot="1" x14ac:dyDescent="0.3">
      <c r="A104" s="465" t="s">
        <v>1093</v>
      </c>
      <c r="B104" s="321" t="s">
        <v>352</v>
      </c>
      <c r="C104" s="1014">
        <v>50000</v>
      </c>
      <c r="D104" s="1036">
        <f>CPIinflator</f>
        <v>1.100724186648488</v>
      </c>
      <c r="E104" s="999">
        <f>C104*D104</f>
        <v>55036.209332424405</v>
      </c>
      <c r="F104" s="475"/>
      <c r="G104" s="474"/>
    </row>
    <row r="105" spans="1:8" ht="25.5" customHeight="1" thickBot="1" x14ac:dyDescent="0.3">
      <c r="A105" s="465" t="s">
        <v>1094</v>
      </c>
      <c r="B105" s="321" t="s">
        <v>353</v>
      </c>
      <c r="C105" s="1023">
        <v>50</v>
      </c>
      <c r="D105" s="1018">
        <f ca="1">Scale_Factor *1</f>
        <v>1</v>
      </c>
      <c r="E105" s="996">
        <f ca="1">C105*D105</f>
        <v>50</v>
      </c>
      <c r="F105" s="475"/>
      <c r="G105" s="474"/>
    </row>
    <row r="106" spans="1:8" ht="27" customHeight="1" thickBot="1" x14ac:dyDescent="0.3">
      <c r="A106" s="465" t="s">
        <v>1011</v>
      </c>
      <c r="B106" s="321" t="s">
        <v>980</v>
      </c>
      <c r="C106" s="1024"/>
      <c r="D106" s="1024"/>
      <c r="E106" s="862">
        <f ca="1">acre_cost*acres</f>
        <v>2751810.4666212201</v>
      </c>
      <c r="F106" s="475"/>
      <c r="G106" s="474"/>
    </row>
    <row r="107" spans="1:8" ht="17.149999999999999" customHeight="1" thickBot="1" x14ac:dyDescent="0.3">
      <c r="A107" s="465"/>
      <c r="B107" s="321" t="s">
        <v>1012</v>
      </c>
      <c r="C107" s="1014"/>
      <c r="D107" s="1036">
        <f>CPIinflator</f>
        <v>1.100724186648488</v>
      </c>
      <c r="E107" s="862">
        <f>C107*D107</f>
        <v>0</v>
      </c>
      <c r="F107" s="1006"/>
      <c r="G107" s="1007"/>
    </row>
    <row r="108" spans="1:8" ht="20.149999999999999" customHeight="1" thickBot="1" x14ac:dyDescent="0.3">
      <c r="A108" s="465" t="s">
        <v>1018</v>
      </c>
      <c r="B108" s="327" t="s">
        <v>981</v>
      </c>
      <c r="C108" s="1024"/>
      <c r="D108" s="1024"/>
      <c r="E108" s="244">
        <f ca="1">land_cost+$E$107</f>
        <v>2751810.4666212201</v>
      </c>
      <c r="F108" s="475"/>
      <c r="G108" s="474"/>
    </row>
    <row r="109" spans="1:8" ht="13" thickBot="1" x14ac:dyDescent="0.3">
      <c r="A109" s="465"/>
      <c r="B109" s="321"/>
      <c r="C109" s="319"/>
      <c r="D109" s="1024"/>
      <c r="E109" s="475"/>
      <c r="F109" s="475"/>
      <c r="G109" s="474"/>
    </row>
    <row r="110" spans="1:8" ht="20.149999999999999" customHeight="1" thickBot="1" x14ac:dyDescent="0.3">
      <c r="A110" s="465" t="s">
        <v>1019</v>
      </c>
      <c r="B110" s="327" t="s">
        <v>995</v>
      </c>
      <c r="C110" s="243">
        <f ca="1">(depr_cap+non_dep_cap)*sensitivity_06</f>
        <v>195787310.81187424</v>
      </c>
      <c r="D110" s="1024"/>
      <c r="E110" s="1022"/>
      <c r="F110" s="475"/>
      <c r="G110" s="474"/>
    </row>
    <row r="111" spans="1:8" ht="13" thickBot="1" x14ac:dyDescent="0.3">
      <c r="A111" s="465"/>
      <c r="B111" s="321"/>
      <c r="C111" s="319"/>
      <c r="D111" s="1024"/>
      <c r="E111" s="475"/>
      <c r="F111" s="475"/>
      <c r="G111" s="474"/>
    </row>
    <row r="112" spans="1:8" ht="44.25" customHeight="1" thickTop="1" thickBot="1" x14ac:dyDescent="0.35">
      <c r="A112" s="465"/>
      <c r="B112" s="498" t="s">
        <v>354</v>
      </c>
      <c r="C112" s="1031" t="str">
        <f>"Enter values in basis year (" &amp; BasisYear &amp; ") dollars"</f>
        <v>Enter values in basis year (2005) dollars</v>
      </c>
      <c r="D112" s="1031" t="s">
        <v>844</v>
      </c>
      <c r="E112" s="1031" t="str">
        <f xml:space="preserve"> "Reference Year ("&amp; ref_year &amp; ") Dollars"</f>
        <v>Reference Year (2016) Dollars</v>
      </c>
      <c r="F112" s="499"/>
      <c r="G112" s="501"/>
    </row>
    <row r="113" spans="1:8" s="35" customFormat="1" ht="29.25" customHeight="1" thickBot="1" x14ac:dyDescent="0.3">
      <c r="A113" s="465" t="s">
        <v>1022</v>
      </c>
      <c r="B113" s="322" t="s">
        <v>355</v>
      </c>
      <c r="C113" s="1028">
        <v>50</v>
      </c>
      <c r="D113" s="1015">
        <f ca="1">Scale_Ratio^0.25</f>
        <v>1</v>
      </c>
      <c r="E113" s="1029">
        <f ca="1">C113*D113</f>
        <v>50</v>
      </c>
      <c r="F113" s="1008"/>
      <c r="G113" s="1026"/>
    </row>
    <row r="114" spans="1:8" s="35" customFormat="1" ht="17.25" customHeight="1" thickBot="1" x14ac:dyDescent="0.3">
      <c r="A114" s="465" t="s">
        <v>1023</v>
      </c>
      <c r="B114" s="322" t="s">
        <v>356</v>
      </c>
      <c r="C114" s="1014">
        <v>50</v>
      </c>
      <c r="D114" s="1036">
        <f>VLOOKUP(ref_year,Tbl_labor_indexes,2,FALSE)/VLOOKUP(BasisYear,Tbl_labor_indexes,2,FALSE)</f>
        <v>1.1548042704626329</v>
      </c>
      <c r="E114" s="1001">
        <f>C114*D114</f>
        <v>57.740213523131644</v>
      </c>
      <c r="F114" s="1008"/>
      <c r="G114" s="1026"/>
    </row>
    <row r="115" spans="1:8" s="35" customFormat="1" ht="17.149999999999999" customHeight="1" thickBot="1" x14ac:dyDescent="0.3">
      <c r="A115" s="465" t="s">
        <v>1013</v>
      </c>
      <c r="B115" s="322" t="s">
        <v>996</v>
      </c>
      <c r="C115" s="1024"/>
      <c r="D115" s="1024"/>
      <c r="E115" s="863">
        <f ca="1">FTEs*2080*FTE_cost</f>
        <v>6004982.2064056909</v>
      </c>
      <c r="F115" s="1008"/>
      <c r="G115" s="1026"/>
    </row>
    <row r="116" spans="1:8" s="35" customFormat="1" ht="17.149999999999999" customHeight="1" thickBot="1" x14ac:dyDescent="0.3">
      <c r="A116" s="465" t="s">
        <v>160</v>
      </c>
      <c r="B116" s="322" t="s">
        <v>357</v>
      </c>
      <c r="C116" s="477">
        <v>0.2</v>
      </c>
      <c r="D116" s="1024"/>
      <c r="F116" s="1008"/>
      <c r="G116" s="1026"/>
    </row>
    <row r="117" spans="1:8" s="35" customFormat="1" ht="17.149999999999999" customHeight="1" thickBot="1" x14ac:dyDescent="0.3">
      <c r="A117" s="465" t="s">
        <v>1016</v>
      </c>
      <c r="B117" s="322" t="s">
        <v>989</v>
      </c>
      <c r="C117" s="1024"/>
      <c r="D117" s="1024"/>
      <c r="E117" s="990">
        <f ca="1">labor_cost*overhead_rate</f>
        <v>1200996.4412811382</v>
      </c>
      <c r="F117" s="1008"/>
      <c r="G117" s="1026"/>
    </row>
    <row r="118" spans="1:8" s="35" customFormat="1" ht="17.149999999999999" customHeight="1" thickBot="1" x14ac:dyDescent="0.3">
      <c r="A118" s="465" t="s">
        <v>31</v>
      </c>
      <c r="B118" s="322" t="s">
        <v>358</v>
      </c>
      <c r="C118" s="1014">
        <v>0</v>
      </c>
      <c r="D118" s="1036">
        <f ca="1">Scale_Factor *CEPCIinflator*CPIinflator</f>
        <v>1.294914314408345</v>
      </c>
      <c r="E118" s="997">
        <f ca="1">C118*D118</f>
        <v>0</v>
      </c>
      <c r="F118" s="1008"/>
      <c r="G118" s="1026"/>
    </row>
    <row r="119" spans="1:8" s="35" customFormat="1" ht="26.25" customHeight="1" thickBot="1" x14ac:dyDescent="0.3">
      <c r="A119" s="465" t="s">
        <v>186</v>
      </c>
      <c r="B119" s="322" t="s">
        <v>1097</v>
      </c>
      <c r="C119" s="998">
        <v>0.02</v>
      </c>
      <c r="D119" s="1039"/>
      <c r="F119" s="1008"/>
      <c r="G119" s="1026"/>
    </row>
    <row r="120" spans="1:8" s="35" customFormat="1" ht="17.149999999999999" customHeight="1" thickBot="1" x14ac:dyDescent="0.3">
      <c r="A120" s="465" t="s">
        <v>1014</v>
      </c>
      <c r="B120" s="321" t="s">
        <v>994</v>
      </c>
      <c r="C120" s="1024"/>
      <c r="D120" s="1039"/>
      <c r="E120" s="900">
        <f ca="1">tax_ins_rate*total_cap</f>
        <v>3915746.2162374849</v>
      </c>
      <c r="F120" s="1008"/>
      <c r="G120" s="1026"/>
    </row>
    <row r="121" spans="1:8" s="35" customFormat="1" ht="17.149999999999999" customHeight="1" thickBot="1" x14ac:dyDescent="0.3">
      <c r="A121" s="465" t="s">
        <v>175</v>
      </c>
      <c r="B121" s="321" t="s">
        <v>359</v>
      </c>
      <c r="C121" s="1014">
        <v>0</v>
      </c>
      <c r="D121" s="1036">
        <f ca="1">Scale_Factor *CPIinflator</f>
        <v>1.100724186648488</v>
      </c>
      <c r="E121" s="999">
        <f ca="1">C121*D121</f>
        <v>0</v>
      </c>
      <c r="F121" s="1008"/>
      <c r="G121" s="1026"/>
    </row>
    <row r="122" spans="1:8" s="35" customFormat="1" ht="27" customHeight="1" thickBot="1" x14ac:dyDescent="0.3">
      <c r="A122" s="465" t="s">
        <v>1024</v>
      </c>
      <c r="B122" s="322" t="s">
        <v>360</v>
      </c>
      <c r="C122" s="1014">
        <f ca="1">0.005*direct_cap/(CEPCIinflator*CPIinflator)</f>
        <v>524901.50000000012</v>
      </c>
      <c r="D122" s="1036">
        <f ca="1">Scale_Factor *CEPCIinflator*CPIinflator</f>
        <v>1.294914314408345</v>
      </c>
      <c r="E122" s="1000">
        <f ca="1">C122*D122</f>
        <v>679702.46600441204</v>
      </c>
      <c r="F122" s="1008"/>
      <c r="G122" s="1026"/>
      <c r="H122" s="835"/>
    </row>
    <row r="123" spans="1:8" s="35" customFormat="1" ht="17.149999999999999" customHeight="1" thickBot="1" x14ac:dyDescent="0.3">
      <c r="A123" s="465" t="s">
        <v>172</v>
      </c>
      <c r="B123" s="322" t="s">
        <v>361</v>
      </c>
      <c r="C123" s="1014">
        <v>0</v>
      </c>
      <c r="D123" s="1036">
        <f ca="1">Scale_Factor *CEPCIinflator*CPIinflator</f>
        <v>1.294914314408345</v>
      </c>
      <c r="E123" s="991">
        <f ca="1">C123*D123</f>
        <v>0</v>
      </c>
      <c r="F123" s="1008"/>
      <c r="G123" s="1026"/>
    </row>
    <row r="124" spans="1:8" s="35" customFormat="1" ht="17.149999999999999" customHeight="1" thickBot="1" x14ac:dyDescent="0.3">
      <c r="A124" s="465" t="s">
        <v>157</v>
      </c>
      <c r="B124" s="321" t="s">
        <v>362</v>
      </c>
      <c r="C124" s="1014">
        <v>0</v>
      </c>
      <c r="D124" s="1036">
        <f ca="1">Scale_Ratio * CEPCIinflator*CPIinflator</f>
        <v>1.294914314408345</v>
      </c>
      <c r="E124" s="509">
        <f ca="1">C124*D124</f>
        <v>0</v>
      </c>
      <c r="F124" s="1008"/>
      <c r="G124" s="1026"/>
    </row>
    <row r="125" spans="1:8" s="35" customFormat="1" ht="17.149999999999999" customHeight="1" thickBot="1" x14ac:dyDescent="0.3">
      <c r="A125" s="465" t="s">
        <v>158</v>
      </c>
      <c r="B125" s="321" t="s">
        <v>363</v>
      </c>
      <c r="C125" s="1014">
        <v>0</v>
      </c>
      <c r="D125" s="1036">
        <f ca="1">Scale_Factor *CEPCIinflator*CPIinflator</f>
        <v>1.294914314408345</v>
      </c>
      <c r="E125" s="244">
        <f ca="1">C125*D125</f>
        <v>0</v>
      </c>
      <c r="F125" s="1008"/>
      <c r="G125" s="1026"/>
    </row>
    <row r="126" spans="1:8" s="35" customFormat="1" ht="24" customHeight="1" thickBot="1" x14ac:dyDescent="0.3">
      <c r="A126" s="465" t="s">
        <v>1015</v>
      </c>
      <c r="B126" s="327" t="s">
        <v>997</v>
      </c>
      <c r="C126" s="1024"/>
      <c r="D126" s="1024"/>
      <c r="E126" s="862">
        <f ca="1">(labor_cost+overhead_GA+tax_insurance+licensing+SUM(E121:E125))*sensitivity_07</f>
        <v>11801427.329928726</v>
      </c>
      <c r="F126" s="1025"/>
      <c r="G126" s="1027"/>
    </row>
    <row r="127" spans="1:8" s="35" customFormat="1" ht="13" thickBot="1" x14ac:dyDescent="0.3">
      <c r="A127" s="465"/>
      <c r="B127" s="322"/>
      <c r="C127" s="325"/>
      <c r="D127" s="512"/>
      <c r="E127" s="319"/>
      <c r="F127" s="319"/>
      <c r="G127" s="320"/>
    </row>
    <row r="128" spans="1:8" s="35" customFormat="1" ht="26.25" customHeight="1" thickTop="1" thickBot="1" x14ac:dyDescent="0.3">
      <c r="A128" s="465"/>
      <c r="B128" s="491" t="s">
        <v>948</v>
      </c>
      <c r="C128" s="492"/>
      <c r="D128" s="493"/>
      <c r="E128" s="494"/>
      <c r="F128" s="493"/>
      <c r="G128" s="495"/>
    </row>
    <row r="129" spans="1:7" customFormat="1" ht="15" customHeight="1" thickTop="1" x14ac:dyDescent="0.3">
      <c r="A129" s="465"/>
      <c r="B129" s="506" t="s">
        <v>1044</v>
      </c>
      <c r="C129" s="507"/>
      <c r="D129" s="507"/>
      <c r="E129" s="507"/>
      <c r="F129" s="507"/>
      <c r="G129" s="508"/>
    </row>
    <row r="130" spans="1:7" customFormat="1" ht="15" customHeight="1" x14ac:dyDescent="0.25">
      <c r="A130" s="465"/>
      <c r="B130" s="450"/>
      <c r="C130" s="448"/>
      <c r="D130" s="448"/>
      <c r="E130" s="448"/>
      <c r="F130" s="448"/>
      <c r="G130" s="449"/>
    </row>
    <row r="131" spans="1:7" customFormat="1" ht="24" customHeight="1" thickBot="1" x14ac:dyDescent="0.3">
      <c r="A131" s="465"/>
      <c r="B131" s="432" t="s">
        <v>1051</v>
      </c>
      <c r="C131" s="448"/>
      <c r="D131" s="448"/>
      <c r="E131" s="448"/>
      <c r="F131" s="448"/>
      <c r="G131" s="449"/>
    </row>
    <row r="132" spans="1:7" customFormat="1" ht="24" customHeight="1" thickBot="1" x14ac:dyDescent="0.3">
      <c r="A132" s="465"/>
      <c r="B132" s="476" t="s">
        <v>1045</v>
      </c>
      <c r="C132" s="448"/>
      <c r="D132" s="448"/>
      <c r="E132" s="448"/>
      <c r="F132" s="448"/>
      <c r="G132" s="449"/>
    </row>
    <row r="133" spans="1:7" customFormat="1" ht="24" customHeight="1" thickBot="1" x14ac:dyDescent="0.3">
      <c r="A133" s="465"/>
      <c r="B133" s="454" t="s">
        <v>1072</v>
      </c>
      <c r="C133" s="1532" t="str">
        <f>B132</f>
        <v>Cooling Water</v>
      </c>
      <c r="D133" s="1533"/>
      <c r="E133" s="448"/>
      <c r="F133" s="448"/>
      <c r="G133" s="449"/>
    </row>
    <row r="134" spans="1:7" customFormat="1" ht="18.75" customHeight="1" thickBot="1" x14ac:dyDescent="0.3">
      <c r="A134" s="465"/>
      <c r="B134" s="437" t="str">
        <f ca="1">"$(" &amp; ref_year &amp; ")/ " &amp; VLOOKUP(TMP_NonE_Feed,Tbl_Other_Inputs_and_Byproducts,2,FALSE)</f>
        <v>$(2016)/ gal</v>
      </c>
      <c r="C134" s="481">
        <f ca="1">HLOOKUP(startup_year,Tbl_Other_Inputs_and_Byproducts,MATCH(TMP_NonE_Feed,Other_Inputs_List,0),FALSE)</f>
        <v>1.1334993860117458E-4</v>
      </c>
      <c r="D134" s="448"/>
      <c r="E134" s="448"/>
      <c r="F134" s="448"/>
      <c r="G134" s="449"/>
    </row>
    <row r="135" spans="1:7" customFormat="1" ht="18" customHeight="1" thickBot="1" x14ac:dyDescent="0.3">
      <c r="A135" s="465"/>
      <c r="B135" s="442" t="str">
        <f>IF(TMP_NonE_Type="Feed or utility","Usage per kg H2","Production per kg H2")</f>
        <v>Usage per kg H2</v>
      </c>
      <c r="C135" s="478"/>
      <c r="D135" s="448"/>
      <c r="E135" s="448"/>
      <c r="F135" s="448"/>
      <c r="G135" s="449"/>
    </row>
    <row r="136" spans="1:7" customFormat="1" ht="19.5" customHeight="1" thickBot="1" x14ac:dyDescent="0.3">
      <c r="A136" s="465"/>
      <c r="B136" s="442" t="str">
        <f>IF(TMP_NonE_Type = "Feed or utility", "Cost in Startup Year","Income in Startup Year")</f>
        <v>Cost in Startup Year</v>
      </c>
      <c r="C136" s="453">
        <f ca="1">design_cap*365*cap_factor*TMP_NonE_Usage*TMP_NonE_StartPrice</f>
        <v>0</v>
      </c>
      <c r="D136" s="448"/>
      <c r="E136" s="448"/>
      <c r="F136" s="448"/>
      <c r="G136" s="449"/>
    </row>
    <row r="137" spans="1:7" customFormat="1" ht="24" customHeight="1" thickBot="1" x14ac:dyDescent="0.3">
      <c r="A137" s="465"/>
      <c r="B137" s="451" t="s">
        <v>262</v>
      </c>
      <c r="C137" s="455" t="s">
        <v>23</v>
      </c>
      <c r="D137" s="452"/>
      <c r="E137" s="452"/>
      <c r="F137" s="452"/>
      <c r="G137" s="444"/>
    </row>
    <row r="138" spans="1:7" customFormat="1" ht="24" customHeight="1" x14ac:dyDescent="0.25">
      <c r="A138" s="468" t="s">
        <v>1053</v>
      </c>
      <c r="B138" s="328"/>
      <c r="C138" s="329"/>
      <c r="D138" s="329"/>
      <c r="E138" s="330"/>
      <c r="F138" s="329"/>
      <c r="G138" s="331"/>
    </row>
    <row r="139" spans="1:7" customFormat="1" ht="24" customHeight="1" x14ac:dyDescent="0.25">
      <c r="A139" s="468"/>
      <c r="B139" s="328" t="s">
        <v>1072</v>
      </c>
      <c r="C139" s="329" t="s">
        <v>1306</v>
      </c>
      <c r="D139" s="329" t="s">
        <v>837</v>
      </c>
      <c r="E139" s="330" t="s">
        <v>834</v>
      </c>
      <c r="F139" s="329" t="s">
        <v>262</v>
      </c>
      <c r="G139" s="331"/>
    </row>
    <row r="140" spans="1:7" customFormat="1" ht="24" customHeight="1" x14ac:dyDescent="0.25">
      <c r="A140" s="468"/>
      <c r="B140" s="328" t="s">
        <v>1047</v>
      </c>
      <c r="C140" s="329">
        <v>2.374951094500801E-3</v>
      </c>
      <c r="D140" s="329">
        <v>1.321</v>
      </c>
      <c r="E140" s="330">
        <v>698741.96015531651</v>
      </c>
      <c r="F140" s="329" t="s">
        <v>23</v>
      </c>
      <c r="G140" s="331"/>
    </row>
    <row r="141" spans="1:7" customFormat="1" ht="24" customHeight="1" x14ac:dyDescent="0.25">
      <c r="A141" s="468"/>
      <c r="B141" s="328" t="s">
        <v>1072</v>
      </c>
      <c r="C141" s="329" t="s">
        <v>1306</v>
      </c>
      <c r="D141" s="329" t="s">
        <v>837</v>
      </c>
      <c r="E141" s="330" t="s">
        <v>834</v>
      </c>
      <c r="F141" s="329" t="s">
        <v>262</v>
      </c>
      <c r="G141" s="331"/>
    </row>
    <row r="142" spans="1:7" customFormat="1" ht="24" customHeight="1" x14ac:dyDescent="0.25">
      <c r="A142" s="468"/>
      <c r="B142" s="328" t="s">
        <v>1045</v>
      </c>
      <c r="C142" s="329">
        <v>1.1334993860117458E-4</v>
      </c>
      <c r="D142" s="329">
        <v>79.260000000000005</v>
      </c>
      <c r="E142" s="330">
        <v>458145.23581633583</v>
      </c>
      <c r="F142" s="329" t="s">
        <v>23</v>
      </c>
      <c r="G142" s="331"/>
    </row>
    <row r="143" spans="1:7" customFormat="1" ht="16" customHeight="1" x14ac:dyDescent="0.25">
      <c r="A143" s="465" t="s">
        <v>1054</v>
      </c>
      <c r="B143" s="328"/>
      <c r="C143" s="334"/>
      <c r="D143" s="334"/>
      <c r="E143" s="335"/>
      <c r="F143" s="334"/>
      <c r="G143" s="331"/>
    </row>
    <row r="144" spans="1:7" customFormat="1" ht="16" customHeight="1" thickBot="1" x14ac:dyDescent="0.3">
      <c r="A144" s="465" t="s">
        <v>1055</v>
      </c>
      <c r="B144" s="328"/>
      <c r="C144" s="329"/>
      <c r="D144" s="329"/>
      <c r="E144" s="335"/>
      <c r="F144" s="329"/>
      <c r="G144" s="331"/>
    </row>
    <row r="145" spans="1:7" customFormat="1" ht="17.149999999999999" customHeight="1" thickBot="1" x14ac:dyDescent="0.3">
      <c r="A145" s="465"/>
      <c r="B145" s="333" t="s">
        <v>862</v>
      </c>
      <c r="C145" s="245">
        <f>SUM(Dynamic_NonE_Feed_Total)</f>
        <v>1156887.1959716524</v>
      </c>
      <c r="D145" s="472"/>
      <c r="E145" s="1538"/>
      <c r="F145" s="1538"/>
      <c r="G145" s="1530"/>
    </row>
    <row r="146" spans="1:7" customFormat="1" ht="17.149999999999999" customHeight="1" thickBot="1" x14ac:dyDescent="0.3">
      <c r="A146" s="465" t="s">
        <v>257</v>
      </c>
      <c r="B146" s="333" t="s">
        <v>279</v>
      </c>
      <c r="C146" s="245">
        <f>SUM(Dynamic_NonE_Byprod_Total)</f>
        <v>0</v>
      </c>
      <c r="D146" s="472"/>
      <c r="E146" s="1538"/>
      <c r="F146" s="1538"/>
      <c r="G146" s="1530"/>
    </row>
    <row r="147" spans="1:7" customFormat="1" ht="26.5" customHeight="1" thickBot="1" x14ac:dyDescent="0.3">
      <c r="A147" s="465"/>
      <c r="B147" s="333"/>
      <c r="C147" s="329"/>
      <c r="D147" s="479"/>
      <c r="E147" s="1538"/>
      <c r="F147" s="1538"/>
      <c r="G147" s="1530"/>
    </row>
    <row r="148" spans="1:7" customFormat="1" ht="17.149999999999999" customHeight="1" thickBot="1" x14ac:dyDescent="0.3">
      <c r="A148" s="465" t="s">
        <v>250</v>
      </c>
      <c r="B148" s="327" t="s">
        <v>253</v>
      </c>
      <c r="C148" s="243">
        <f ca="1">Total_Energy_Feed_Cost</f>
        <v>77767400.228181481</v>
      </c>
      <c r="D148" s="472"/>
      <c r="E148" s="1534"/>
      <c r="F148" s="1534"/>
      <c r="G148" s="1535"/>
    </row>
    <row r="149" spans="1:7" customFormat="1" ht="17.149999999999999" customHeight="1" thickBot="1" x14ac:dyDescent="0.3">
      <c r="A149" s="465" t="s">
        <v>664</v>
      </c>
      <c r="B149" s="327" t="s">
        <v>254</v>
      </c>
      <c r="C149" s="243">
        <f ca="1">Total_Energy_Utilities_Cost+Total_Non_Energy_Feed_Cost</f>
        <v>7570648.5514720771</v>
      </c>
      <c r="D149" s="472"/>
      <c r="E149" s="1534"/>
      <c r="F149" s="1534"/>
      <c r="G149" s="1535"/>
    </row>
    <row r="150" spans="1:7" customFormat="1" ht="31.5" customHeight="1" thickBot="1" x14ac:dyDescent="0.3">
      <c r="A150" s="465" t="s">
        <v>665</v>
      </c>
      <c r="B150" s="327" t="s">
        <v>255</v>
      </c>
      <c r="C150" s="509">
        <f>Total_Energy_Byproduct_Credit+total_non_energy_byproduct_credit</f>
        <v>0</v>
      </c>
      <c r="D150" s="472"/>
      <c r="E150" s="1542"/>
      <c r="F150" s="1542"/>
      <c r="G150" s="1543"/>
    </row>
    <row r="151" spans="1:7" customFormat="1" ht="45.75" customHeight="1" thickTop="1" thickBot="1" x14ac:dyDescent="0.35">
      <c r="A151" s="465"/>
      <c r="B151" s="506" t="s">
        <v>816</v>
      </c>
      <c r="C151" s="1031" t="str">
        <f>"Enter values in basis year (" &amp; BasisYear &amp; ") dollars"</f>
        <v>Enter values in basis year (2005) dollars</v>
      </c>
      <c r="D151" s="1031" t="s">
        <v>844</v>
      </c>
      <c r="E151" s="1031" t="str">
        <f xml:space="preserve"> "Reference Year ("&amp; ref_year &amp; ") Dollars"</f>
        <v>Reference Year (2016) Dollars</v>
      </c>
      <c r="F151" s="510"/>
      <c r="G151" s="511"/>
    </row>
    <row r="152" spans="1:7" s="35" customFormat="1" ht="39" customHeight="1" thickBot="1" x14ac:dyDescent="0.3">
      <c r="A152" s="465" t="s">
        <v>187</v>
      </c>
      <c r="B152" s="321" t="s">
        <v>364</v>
      </c>
      <c r="C152" s="1014">
        <v>130000</v>
      </c>
      <c r="D152" s="1036">
        <f ca="1">Scale_Ratio * VLOOKUP(ref_year,Chemical_price_indexes,2,FALSE)/VLOOKUP(BasisYear,Chemical_price_indexes,2,FALSE)</f>
        <v>1.4260544580886279</v>
      </c>
      <c r="E152" s="509">
        <f ca="1">C152*D152</f>
        <v>185387.07955152163</v>
      </c>
      <c r="F152" s="1541"/>
      <c r="G152" s="1506"/>
    </row>
    <row r="153" spans="1:7" s="35" customFormat="1" ht="38.25" customHeight="1" thickBot="1" x14ac:dyDescent="0.3">
      <c r="A153" s="465" t="s">
        <v>280</v>
      </c>
      <c r="B153" s="612" t="s">
        <v>929</v>
      </c>
      <c r="C153" s="1014">
        <v>4989000</v>
      </c>
      <c r="D153" s="1036">
        <f ca="1">Scale_Ratio * VLOOKUP(ref_year,Chemical_price_indexes,2,FALSE)/VLOOKUP(BasisYear,Chemical_price_indexes,2,FALSE)</f>
        <v>1.4260544580886279</v>
      </c>
      <c r="E153" s="509">
        <f ca="1">C153*D153</f>
        <v>7114585.6914041648</v>
      </c>
      <c r="F153" s="1008"/>
      <c r="G153" s="1026"/>
    </row>
    <row r="154" spans="1:7" s="35" customFormat="1" ht="17.149999999999999" customHeight="1" thickBot="1" x14ac:dyDescent="0.3">
      <c r="A154" s="465" t="s">
        <v>188</v>
      </c>
      <c r="B154" s="322" t="s">
        <v>365</v>
      </c>
      <c r="C154" s="1014">
        <v>1200000</v>
      </c>
      <c r="D154" s="1036">
        <f ca="1">Scale_Ratio * VLOOKUP(ref_year,Chemical_price_indexes,2,FALSE)/VLOOKUP(BasisYear,Chemical_price_indexes,2,FALSE)</f>
        <v>1.4260544580886279</v>
      </c>
      <c r="E154" s="509">
        <f ca="1">C154*D154</f>
        <v>1711265.3497063534</v>
      </c>
      <c r="F154" s="1008"/>
      <c r="G154" s="1026"/>
    </row>
    <row r="155" spans="1:7" s="35" customFormat="1" ht="17.149999999999999" customHeight="1" thickBot="1" x14ac:dyDescent="0.3">
      <c r="A155" s="465" t="s">
        <v>180</v>
      </c>
      <c r="B155" s="322" t="s">
        <v>366</v>
      </c>
      <c r="C155" s="1014">
        <v>743000</v>
      </c>
      <c r="D155" s="1036">
        <f ca="1">Scale_Ratio * VLOOKUP(ref_year,Chemical_price_indexes,2,FALSE)/VLOOKUP(BasisYear,Chemical_price_indexes,2,FALSE)</f>
        <v>1.4260544580886279</v>
      </c>
      <c r="E155" s="509">
        <f ca="1">C155*D155</f>
        <v>1059558.4623598505</v>
      </c>
      <c r="F155" s="1008"/>
      <c r="G155" s="1026"/>
    </row>
    <row r="156" spans="1:7" s="35" customFormat="1" ht="28.5" customHeight="1" thickBot="1" x14ac:dyDescent="0.3">
      <c r="A156" s="465" t="s">
        <v>176</v>
      </c>
      <c r="B156" s="322" t="s">
        <v>367</v>
      </c>
      <c r="C156" s="1271">
        <v>5.0000000000000001E-3</v>
      </c>
      <c r="D156"/>
      <c r="E156" s="1539" t="s">
        <v>1205</v>
      </c>
      <c r="F156" s="1539"/>
      <c r="G156" s="1540"/>
    </row>
    <row r="157" spans="1:7" s="35" customFormat="1" ht="17.149999999999999" customHeight="1" thickBot="1" x14ac:dyDescent="0.3">
      <c r="A157" s="465" t="s">
        <v>177</v>
      </c>
      <c r="B157" s="322" t="s">
        <v>368</v>
      </c>
      <c r="C157" s="1014">
        <v>0</v>
      </c>
      <c r="D157" s="1036">
        <f ca="1">Scale_Ratio * CPIinflator</f>
        <v>1.100724186648488</v>
      </c>
      <c r="E157" s="1000">
        <v>0</v>
      </c>
      <c r="F157" s="1008"/>
      <c r="G157" s="1026"/>
    </row>
    <row r="158" spans="1:7" s="35" customFormat="1" ht="17.149999999999999" customHeight="1" thickBot="1" x14ac:dyDescent="0.3">
      <c r="A158" s="465" t="s">
        <v>156</v>
      </c>
      <c r="B158" s="322" t="s">
        <v>369</v>
      </c>
      <c r="C158" s="1014">
        <v>0</v>
      </c>
      <c r="D158" s="1036">
        <f ca="1">Scale_Ratio * CPIinflator</f>
        <v>1.100724186648488</v>
      </c>
      <c r="E158" s="1000">
        <v>0</v>
      </c>
      <c r="F158" s="1008"/>
      <c r="G158" s="1026"/>
    </row>
    <row r="159" spans="1:7" s="35" customFormat="1" ht="17.149999999999999" customHeight="1" thickBot="1" x14ac:dyDescent="0.3">
      <c r="A159" s="465" t="s">
        <v>185</v>
      </c>
      <c r="B159" s="322" t="s">
        <v>370</v>
      </c>
      <c r="C159" s="1014">
        <v>0</v>
      </c>
      <c r="D159" s="1036">
        <f ca="1">Scale_Ratio * CPIinflator</f>
        <v>1.100724186648488</v>
      </c>
      <c r="E159" s="1000">
        <v>0</v>
      </c>
      <c r="F159" s="1012"/>
      <c r="G159" s="1013"/>
    </row>
    <row r="160" spans="1:7" s="35" customFormat="1" ht="17.149999999999999" customHeight="1" thickBot="1" x14ac:dyDescent="0.3">
      <c r="A160" s="465" t="s">
        <v>9</v>
      </c>
      <c r="B160" s="322" t="s">
        <v>960</v>
      </c>
      <c r="C160"/>
      <c r="D160" s="1040"/>
      <c r="E160" s="1000">
        <f>Det_CO2_OandMcost</f>
        <v>0</v>
      </c>
      <c r="F160" s="1012"/>
      <c r="G160" s="1530"/>
    </row>
    <row r="161" spans="1:7" s="35" customFormat="1" ht="17.149999999999999" customHeight="1" thickBot="1" x14ac:dyDescent="0.3">
      <c r="A161" s="465"/>
      <c r="B161" s="322" t="s">
        <v>957</v>
      </c>
      <c r="C161" s="1014">
        <v>0</v>
      </c>
      <c r="D161" s="1036">
        <f>CPIinflator</f>
        <v>1.100724186648488</v>
      </c>
      <c r="E161" s="1000">
        <v>0</v>
      </c>
      <c r="F161" s="1012"/>
      <c r="G161" s="1530"/>
    </row>
    <row r="162" spans="1:7" s="35" customFormat="1" ht="17.149999999999999" customHeight="1" thickBot="1" x14ac:dyDescent="0.3">
      <c r="A162" s="465"/>
      <c r="B162" s="322" t="s">
        <v>956</v>
      </c>
      <c r="C162"/>
      <c r="D162" s="1040"/>
      <c r="E162" s="830">
        <f ca="1">ROUND(Proc_CO2_tax*12/44*Proc_CO2_MTpY,-2)</f>
        <v>0</v>
      </c>
      <c r="F162" s="1012"/>
      <c r="G162" s="1530"/>
    </row>
    <row r="163" spans="1:7" s="35" customFormat="1" ht="17.149999999999999" customHeight="1" thickBot="1" x14ac:dyDescent="0.3">
      <c r="A163" s="465"/>
      <c r="B163" s="322" t="s">
        <v>958</v>
      </c>
      <c r="C163" s="1014">
        <v>0</v>
      </c>
      <c r="D163" s="1036">
        <f>CPIinflator</f>
        <v>1.100724186648488</v>
      </c>
      <c r="E163" s="830">
        <v>0</v>
      </c>
      <c r="F163" s="1012"/>
      <c r="G163" s="1530"/>
    </row>
    <row r="164" spans="1:7" s="35" customFormat="1" ht="17.149999999999999" customHeight="1" thickBot="1" x14ac:dyDescent="0.3">
      <c r="A164" s="465"/>
      <c r="B164" s="322" t="s">
        <v>959</v>
      </c>
      <c r="C164" s="1034"/>
      <c r="D164" s="1035"/>
      <c r="E164" s="830">
        <f ca="1">ROUND(Upstream_CO2_tax/1000*Upstream_GHG_total*output_kgyear,2)</f>
        <v>0</v>
      </c>
      <c r="F164" s="826"/>
      <c r="G164" s="1530"/>
    </row>
    <row r="165" spans="1:7" s="35" customFormat="1" ht="23.25" customHeight="1" thickBot="1" x14ac:dyDescent="0.3">
      <c r="A165" s="465" t="s">
        <v>260</v>
      </c>
      <c r="B165" s="336" t="s">
        <v>258</v>
      </c>
      <c r="C165" s="1032"/>
      <c r="D165" s="1033"/>
      <c r="E165" s="832">
        <f ca="1">ROUND(total_feedstock+total_utilities+total_other_raw-total_byproducts+var_misc+waste_treat+solidwaste_treat+royalties+operator_profit-tax_credit+CO2_OandMcost+Proc_CO2_taxpYear + Upstream_CO2_taxpYear,-2)</f>
        <v>95408800</v>
      </c>
      <c r="F165" s="1030"/>
      <c r="G165" s="1531"/>
    </row>
    <row r="166" spans="1:7" s="35" customFormat="1" x14ac:dyDescent="0.25">
      <c r="A166" s="464"/>
    </row>
    <row r="167" spans="1:7" s="35" customFormat="1" x14ac:dyDescent="0.25">
      <c r="A167" s="464"/>
    </row>
    <row r="168" spans="1:7" s="35" customFormat="1" x14ac:dyDescent="0.25">
      <c r="A168" s="464"/>
    </row>
    <row r="169" spans="1:7" s="35" customFormat="1" x14ac:dyDescent="0.25">
      <c r="A169" s="464"/>
    </row>
    <row r="170" spans="1:7" s="35" customFormat="1" x14ac:dyDescent="0.25">
      <c r="A170" s="464"/>
    </row>
    <row r="171" spans="1:7" s="35" customFormat="1" x14ac:dyDescent="0.25">
      <c r="A171" s="464"/>
    </row>
    <row r="172" spans="1:7" s="35" customFormat="1" x14ac:dyDescent="0.25">
      <c r="A172" s="464"/>
    </row>
    <row r="173" spans="1:7" s="35" customFormat="1" x14ac:dyDescent="0.25">
      <c r="A173" s="464"/>
    </row>
    <row r="174" spans="1:7" s="35" customFormat="1" x14ac:dyDescent="0.25">
      <c r="A174" s="464"/>
    </row>
    <row r="175" spans="1:7" s="35" customFormat="1" x14ac:dyDescent="0.25">
      <c r="A175" s="464"/>
    </row>
    <row r="176" spans="1:7" s="35" customFormat="1" x14ac:dyDescent="0.25">
      <c r="A176" s="464"/>
    </row>
    <row r="177" spans="1:4" s="35" customFormat="1" x14ac:dyDescent="0.25">
      <c r="A177" s="464"/>
    </row>
    <row r="178" spans="1:4" s="35" customFormat="1" x14ac:dyDescent="0.25">
      <c r="A178" s="464"/>
    </row>
    <row r="179" spans="1:4" s="35" customFormat="1" x14ac:dyDescent="0.25">
      <c r="A179" s="464"/>
    </row>
    <row r="180" spans="1:4" s="35" customFormat="1" x14ac:dyDescent="0.25">
      <c r="A180" s="464"/>
    </row>
    <row r="181" spans="1:4" s="35" customFormat="1" x14ac:dyDescent="0.25">
      <c r="A181" s="464"/>
    </row>
    <row r="182" spans="1:4" s="35" customFormat="1" x14ac:dyDescent="0.25">
      <c r="A182" s="464"/>
    </row>
    <row r="183" spans="1:4" s="35" customFormat="1" x14ac:dyDescent="0.25">
      <c r="A183" s="464"/>
    </row>
    <row r="184" spans="1:4" s="35" customFormat="1" x14ac:dyDescent="0.25">
      <c r="A184" s="464"/>
    </row>
    <row r="185" spans="1:4" s="35" customFormat="1" x14ac:dyDescent="0.25">
      <c r="A185" s="464"/>
    </row>
    <row r="186" spans="1:4" s="35" customFormat="1" x14ac:dyDescent="0.25">
      <c r="A186" s="464"/>
    </row>
    <row r="187" spans="1:4" s="35" customFormat="1" x14ac:dyDescent="0.25">
      <c r="A187" s="464"/>
    </row>
    <row r="188" spans="1:4" s="35" customFormat="1" x14ac:dyDescent="0.25">
      <c r="A188" s="464"/>
    </row>
    <row r="189" spans="1:4" s="35" customFormat="1" x14ac:dyDescent="0.25">
      <c r="A189" s="464"/>
    </row>
    <row r="190" spans="1:4" s="35" customFormat="1" x14ac:dyDescent="0.25">
      <c r="A190" s="464"/>
    </row>
    <row r="191" spans="1:4" s="35" customFormat="1" x14ac:dyDescent="0.25">
      <c r="A191" s="464"/>
    </row>
    <row r="192" spans="1:4" s="35" customFormat="1" x14ac:dyDescent="0.25">
      <c r="A192" s="464"/>
      <c r="B192" s="29"/>
      <c r="C192" s="34"/>
      <c r="D192" s="29"/>
    </row>
    <row r="193" spans="1:4" s="35" customFormat="1" x14ac:dyDescent="0.25">
      <c r="A193" s="464"/>
      <c r="B193" s="29"/>
      <c r="C193" s="34"/>
      <c r="D193" s="29"/>
    </row>
    <row r="194" spans="1:4" s="35" customFormat="1" x14ac:dyDescent="0.25">
      <c r="A194" s="464"/>
      <c r="B194" s="29"/>
      <c r="C194" s="34"/>
      <c r="D194" s="29"/>
    </row>
    <row r="195" spans="1:4" s="35" customFormat="1" x14ac:dyDescent="0.25">
      <c r="A195" s="464"/>
      <c r="B195" s="29"/>
      <c r="C195" s="34"/>
      <c r="D195" s="29"/>
    </row>
    <row r="196" spans="1:4" s="35" customFormat="1" x14ac:dyDescent="0.25">
      <c r="A196" s="464"/>
      <c r="B196" s="29"/>
      <c r="C196" s="34"/>
      <c r="D196" s="29"/>
    </row>
    <row r="197" spans="1:4" s="35" customFormat="1" x14ac:dyDescent="0.25">
      <c r="A197" s="464"/>
      <c r="B197" s="29"/>
      <c r="C197" s="34"/>
      <c r="D197" s="29"/>
    </row>
    <row r="198" spans="1:4" s="35" customFormat="1" x14ac:dyDescent="0.25">
      <c r="A198" s="464"/>
      <c r="B198" s="29"/>
      <c r="C198" s="34"/>
      <c r="D198" s="29"/>
    </row>
    <row r="199" spans="1:4" s="35" customFormat="1" x14ac:dyDescent="0.25">
      <c r="A199" s="464"/>
      <c r="B199" s="29"/>
      <c r="C199" s="34"/>
      <c r="D199" s="29"/>
    </row>
    <row r="200" spans="1:4" s="35" customFormat="1" x14ac:dyDescent="0.25">
      <c r="A200" s="464"/>
      <c r="B200" s="29"/>
      <c r="C200" s="34"/>
      <c r="D200" s="29"/>
    </row>
    <row r="201" spans="1:4" s="35" customFormat="1" x14ac:dyDescent="0.25">
      <c r="A201" s="464"/>
      <c r="B201" s="29"/>
      <c r="C201" s="34"/>
      <c r="D201" s="29"/>
    </row>
    <row r="202" spans="1:4" s="35" customFormat="1" x14ac:dyDescent="0.25">
      <c r="A202" s="464"/>
      <c r="B202" s="29"/>
      <c r="C202" s="34"/>
      <c r="D202" s="29"/>
    </row>
    <row r="203" spans="1:4" s="35" customFormat="1" x14ac:dyDescent="0.25">
      <c r="A203" s="464"/>
      <c r="B203" s="29"/>
      <c r="C203" s="34"/>
      <c r="D203" s="29"/>
    </row>
    <row r="204" spans="1:4" s="35" customFormat="1" x14ac:dyDescent="0.25">
      <c r="A204" s="464"/>
      <c r="B204" s="29"/>
      <c r="C204" s="34"/>
      <c r="D204" s="29"/>
    </row>
    <row r="205" spans="1:4" s="35" customFormat="1" x14ac:dyDescent="0.25">
      <c r="A205" s="464"/>
      <c r="B205" s="29"/>
      <c r="C205" s="34"/>
      <c r="D205" s="29"/>
    </row>
    <row r="206" spans="1:4" s="35" customFormat="1" x14ac:dyDescent="0.25">
      <c r="A206" s="464"/>
      <c r="B206" s="29"/>
      <c r="C206" s="34"/>
      <c r="D206" s="29"/>
    </row>
    <row r="207" spans="1:4" s="35" customFormat="1" x14ac:dyDescent="0.25">
      <c r="A207" s="464"/>
      <c r="B207" s="29"/>
      <c r="C207" s="34"/>
      <c r="D207" s="29"/>
    </row>
    <row r="208" spans="1:4" s="35" customFormat="1" x14ac:dyDescent="0.25">
      <c r="A208" s="464"/>
      <c r="B208" s="29"/>
      <c r="C208" s="34"/>
      <c r="D208" s="29"/>
    </row>
    <row r="209" spans="1:4" s="35" customFormat="1" x14ac:dyDescent="0.25">
      <c r="A209" s="464"/>
      <c r="B209" s="29"/>
      <c r="C209" s="34"/>
      <c r="D209" s="29"/>
    </row>
    <row r="210" spans="1:4" s="35" customFormat="1" x14ac:dyDescent="0.25">
      <c r="A210" s="464"/>
      <c r="B210" s="29"/>
      <c r="C210" s="34"/>
      <c r="D210" s="29"/>
    </row>
    <row r="211" spans="1:4" s="35" customFormat="1" x14ac:dyDescent="0.25">
      <c r="A211" s="464"/>
      <c r="B211" s="29"/>
      <c r="C211" s="34"/>
      <c r="D211" s="29"/>
    </row>
    <row r="212" spans="1:4" s="35" customFormat="1" x14ac:dyDescent="0.25">
      <c r="A212" s="464"/>
      <c r="B212" s="29"/>
      <c r="C212" s="34"/>
      <c r="D212" s="29"/>
    </row>
    <row r="213" spans="1:4" s="35" customFormat="1" x14ac:dyDescent="0.25">
      <c r="A213" s="464"/>
      <c r="B213" s="29"/>
      <c r="C213" s="34"/>
      <c r="D213" s="29"/>
    </row>
    <row r="214" spans="1:4" s="35" customFormat="1" x14ac:dyDescent="0.25">
      <c r="A214" s="464"/>
      <c r="B214" s="29"/>
      <c r="C214" s="34"/>
      <c r="D214" s="29"/>
    </row>
    <row r="215" spans="1:4" s="35" customFormat="1" x14ac:dyDescent="0.25">
      <c r="A215" s="464"/>
      <c r="B215" s="29"/>
      <c r="C215" s="34"/>
      <c r="D215" s="29"/>
    </row>
    <row r="216" spans="1:4" s="35" customFormat="1" x14ac:dyDescent="0.25">
      <c r="A216" s="464"/>
      <c r="B216" s="29"/>
      <c r="C216" s="34"/>
      <c r="D216" s="29"/>
    </row>
    <row r="217" spans="1:4" s="35" customFormat="1" x14ac:dyDescent="0.25">
      <c r="A217" s="464"/>
      <c r="B217" s="29"/>
      <c r="C217" s="34"/>
      <c r="D217" s="29"/>
    </row>
    <row r="218" spans="1:4" s="35" customFormat="1" x14ac:dyDescent="0.25">
      <c r="A218" s="464"/>
      <c r="B218" s="29"/>
      <c r="C218" s="34"/>
      <c r="D218" s="29"/>
    </row>
    <row r="219" spans="1:4" s="35" customFormat="1" x14ac:dyDescent="0.25">
      <c r="A219" s="464"/>
      <c r="B219" s="29"/>
      <c r="C219" s="34"/>
      <c r="D219" s="29"/>
    </row>
    <row r="220" spans="1:4" s="35" customFormat="1" x14ac:dyDescent="0.25">
      <c r="A220" s="464"/>
      <c r="B220" s="29"/>
      <c r="C220" s="34"/>
      <c r="D220" s="29"/>
    </row>
    <row r="221" spans="1:4" s="35" customFormat="1" x14ac:dyDescent="0.25">
      <c r="A221" s="464"/>
      <c r="B221" s="29"/>
      <c r="C221" s="34"/>
      <c r="D221" s="29"/>
    </row>
    <row r="222" spans="1:4" s="35" customFormat="1" x14ac:dyDescent="0.25">
      <c r="A222" s="464"/>
      <c r="B222" s="29"/>
      <c r="C222" s="34"/>
      <c r="D222" s="29"/>
    </row>
    <row r="223" spans="1:4" s="35" customFormat="1" x14ac:dyDescent="0.25">
      <c r="A223" s="464"/>
      <c r="B223" s="29"/>
      <c r="C223" s="34"/>
      <c r="D223" s="29"/>
    </row>
    <row r="224" spans="1:4" s="35" customFormat="1" x14ac:dyDescent="0.25">
      <c r="A224" s="464"/>
      <c r="B224" s="29"/>
      <c r="C224" s="34"/>
      <c r="D224" s="29"/>
    </row>
    <row r="225" spans="1:4" s="35" customFormat="1" x14ac:dyDescent="0.25">
      <c r="A225" s="464"/>
      <c r="B225" s="29"/>
      <c r="C225" s="34"/>
      <c r="D225" s="29"/>
    </row>
    <row r="226" spans="1:4" s="35" customFormat="1" x14ac:dyDescent="0.25">
      <c r="A226" s="464"/>
      <c r="B226" s="29"/>
      <c r="C226" s="34"/>
      <c r="D226" s="29"/>
    </row>
    <row r="227" spans="1:4" s="35" customFormat="1" x14ac:dyDescent="0.25">
      <c r="A227" s="464"/>
      <c r="B227" s="29"/>
      <c r="C227" s="34"/>
      <c r="D227" s="29"/>
    </row>
  </sheetData>
  <mergeCells count="50">
    <mergeCell ref="G160:G165"/>
    <mergeCell ref="C133:D133"/>
    <mergeCell ref="E148:G148"/>
    <mergeCell ref="D102:D103"/>
    <mergeCell ref="E90:G90"/>
    <mergeCell ref="E145:G147"/>
    <mergeCell ref="E156:G156"/>
    <mergeCell ref="F152:G152"/>
    <mergeCell ref="E149:G149"/>
    <mergeCell ref="E150:G150"/>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9:G89"/>
    <mergeCell ref="F59:F68"/>
    <mergeCell ref="E56:G56"/>
    <mergeCell ref="E91:G91"/>
    <mergeCell ref="E53:G53"/>
    <mergeCell ref="E52:G52"/>
    <mergeCell ref="E51:G51"/>
    <mergeCell ref="E55:G55"/>
    <mergeCell ref="E87:G87"/>
    <mergeCell ref="E88:G88"/>
  </mergeCells>
  <phoneticPr fontId="2" type="noConversion"/>
  <conditionalFormatting sqref="H16:H17">
    <cfRule type="expression" dxfId="2" priority="9">
      <formula>$H$17 &gt; 0.3</formula>
    </cfRule>
  </conditionalFormatting>
  <dataValidations xWindow="543" yWindow="734" count="17">
    <dataValidation allowBlank="1" showInputMessage="1" showErrorMessage="1" prompt="Tax covers all fuel and utilities.  Result may be negative (credit) for biomass derived feed." sqref="E163" xr:uid="{00000000-0002-0000-0300-000000000000}"/>
    <dataValidation allowBlank="1" showInputMessage="1" showErrorMessage="1" prompt="Enter specific year replacement costs on Replacement Costs sheet" sqref="C156" xr:uid="{00000000-0002-0000-0300-000001000000}"/>
    <dataValidation allowBlank="1" showInputMessage="1" showErrorMessage="1" prompt="View or change values for the original design estimate on the &quot;Capital Cost&quot; sheet only. Plant scaling values will use the original design estimate as the basis for scaling" sqref="C90"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91:C92" xr:uid="{00000000-0002-0000-0300-000003000000}"/>
    <dataValidation type="list" allowBlank="1" showInputMessage="1" showErrorMessage="1" sqref="B132"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16." sqref="C32" xr:uid="{00000000-0002-0000-0300-00000E000000}">
      <formula1>1992</formula1>
      <formula2>2016</formula2>
    </dataValidation>
    <dataValidation type="whole" showInputMessage="1" showErrorMessage="1" error="This cell cannot be left blank.  Enter a value between 1992 and 2016" prompt="The reference year must be between 1992 and 2016." sqref="C30" xr:uid="{00000000-0002-0000-0300-00000F000000}">
      <formula1>1992</formula1>
      <formula2>2016</formula2>
    </dataValidation>
    <dataValidation type="whole" allowBlank="1" showInputMessage="1" showErrorMessage="1" error="Debt period may not exceed analysis period" sqref="C45" xr:uid="{06ADA748-B886-4335-A5B3-ED43CA60F537}">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controls>
    <mc:AlternateContent xmlns:mc="http://schemas.openxmlformats.org/markup-compatibility/2006">
      <mc:Choice Requires="x14">
        <control shapeId="1061" r:id="rId4" name="Label1">
          <controlPr defaultSize="0" autoLine="0" r:id="rId5">
            <anchor moveWithCells="1">
              <from>
                <xdr:col>3</xdr:col>
                <xdr:colOff>165100</xdr:colOff>
                <xdr:row>66</xdr:row>
                <xdr:rowOff>12700</xdr:rowOff>
              </from>
              <to>
                <xdr:col>3</xdr:col>
                <xdr:colOff>533400</xdr:colOff>
                <xdr:row>66</xdr:row>
                <xdr:rowOff>228600</xdr:rowOff>
              </to>
            </anchor>
          </controlPr>
        </control>
      </mc:Choice>
      <mc:Fallback>
        <control shapeId="1061" r:id="rId4" name="Label1"/>
      </mc:Fallback>
    </mc:AlternateContent>
    <mc:AlternateContent xmlns:mc="http://schemas.openxmlformats.org/markup-compatibility/2006">
      <mc:Choice Requires="x14">
        <control shapeId="1063" r:id="rId6" name="lblUseDfltPrice">
          <controlPr defaultSize="0" autoLine="0" r:id="rId7">
            <anchor moveWithCells="1">
              <from>
                <xdr:col>1</xdr:col>
                <xdr:colOff>2495550</xdr:colOff>
                <xdr:row>66</xdr:row>
                <xdr:rowOff>31750</xdr:rowOff>
              </from>
              <to>
                <xdr:col>1</xdr:col>
                <xdr:colOff>3924300</xdr:colOff>
                <xdr:row>67</xdr:row>
                <xdr:rowOff>0</xdr:rowOff>
              </to>
            </anchor>
          </controlPr>
        </control>
      </mc:Choice>
      <mc:Fallback>
        <control shapeId="1063" r:id="rId6" name="lblUseDfltPrice"/>
      </mc:Fallback>
    </mc:AlternateContent>
    <mc:AlternateContent xmlns:mc="http://schemas.openxmlformats.org/markup-compatibility/2006">
      <mc:Choice Requires="x14">
        <control shapeId="1076" r:id="rId8" name="chkNonEnergyByProd">
          <controlPr defaultSize="0" autoLine="0" r:id="rId9">
            <anchor moveWithCells="1">
              <from>
                <xdr:col>2</xdr:col>
                <xdr:colOff>285750</xdr:colOff>
                <xdr:row>130</xdr:row>
                <xdr:rowOff>247650</xdr:rowOff>
              </from>
              <to>
                <xdr:col>3</xdr:col>
                <xdr:colOff>336550</xdr:colOff>
                <xdr:row>131</xdr:row>
                <xdr:rowOff>273050</xdr:rowOff>
              </to>
            </anchor>
          </controlPr>
        </control>
      </mc:Choice>
      <mc:Fallback>
        <control shapeId="1076" r:id="rId8" name="chkNonEnergyByProd"/>
      </mc:Fallback>
    </mc:AlternateContent>
    <mc:AlternateContent xmlns:mc="http://schemas.openxmlformats.org/markup-compatibility/2006">
      <mc:Choice Requires="x14">
        <control shapeId="1083" r:id="rId10" name="lblUseOtherDefault">
          <controlPr defaultSize="0" autoLine="0" r:id="rId11">
            <anchor moveWithCells="1">
              <from>
                <xdr:col>1</xdr:col>
                <xdr:colOff>2222500</xdr:colOff>
                <xdr:row>133</xdr:row>
                <xdr:rowOff>38100</xdr:rowOff>
              </from>
              <to>
                <xdr:col>1</xdr:col>
                <xdr:colOff>3841750</xdr:colOff>
                <xdr:row>134</xdr:row>
                <xdr:rowOff>12700</xdr:rowOff>
              </to>
            </anchor>
          </controlPr>
        </control>
      </mc:Choice>
      <mc:Fallback>
        <control shapeId="1083" r:id="rId10" name="lblUseOtherDefault"/>
      </mc:Fallback>
    </mc:AlternateContent>
    <mc:AlternateContent xmlns:mc="http://schemas.openxmlformats.org/markup-compatibility/2006">
      <mc:Choice Requires="x14">
        <control shapeId="1085" r:id="rId12" name="Label3">
          <controlPr defaultSize="0" autoLine="0" r:id="rId13">
            <anchor moveWithCells="1">
              <from>
                <xdr:col>3</xdr:col>
                <xdr:colOff>298450</xdr:colOff>
                <xdr:row>133</xdr:row>
                <xdr:rowOff>50800</xdr:rowOff>
              </from>
              <to>
                <xdr:col>3</xdr:col>
                <xdr:colOff>660400</xdr:colOff>
                <xdr:row>134</xdr:row>
                <xdr:rowOff>31750</xdr:rowOff>
              </to>
            </anchor>
          </controlPr>
        </control>
      </mc:Choice>
      <mc:Fallback>
        <control shapeId="1085" r:id="rId12" name="Label3"/>
      </mc:Fallback>
    </mc:AlternateContent>
    <mc:AlternateContent xmlns:mc="http://schemas.openxmlformats.org/markup-compatibility/2006">
      <mc:Choice Requires="x14">
        <control shapeId="1093" r:id="rId14" name="chk_depr_type">
          <controlPr defaultSize="0" autoLine="0" r:id="rId15">
            <anchor moveWithCells="1">
              <from>
                <xdr:col>3</xdr:col>
                <xdr:colOff>203200</xdr:colOff>
                <xdr:row>40</xdr:row>
                <xdr:rowOff>184150</xdr:rowOff>
              </from>
              <to>
                <xdr:col>4</xdr:col>
                <xdr:colOff>0</xdr:colOff>
                <xdr:row>41</xdr:row>
                <xdr:rowOff>203200</xdr:rowOff>
              </to>
            </anchor>
          </controlPr>
        </control>
      </mc:Choice>
      <mc:Fallback>
        <control shapeId="1093" r:id="rId14" name="chk_depr_type"/>
      </mc:Fallback>
    </mc:AlternateContent>
    <mc:AlternateContent xmlns:mc="http://schemas.openxmlformats.org/markup-compatibility/2006">
      <mc:Choice Requires="x14">
        <control shapeId="1096" r:id="rId16" name="chk_equity">
          <controlPr defaultSize="0" autoLine="0" r:id="rId17">
            <anchor moveWithCells="1">
              <from>
                <xdr:col>3</xdr:col>
                <xdr:colOff>203200</xdr:colOff>
                <xdr:row>42</xdr:row>
                <xdr:rowOff>12700</xdr:rowOff>
              </from>
              <to>
                <xdr:col>4</xdr:col>
                <xdr:colOff>0</xdr:colOff>
                <xdr:row>43</xdr:row>
                <xdr:rowOff>44450</xdr:rowOff>
              </to>
            </anchor>
          </controlPr>
        </control>
      </mc:Choice>
      <mc:Fallback>
        <control shapeId="1096" r:id="rId16" name="chk_equity"/>
      </mc:Fallback>
    </mc:AlternateContent>
    <mc:AlternateContent xmlns:mc="http://schemas.openxmlformats.org/markup-compatibility/2006">
      <mc:Choice Requires="x14">
        <control shapeId="1097" r:id="rId18" name="chk_ref_year">
          <controlPr defaultSize="0" autoLine="0" r:id="rId19">
            <anchor moveWithCells="1">
              <from>
                <xdr:col>3</xdr:col>
                <xdr:colOff>203200</xdr:colOff>
                <xdr:row>29</xdr:row>
                <xdr:rowOff>12700</xdr:rowOff>
              </from>
              <to>
                <xdr:col>4</xdr:col>
                <xdr:colOff>0</xdr:colOff>
                <xdr:row>30</xdr:row>
                <xdr:rowOff>69850</xdr:rowOff>
              </to>
            </anchor>
          </controlPr>
        </control>
      </mc:Choice>
      <mc:Fallback>
        <control shapeId="1097" r:id="rId18" name="chk_ref_year"/>
      </mc:Fallback>
    </mc:AlternateContent>
    <mc:AlternateContent xmlns:mc="http://schemas.openxmlformats.org/markup-compatibility/2006">
      <mc:Choice Requires="x14">
        <control shapeId="1098" r:id="rId20" name="chk_decom_percent">
          <controlPr defaultSize="0" autoLine="0" r:id="rId21">
            <anchor moveWithCells="1">
              <from>
                <xdr:col>3</xdr:col>
                <xdr:colOff>203200</xdr:colOff>
                <xdr:row>48</xdr:row>
                <xdr:rowOff>12700</xdr:rowOff>
              </from>
              <to>
                <xdr:col>4</xdr:col>
                <xdr:colOff>0</xdr:colOff>
                <xdr:row>49</xdr:row>
                <xdr:rowOff>38100</xdr:rowOff>
              </to>
            </anchor>
          </controlPr>
        </control>
      </mc:Choice>
      <mc:Fallback>
        <control shapeId="1098" r:id="rId20" name="chk_decom_percent"/>
      </mc:Fallback>
    </mc:AlternateContent>
    <mc:AlternateContent xmlns:mc="http://schemas.openxmlformats.org/markup-compatibility/2006">
      <mc:Choice Requires="x14">
        <control shapeId="1109" r:id="rId22" name="chk_salvage_perct">
          <controlPr defaultSize="0" autoLine="0" r:id="rId23">
            <anchor moveWithCells="1">
              <from>
                <xdr:col>3</xdr:col>
                <xdr:colOff>203200</xdr:colOff>
                <xdr:row>49</xdr:row>
                <xdr:rowOff>12700</xdr:rowOff>
              </from>
              <to>
                <xdr:col>4</xdr:col>
                <xdr:colOff>0</xdr:colOff>
                <xdr:row>50</xdr:row>
                <xdr:rowOff>38100</xdr:rowOff>
              </to>
            </anchor>
          </controlPr>
        </control>
      </mc:Choice>
      <mc:Fallback>
        <control shapeId="1109" r:id="rId22" name="chk_salvage_perct"/>
      </mc:Fallback>
    </mc:AlternateContent>
    <mc:AlternateContent xmlns:mc="http://schemas.openxmlformats.org/markup-compatibility/2006">
      <mc:Choice Requires="x14">
        <control shapeId="1110" r:id="rId24" name="chk_inflation_rate">
          <controlPr defaultSize="0" autoLine="0" r:id="rId25">
            <anchor moveWithCells="1">
              <from>
                <xdr:col>3</xdr:col>
                <xdr:colOff>203200</xdr:colOff>
                <xdr:row>50</xdr:row>
                <xdr:rowOff>12700</xdr:rowOff>
              </from>
              <to>
                <xdr:col>4</xdr:col>
                <xdr:colOff>0</xdr:colOff>
                <xdr:row>51</xdr:row>
                <xdr:rowOff>38100</xdr:rowOff>
              </to>
            </anchor>
          </controlPr>
        </control>
      </mc:Choice>
      <mc:Fallback>
        <control shapeId="1110" r:id="rId24" name="chk_inflation_rate"/>
      </mc:Fallback>
    </mc:AlternateContent>
    <mc:AlternateContent xmlns:mc="http://schemas.openxmlformats.org/markup-compatibility/2006">
      <mc:Choice Requires="x14">
        <control shapeId="1111" r:id="rId26" name="chk_real_irr">
          <controlPr defaultSize="0" autoLine="0" r:id="rId27">
            <anchor moveWithCells="1">
              <from>
                <xdr:col>3</xdr:col>
                <xdr:colOff>203200</xdr:colOff>
                <xdr:row>51</xdr:row>
                <xdr:rowOff>12700</xdr:rowOff>
              </from>
              <to>
                <xdr:col>4</xdr:col>
                <xdr:colOff>0</xdr:colOff>
                <xdr:row>52</xdr:row>
                <xdr:rowOff>44450</xdr:rowOff>
              </to>
            </anchor>
          </controlPr>
        </control>
      </mc:Choice>
      <mc:Fallback>
        <control shapeId="1111" r:id="rId26" name="chk_real_irr"/>
      </mc:Fallback>
    </mc:AlternateContent>
    <mc:AlternateContent xmlns:mc="http://schemas.openxmlformats.org/markup-compatibility/2006">
      <mc:Choice Requires="x14">
        <control shapeId="1112" r:id="rId28" name="chk_state_tax_rate">
          <controlPr defaultSize="0" autoLine="0" r:id="rId29">
            <anchor moveWithCells="1">
              <from>
                <xdr:col>3</xdr:col>
                <xdr:colOff>203200</xdr:colOff>
                <xdr:row>52</xdr:row>
                <xdr:rowOff>12700</xdr:rowOff>
              </from>
              <to>
                <xdr:col>4</xdr:col>
                <xdr:colOff>0</xdr:colOff>
                <xdr:row>53</xdr:row>
                <xdr:rowOff>38100</xdr:rowOff>
              </to>
            </anchor>
          </controlPr>
        </control>
      </mc:Choice>
      <mc:Fallback>
        <control shapeId="1112" r:id="rId28" name="chk_state_tax_rate"/>
      </mc:Fallback>
    </mc:AlternateContent>
    <mc:AlternateContent xmlns:mc="http://schemas.openxmlformats.org/markup-compatibility/2006">
      <mc:Choice Requires="x14">
        <control shapeId="1113" r:id="rId30" name="chk_fed_tax_rate">
          <controlPr defaultSize="0" autoLine="0" r:id="rId31">
            <anchor moveWithCells="1">
              <from>
                <xdr:col>3</xdr:col>
                <xdr:colOff>203200</xdr:colOff>
                <xdr:row>53</xdr:row>
                <xdr:rowOff>12700</xdr:rowOff>
              </from>
              <to>
                <xdr:col>4</xdr:col>
                <xdr:colOff>0</xdr:colOff>
                <xdr:row>54</xdr:row>
                <xdr:rowOff>44450</xdr:rowOff>
              </to>
            </anchor>
          </controlPr>
        </control>
      </mc:Choice>
      <mc:Fallback>
        <control shapeId="1113" r:id="rId30" name="chk_fed_tax_rate"/>
      </mc:Fallback>
    </mc:AlternateContent>
    <mc:AlternateContent xmlns:mc="http://schemas.openxmlformats.org/markup-compatibility/2006">
      <mc:Choice Requires="x14">
        <control shapeId="1114" r:id="rId32" name="chk_WorkingCap">
          <controlPr defaultSize="0" autoLine="0" r:id="rId33">
            <anchor moveWithCells="1">
              <from>
                <xdr:col>3</xdr:col>
                <xdr:colOff>203200</xdr:colOff>
                <xdr:row>55</xdr:row>
                <xdr:rowOff>12700</xdr:rowOff>
              </from>
              <to>
                <xdr:col>4</xdr:col>
                <xdr:colOff>0</xdr:colOff>
                <xdr:row>56</xdr:row>
                <xdr:rowOff>38100</xdr:rowOff>
              </to>
            </anchor>
          </controlPr>
        </control>
      </mc:Choice>
      <mc:Fallback>
        <control shapeId="1114" r:id="rId32" name="chk_WorkingCap"/>
      </mc:Fallback>
    </mc:AlternateContent>
    <mc:AlternateContent xmlns:mc="http://schemas.openxmlformats.org/markup-compatibility/2006">
      <mc:Choice Requires="x14">
        <control shapeId="1173" r:id="rId34" name="chk_overhead_rate">
          <controlPr defaultSize="0" autoLine="0" r:id="rId35">
            <anchor moveWithCells="1">
              <from>
                <xdr:col>3</xdr:col>
                <xdr:colOff>76200</xdr:colOff>
                <xdr:row>115</xdr:row>
                <xdr:rowOff>12700</xdr:rowOff>
              </from>
              <to>
                <xdr:col>3</xdr:col>
                <xdr:colOff>1358900</xdr:colOff>
                <xdr:row>116</xdr:row>
                <xdr:rowOff>69850</xdr:rowOff>
              </to>
            </anchor>
          </controlPr>
        </control>
      </mc:Choice>
      <mc:Fallback>
        <control shapeId="1173" r:id="rId34" name="chk_overhead_rate"/>
      </mc:Fallback>
    </mc:AlternateContent>
    <mc:AlternateContent xmlns:mc="http://schemas.openxmlformats.org/markup-compatibility/2006">
      <mc:Choice Requires="x14">
        <control shapeId="1174" r:id="rId36" name="chk_tax_ins_rate">
          <controlPr defaultSize="0" autoLine="0" r:id="rId37">
            <anchor moveWithCells="1">
              <from>
                <xdr:col>3</xdr:col>
                <xdr:colOff>57150</xdr:colOff>
                <xdr:row>118</xdr:row>
                <xdr:rowOff>38100</xdr:rowOff>
              </from>
              <to>
                <xdr:col>3</xdr:col>
                <xdr:colOff>1263650</xdr:colOff>
                <xdr:row>118</xdr:row>
                <xdr:rowOff>292100</xdr:rowOff>
              </to>
            </anchor>
          </controlPr>
        </control>
      </mc:Choice>
      <mc:Fallback>
        <control shapeId="1174" r:id="rId36" name="chk_tax_ins_rate"/>
      </mc:Fallback>
    </mc:AlternateContent>
    <mc:AlternateContent xmlns:mc="http://schemas.openxmlformats.org/markup-compatibility/2006">
      <mc:Choice Requires="x14">
        <control shapeId="1175" r:id="rId38" name="chk_royalties">
          <controlPr defaultSize="0" disabled="1" autoLine="0" r:id="rId39">
            <anchor moveWithCells="1">
              <from>
                <xdr:col>5</xdr:col>
                <xdr:colOff>184150</xdr:colOff>
                <xdr:row>156</xdr:row>
                <xdr:rowOff>12700</xdr:rowOff>
              </from>
              <to>
                <xdr:col>5</xdr:col>
                <xdr:colOff>1384300</xdr:colOff>
                <xdr:row>157</xdr:row>
                <xdr:rowOff>38100</xdr:rowOff>
              </to>
            </anchor>
          </controlPr>
        </control>
      </mc:Choice>
      <mc:Fallback>
        <control shapeId="1175" r:id="rId38" name="chk_royalties"/>
      </mc:Fallback>
    </mc:AlternateContent>
    <mc:AlternateContent xmlns:mc="http://schemas.openxmlformats.org/markup-compatibility/2006">
      <mc:Choice Requires="x14">
        <control shapeId="1176" r:id="rId40" name="chk_operator_profit">
          <controlPr defaultSize="0" disabled="1" autoLine="0" r:id="rId41">
            <anchor moveWithCells="1">
              <from>
                <xdr:col>5</xdr:col>
                <xdr:colOff>184150</xdr:colOff>
                <xdr:row>157</xdr:row>
                <xdr:rowOff>12700</xdr:rowOff>
              </from>
              <to>
                <xdr:col>5</xdr:col>
                <xdr:colOff>1384300</xdr:colOff>
                <xdr:row>158</xdr:row>
                <xdr:rowOff>38100</xdr:rowOff>
              </to>
            </anchor>
          </controlPr>
        </control>
      </mc:Choice>
      <mc:Fallback>
        <control shapeId="1176" r:id="rId40" name="chk_operator_profit"/>
      </mc:Fallback>
    </mc:AlternateContent>
    <mc:AlternateContent xmlns:mc="http://schemas.openxmlformats.org/markup-compatibility/2006">
      <mc:Choice Requires="x14">
        <control shapeId="1177" r:id="rId42" name="chk_tax_credit">
          <controlPr defaultSize="0" disabled="1" autoLine="0" r:id="rId43">
            <anchor moveWithCells="1">
              <from>
                <xdr:col>5</xdr:col>
                <xdr:colOff>184150</xdr:colOff>
                <xdr:row>158</xdr:row>
                <xdr:rowOff>0</xdr:rowOff>
              </from>
              <to>
                <xdr:col>5</xdr:col>
                <xdr:colOff>1384300</xdr:colOff>
                <xdr:row>159</xdr:row>
                <xdr:rowOff>38100</xdr:rowOff>
              </to>
            </anchor>
          </controlPr>
        </control>
      </mc:Choice>
      <mc:Fallback>
        <control shapeId="1177" r:id="rId42" name="chk_tax_credit"/>
      </mc:Fallback>
    </mc:AlternateContent>
    <mc:AlternateContent xmlns:mc="http://schemas.openxmlformats.org/markup-compatibility/2006">
      <mc:Choice Requires="x14">
        <control shapeId="1223" r:id="rId44" name="chk_Proc_CO2_tax">
          <controlPr defaultSize="0" disabled="1" autoLine="0" r:id="rId45">
            <anchor moveWithCells="1">
              <from>
                <xdr:col>5</xdr:col>
                <xdr:colOff>184150</xdr:colOff>
                <xdr:row>160</xdr:row>
                <xdr:rowOff>0</xdr:rowOff>
              </from>
              <to>
                <xdr:col>5</xdr:col>
                <xdr:colOff>1384300</xdr:colOff>
                <xdr:row>161</xdr:row>
                <xdr:rowOff>38100</xdr:rowOff>
              </to>
            </anchor>
          </controlPr>
        </control>
      </mc:Choice>
      <mc:Fallback>
        <control shapeId="1223" r:id="rId44" name="chk_Proc_CO2_tax"/>
      </mc:Fallback>
    </mc:AlternateContent>
    <mc:AlternateContent xmlns:mc="http://schemas.openxmlformats.org/markup-compatibility/2006">
      <mc:Choice Requires="x14">
        <control shapeId="1224" r:id="rId46" name="chk_Upstream_CO2_tax">
          <controlPr defaultSize="0" disabled="1" autoLine="0" r:id="rId47">
            <anchor moveWithCells="1">
              <from>
                <xdr:col>5</xdr:col>
                <xdr:colOff>184150</xdr:colOff>
                <xdr:row>162</xdr:row>
                <xdr:rowOff>0</xdr:rowOff>
              </from>
              <to>
                <xdr:col>5</xdr:col>
                <xdr:colOff>1384300</xdr:colOff>
                <xdr:row>163</xdr:row>
                <xdr:rowOff>38100</xdr:rowOff>
              </to>
            </anchor>
          </controlPr>
        </control>
      </mc:Choice>
      <mc:Fallback>
        <control shapeId="1224" r:id="rId46" name="chk_Upstream_CO2_tax"/>
      </mc:Fallback>
    </mc:AlternateContent>
  </controls>
  <extLst>
    <ext xmlns:x14="http://schemas.microsoft.com/office/spreadsheetml/2009/9/main" uri="{CCE6A557-97BC-4b89-ADB6-D9C93CAAB3DF}">
      <x14:dataValidations xmlns:xm="http://schemas.microsoft.com/office/excel/2006/main"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115" zoomScaleNormal="115" workbookViewId="0">
      <selection activeCell="D20" sqref="D20"/>
    </sheetView>
  </sheetViews>
  <sheetFormatPr defaultColWidth="9.1796875" defaultRowHeight="12.5" x14ac:dyDescent="0.25"/>
  <cols>
    <col min="1" max="1" width="16.26953125" style="210" customWidth="1"/>
    <col min="2" max="2" width="17.453125" style="210" customWidth="1"/>
    <col min="3" max="5" width="19.54296875" style="210" customWidth="1"/>
    <col min="6" max="6" width="19.453125" style="210" customWidth="1"/>
    <col min="7" max="7" width="21.81640625" style="210" customWidth="1"/>
    <col min="8" max="8" width="23.26953125" style="210" customWidth="1"/>
    <col min="9" max="10" width="19.1796875" style="210" customWidth="1"/>
    <col min="11" max="11" width="47.26953125" style="210" customWidth="1"/>
    <col min="12" max="12" width="30.26953125" style="210" customWidth="1"/>
    <col min="13" max="13" width="40.1796875" style="210" customWidth="1"/>
    <col min="14" max="14" width="20" style="210" customWidth="1"/>
    <col min="15" max="16384" width="9.1796875" style="210"/>
  </cols>
  <sheetData>
    <row r="1" spans="1:12" x14ac:dyDescent="0.25">
      <c r="B1" s="38"/>
      <c r="C1" s="38"/>
      <c r="D1" s="38"/>
      <c r="E1" s="38"/>
      <c r="F1" s="38"/>
      <c r="G1" s="38"/>
    </row>
    <row r="2" spans="1:12" ht="22" x14ac:dyDescent="0.65">
      <c r="A2" s="815" t="s">
        <v>1027</v>
      </c>
      <c r="B2" s="38"/>
      <c r="C2" s="38"/>
      <c r="D2" s="38"/>
      <c r="E2" s="38"/>
      <c r="F2" s="38"/>
      <c r="G2" s="38"/>
    </row>
    <row r="3" spans="1:12" ht="13" x14ac:dyDescent="0.25">
      <c r="B3" s="41"/>
      <c r="C3" s="41"/>
      <c r="D3" s="41"/>
      <c r="E3" s="41"/>
      <c r="F3" s="41"/>
      <c r="G3" s="44"/>
      <c r="H3" s="211"/>
      <c r="I3" s="211"/>
      <c r="J3" s="211"/>
    </row>
    <row r="4" spans="1:12" ht="13" x14ac:dyDescent="0.25">
      <c r="B4" s="41"/>
      <c r="C4" s="41"/>
      <c r="D4" s="41"/>
      <c r="E4" s="41"/>
      <c r="F4" s="41"/>
      <c r="G4" s="44"/>
      <c r="H4" s="211"/>
      <c r="I4" s="211"/>
      <c r="J4" s="211"/>
    </row>
    <row r="5" spans="1:12" customFormat="1" ht="15.5" x14ac:dyDescent="0.35">
      <c r="C5" s="817" t="s">
        <v>233</v>
      </c>
      <c r="D5" s="817"/>
      <c r="E5" s="817"/>
    </row>
    <row r="6" spans="1:12" customFormat="1" x14ac:dyDescent="0.25"/>
    <row r="7" spans="1:12" customFormat="1" x14ac:dyDescent="0.25"/>
    <row r="8" spans="1:12" customFormat="1" x14ac:dyDescent="0.25"/>
    <row r="9" spans="1:12" customFormat="1" ht="13" x14ac:dyDescent="0.25">
      <c r="A9" s="816" t="str">
        <f>"NOTE: Enter costs in year "&amp;TEXT(BasisYear,"0")&amp;" $ - Do not inflate"</f>
        <v>NOTE: Enter costs in year 2005 $ - Do not inflate</v>
      </c>
    </row>
    <row r="10" spans="1:12" customFormat="1" ht="13" x14ac:dyDescent="0.25">
      <c r="A10" s="816" t="s">
        <v>1028</v>
      </c>
    </row>
    <row r="11" spans="1:12" customFormat="1" x14ac:dyDescent="0.25"/>
    <row r="12" spans="1:12" ht="13.5" thickBot="1" x14ac:dyDescent="0.35">
      <c r="A12" s="212"/>
      <c r="B12" s="212"/>
      <c r="C12" s="212"/>
      <c r="D12" s="212"/>
      <c r="E12" s="212"/>
      <c r="F12" s="212"/>
      <c r="G12" s="212"/>
      <c r="H12" s="213"/>
      <c r="I12" s="213"/>
      <c r="J12" s="213"/>
    </row>
    <row r="13" spans="1:12" ht="14" thickTop="1" thickBot="1" x14ac:dyDescent="0.35">
      <c r="A13" s="337" t="s">
        <v>1029</v>
      </c>
      <c r="B13" s="338"/>
      <c r="C13" s="339"/>
      <c r="D13" s="339"/>
      <c r="E13" s="339"/>
      <c r="F13" s="340"/>
      <c r="G13" s="341"/>
    </row>
    <row r="14" spans="1:12" ht="14" thickTop="1" thickBot="1" x14ac:dyDescent="0.35">
      <c r="A14" s="342"/>
      <c r="B14" s="343"/>
      <c r="C14" s="344" t="s">
        <v>1030</v>
      </c>
      <c r="D14" s="344"/>
      <c r="E14" s="344"/>
      <c r="F14" s="344" t="s">
        <v>1031</v>
      </c>
      <c r="G14" s="345" t="s">
        <v>1032</v>
      </c>
    </row>
    <row r="15" spans="1:12" s="209" customFormat="1" ht="79" thickTop="1" thickBot="1" x14ac:dyDescent="0.35">
      <c r="A15" s="346" t="s">
        <v>183</v>
      </c>
      <c r="B15" s="529">
        <f>replace_factor</f>
        <v>5.0000000000000001E-3</v>
      </c>
      <c r="C15" s="347"/>
      <c r="D15" s="347"/>
      <c r="E15" s="347"/>
      <c r="F15" s="348"/>
      <c r="G15" s="349" t="s">
        <v>1033</v>
      </c>
      <c r="I15" s="221"/>
      <c r="J15" s="210"/>
      <c r="K15" s="214"/>
    </row>
    <row r="16" spans="1:12" ht="53" thickTop="1" thickBot="1" x14ac:dyDescent="0.35">
      <c r="A16" s="350" t="s">
        <v>1034</v>
      </c>
      <c r="B16" s="351" t="s">
        <v>40</v>
      </c>
      <c r="C16" s="352" t="s">
        <v>1035</v>
      </c>
      <c r="D16" s="352" t="s">
        <v>1036</v>
      </c>
      <c r="E16" s="352" t="s">
        <v>1292</v>
      </c>
      <c r="F16" s="352" t="s">
        <v>1036</v>
      </c>
      <c r="G16" s="352" t="s">
        <v>1037</v>
      </c>
      <c r="H16" s="352" t="s">
        <v>1075</v>
      </c>
      <c r="I16" s="352" t="s">
        <v>1076</v>
      </c>
      <c r="J16" s="352" t="s">
        <v>1077</v>
      </c>
      <c r="K16" s="353" t="s">
        <v>1078</v>
      </c>
      <c r="L16" s="354" t="s">
        <v>1079</v>
      </c>
    </row>
    <row r="17" spans="1:12" ht="14" thickTop="1" thickBot="1" x14ac:dyDescent="0.35">
      <c r="A17" s="355"/>
      <c r="B17" s="356"/>
      <c r="C17" s="356"/>
      <c r="D17" s="356" t="str">
        <f>"Year "&amp;TEXT(BasisYear,"0")&amp;" $"</f>
        <v>Year 2005 $</v>
      </c>
      <c r="E17" s="356" t="str">
        <f>"Year "&amp;TEXT(ref_year,"0")&amp;" $"</f>
        <v>Year 2016 $</v>
      </c>
      <c r="F17" s="356" t="str">
        <f>"Year "&amp;TEXT(ref_year,"0")&amp;" $"</f>
        <v>Year 2016 $</v>
      </c>
      <c r="G17" s="356" t="str">
        <f>"Year "&amp;TEXT(ref_year,"0")&amp;" $"</f>
        <v>Year 2016 $</v>
      </c>
      <c r="H17" s="356" t="s">
        <v>1080</v>
      </c>
      <c r="I17" s="356"/>
      <c r="J17" s="356"/>
      <c r="K17" s="357"/>
      <c r="L17" s="358"/>
    </row>
    <row r="18" spans="1:12" ht="13" thickTop="1" x14ac:dyDescent="0.25">
      <c r="A18" s="92">
        <f>IF(C18&lt;&gt;"",'Cash Flow Analysis'!A65,"")</f>
        <v>2037</v>
      </c>
      <c r="B18" s="313">
        <f>construct+1</f>
        <v>4</v>
      </c>
      <c r="C18" s="313">
        <v>1</v>
      </c>
      <c r="D18" s="482"/>
      <c r="E18" s="215">
        <f>+'Carbon Sequestration'!$C$100*(C18&lt;=anal_period)</f>
        <v>0</v>
      </c>
      <c r="F18" s="215">
        <f t="shared" ref="F18:F57" si="0">(D18)*CPIinflator*CEPCIinflator+E18</f>
        <v>0</v>
      </c>
      <c r="G18" s="215">
        <f ca="1">IF(C18&gt;anal_period,0,IF(replace_factor&lt;&gt;"",replace_factor*depr_cap,0))</f>
        <v>965177.50172626507</v>
      </c>
      <c r="H18" s="216">
        <f ca="1">(F18+G18)*((1+inflation_rate)^(startup_year-ref_year))</f>
        <v>1516308.6277777494</v>
      </c>
      <c r="I18" s="359"/>
      <c r="J18" s="360"/>
      <c r="K18" s="361"/>
      <c r="L18" s="362"/>
    </row>
    <row r="19" spans="1:12" x14ac:dyDescent="0.25">
      <c r="A19" s="94">
        <f>IF(C19&lt;&gt;"",'Cash Flow Analysis'!A66,"")</f>
        <v>2038</v>
      </c>
      <c r="B19" s="314">
        <f t="shared" ref="B19:B57" si="1">IF(B18&lt;anal_period+construct,B18+1,"")</f>
        <v>5</v>
      </c>
      <c r="C19" s="314">
        <f t="shared" ref="C19:C57" si="2">IF(B19="","",C18+1)</f>
        <v>2</v>
      </c>
      <c r="D19" s="483"/>
      <c r="E19" s="217">
        <f>+'Carbon Sequestration'!$C$100*(C19&lt;=anal_period)</f>
        <v>0</v>
      </c>
      <c r="F19" s="217">
        <f t="shared" si="0"/>
        <v>0</v>
      </c>
      <c r="G19" s="217">
        <f t="shared" ref="G19:G57" ca="1" si="3">IF(C19&gt;anal_period,0,IF(replace_factor&lt;&gt;"",replace_factor*depr_cap,0))</f>
        <v>965177.50172626507</v>
      </c>
      <c r="H19" s="218">
        <f t="shared" ref="H19:H57" ca="1" si="4">(F19+G19)*((1+inflation_rate)^(startup_year-ref_year))</f>
        <v>1516308.6277777494</v>
      </c>
      <c r="I19" s="363"/>
      <c r="J19" s="364"/>
      <c r="K19" s="365"/>
      <c r="L19" s="366"/>
    </row>
    <row r="20" spans="1:12" x14ac:dyDescent="0.25">
      <c r="A20" s="94">
        <f>IF(C20&lt;&gt;"",'Cash Flow Analysis'!A67,"")</f>
        <v>2039</v>
      </c>
      <c r="B20" s="314">
        <f t="shared" si="1"/>
        <v>6</v>
      </c>
      <c r="C20" s="314">
        <f t="shared" si="2"/>
        <v>3</v>
      </c>
      <c r="D20" s="483"/>
      <c r="E20" s="217">
        <f>+'Carbon Sequestration'!$C$100*(C20&lt;=anal_period)</f>
        <v>0</v>
      </c>
      <c r="F20" s="217">
        <f t="shared" si="0"/>
        <v>0</v>
      </c>
      <c r="G20" s="217">
        <f t="shared" ca="1" si="3"/>
        <v>965177.50172626507</v>
      </c>
      <c r="H20" s="218">
        <f t="shared" ca="1" si="4"/>
        <v>1516308.6277777494</v>
      </c>
      <c r="I20" s="363"/>
      <c r="J20" s="364"/>
      <c r="K20" s="365"/>
      <c r="L20" s="366"/>
    </row>
    <row r="21" spans="1:12" x14ac:dyDescent="0.25">
      <c r="A21" s="94">
        <f>IF(C21&lt;&gt;"",'Cash Flow Analysis'!A68,"")</f>
        <v>2040</v>
      </c>
      <c r="B21" s="314">
        <f t="shared" si="1"/>
        <v>7</v>
      </c>
      <c r="C21" s="314">
        <f t="shared" si="2"/>
        <v>4</v>
      </c>
      <c r="D21" s="483"/>
      <c r="E21" s="217">
        <f>+'Carbon Sequestration'!$C$100*(C21&lt;=anal_period)</f>
        <v>0</v>
      </c>
      <c r="F21" s="217">
        <f t="shared" si="0"/>
        <v>0</v>
      </c>
      <c r="G21" s="217">
        <f t="shared" ca="1" si="3"/>
        <v>965177.50172626507</v>
      </c>
      <c r="H21" s="218">
        <f t="shared" ca="1" si="4"/>
        <v>1516308.6277777494</v>
      </c>
      <c r="I21" s="363"/>
      <c r="J21" s="364"/>
      <c r="K21" s="365"/>
      <c r="L21" s="366"/>
    </row>
    <row r="22" spans="1:12" x14ac:dyDescent="0.25">
      <c r="A22" s="94">
        <f>IF(C22&lt;&gt;"",'Cash Flow Analysis'!A69,"")</f>
        <v>2041</v>
      </c>
      <c r="B22" s="314">
        <f t="shared" si="1"/>
        <v>8</v>
      </c>
      <c r="C22" s="314">
        <f t="shared" si="2"/>
        <v>5</v>
      </c>
      <c r="D22" s="483"/>
      <c r="E22" s="217">
        <f>+'Carbon Sequestration'!$C$100*(C22&lt;=anal_period)</f>
        <v>0</v>
      </c>
      <c r="F22" s="217">
        <f t="shared" si="0"/>
        <v>0</v>
      </c>
      <c r="G22" s="217">
        <f t="shared" ca="1" si="3"/>
        <v>965177.50172626507</v>
      </c>
      <c r="H22" s="218">
        <f t="shared" ca="1" si="4"/>
        <v>1516308.6277777494</v>
      </c>
      <c r="I22" s="363"/>
      <c r="J22" s="364"/>
      <c r="K22" s="903"/>
      <c r="L22" s="904"/>
    </row>
    <row r="23" spans="1:12" x14ac:dyDescent="0.25">
      <c r="A23" s="94">
        <f>IF(C23&lt;&gt;"",'Cash Flow Analysis'!A70,"")</f>
        <v>2042</v>
      </c>
      <c r="B23" s="314">
        <f t="shared" si="1"/>
        <v>9</v>
      </c>
      <c r="C23" s="314">
        <f t="shared" si="2"/>
        <v>6</v>
      </c>
      <c r="D23" s="483"/>
      <c r="E23" s="217">
        <f>+'Carbon Sequestration'!$C$100*(C23&lt;=anal_period)</f>
        <v>0</v>
      </c>
      <c r="F23" s="217">
        <f t="shared" si="0"/>
        <v>0</v>
      </c>
      <c r="G23" s="217">
        <f t="shared" ca="1" si="3"/>
        <v>965177.50172626507</v>
      </c>
      <c r="H23" s="218">
        <f t="shared" ca="1" si="4"/>
        <v>1516308.6277777494</v>
      </c>
      <c r="I23" s="363"/>
      <c r="J23" s="364"/>
      <c r="K23" s="365"/>
      <c r="L23" s="366"/>
    </row>
    <row r="24" spans="1:12" x14ac:dyDescent="0.25">
      <c r="A24" s="94">
        <f>IF(C24&lt;&gt;"",'Cash Flow Analysis'!A71,"")</f>
        <v>2043</v>
      </c>
      <c r="B24" s="314">
        <f t="shared" si="1"/>
        <v>10</v>
      </c>
      <c r="C24" s="314">
        <f t="shared" si="2"/>
        <v>7</v>
      </c>
      <c r="D24" s="483"/>
      <c r="E24" s="217">
        <f>+'Carbon Sequestration'!$C$100*(C24&lt;=anal_period)</f>
        <v>0</v>
      </c>
      <c r="F24" s="217">
        <f t="shared" si="0"/>
        <v>0</v>
      </c>
      <c r="G24" s="217">
        <f t="shared" ca="1" si="3"/>
        <v>965177.50172626507</v>
      </c>
      <c r="H24" s="218">
        <f t="shared" ca="1" si="4"/>
        <v>1516308.6277777494</v>
      </c>
      <c r="I24" s="363"/>
      <c r="J24" s="364"/>
      <c r="K24" s="365"/>
      <c r="L24" s="366"/>
    </row>
    <row r="25" spans="1:12" x14ac:dyDescent="0.25">
      <c r="A25" s="94">
        <f>IF(C25&lt;&gt;"",'Cash Flow Analysis'!A72,"")</f>
        <v>2044</v>
      </c>
      <c r="B25" s="314">
        <f t="shared" si="1"/>
        <v>11</v>
      </c>
      <c r="C25" s="314">
        <f t="shared" si="2"/>
        <v>8</v>
      </c>
      <c r="D25" s="483"/>
      <c r="E25" s="217">
        <f>+'Carbon Sequestration'!$C$100*(C25&lt;=anal_period)</f>
        <v>0</v>
      </c>
      <c r="F25" s="217">
        <f t="shared" si="0"/>
        <v>0</v>
      </c>
      <c r="G25" s="217">
        <f t="shared" ca="1" si="3"/>
        <v>965177.50172626507</v>
      </c>
      <c r="H25" s="218">
        <f t="shared" ca="1" si="4"/>
        <v>1516308.6277777494</v>
      </c>
      <c r="I25" s="363"/>
      <c r="J25" s="364"/>
      <c r="K25" s="365"/>
      <c r="L25" s="366"/>
    </row>
    <row r="26" spans="1:12" x14ac:dyDescent="0.25">
      <c r="A26" s="94">
        <f>IF(C26&lt;&gt;"",'Cash Flow Analysis'!A73,"")</f>
        <v>2045</v>
      </c>
      <c r="B26" s="314">
        <f t="shared" si="1"/>
        <v>12</v>
      </c>
      <c r="C26" s="314">
        <f t="shared" si="2"/>
        <v>9</v>
      </c>
      <c r="D26" s="483"/>
      <c r="E26" s="217">
        <f>+'Carbon Sequestration'!$C$100*(C26&lt;=anal_period)</f>
        <v>0</v>
      </c>
      <c r="F26" s="217">
        <f t="shared" si="0"/>
        <v>0</v>
      </c>
      <c r="G26" s="217">
        <f t="shared" ca="1" si="3"/>
        <v>965177.50172626507</v>
      </c>
      <c r="H26" s="218">
        <f t="shared" ca="1" si="4"/>
        <v>1516308.6277777494</v>
      </c>
      <c r="I26" s="363"/>
      <c r="J26" s="364"/>
      <c r="K26" s="365"/>
      <c r="L26" s="366"/>
    </row>
    <row r="27" spans="1:12" x14ac:dyDescent="0.25">
      <c r="A27" s="94">
        <f>IF(C27&lt;&gt;"",'Cash Flow Analysis'!A74,"")</f>
        <v>2046</v>
      </c>
      <c r="B27" s="314">
        <f t="shared" si="1"/>
        <v>13</v>
      </c>
      <c r="C27" s="314">
        <f t="shared" si="2"/>
        <v>10</v>
      </c>
      <c r="D27" s="483"/>
      <c r="E27" s="217">
        <f>+'Carbon Sequestration'!$C$100*(C27&lt;=anal_period)</f>
        <v>0</v>
      </c>
      <c r="F27" s="217">
        <f t="shared" si="0"/>
        <v>0</v>
      </c>
      <c r="G27" s="217">
        <f t="shared" ca="1" si="3"/>
        <v>965177.50172626507</v>
      </c>
      <c r="H27" s="218">
        <f t="shared" ca="1" si="4"/>
        <v>1516308.6277777494</v>
      </c>
      <c r="I27" s="363"/>
      <c r="J27" s="364"/>
      <c r="K27" s="365"/>
      <c r="L27" s="366"/>
    </row>
    <row r="28" spans="1:12" x14ac:dyDescent="0.25">
      <c r="A28" s="94">
        <f>IF(C28&lt;&gt;"",'Cash Flow Analysis'!A75,"")</f>
        <v>2047</v>
      </c>
      <c r="B28" s="314">
        <f t="shared" si="1"/>
        <v>14</v>
      </c>
      <c r="C28" s="314">
        <f t="shared" si="2"/>
        <v>11</v>
      </c>
      <c r="D28" s="483"/>
      <c r="E28" s="217">
        <f>+'Carbon Sequestration'!$C$100*(C28&lt;=anal_period)</f>
        <v>0</v>
      </c>
      <c r="F28" s="217">
        <f t="shared" si="0"/>
        <v>0</v>
      </c>
      <c r="G28" s="217">
        <f t="shared" ca="1" si="3"/>
        <v>965177.50172626507</v>
      </c>
      <c r="H28" s="218">
        <f t="shared" ca="1" si="4"/>
        <v>1516308.6277777494</v>
      </c>
      <c r="I28" s="363"/>
      <c r="J28" s="364"/>
      <c r="K28" s="365"/>
      <c r="L28" s="366"/>
    </row>
    <row r="29" spans="1:12" x14ac:dyDescent="0.25">
      <c r="A29" s="94">
        <f>IF(C29&lt;&gt;"",'Cash Flow Analysis'!A76,"")</f>
        <v>2048</v>
      </c>
      <c r="B29" s="314">
        <f t="shared" si="1"/>
        <v>15</v>
      </c>
      <c r="C29" s="314">
        <f t="shared" si="2"/>
        <v>12</v>
      </c>
      <c r="D29" s="483"/>
      <c r="E29" s="217">
        <f>+'Carbon Sequestration'!$C$100*(C29&lt;=anal_period)</f>
        <v>0</v>
      </c>
      <c r="F29" s="217">
        <f t="shared" si="0"/>
        <v>0</v>
      </c>
      <c r="G29" s="217">
        <f t="shared" ca="1" si="3"/>
        <v>965177.50172626507</v>
      </c>
      <c r="H29" s="218">
        <f t="shared" ca="1" si="4"/>
        <v>1516308.6277777494</v>
      </c>
      <c r="I29" s="363"/>
      <c r="J29" s="364"/>
      <c r="K29" s="365"/>
      <c r="L29" s="366"/>
    </row>
    <row r="30" spans="1:12" x14ac:dyDescent="0.25">
      <c r="A30" s="94">
        <f>IF(C30&lt;&gt;"",'Cash Flow Analysis'!A77,"")</f>
        <v>2049</v>
      </c>
      <c r="B30" s="314">
        <f t="shared" si="1"/>
        <v>16</v>
      </c>
      <c r="C30" s="314">
        <f t="shared" si="2"/>
        <v>13</v>
      </c>
      <c r="D30" s="483"/>
      <c r="E30" s="217">
        <f>+'Carbon Sequestration'!$C$100*(C30&lt;=anal_period)</f>
        <v>0</v>
      </c>
      <c r="F30" s="217">
        <f t="shared" si="0"/>
        <v>0</v>
      </c>
      <c r="G30" s="217">
        <f t="shared" ca="1" si="3"/>
        <v>965177.50172626507</v>
      </c>
      <c r="H30" s="218">
        <f t="shared" ca="1" si="4"/>
        <v>1516308.6277777494</v>
      </c>
      <c r="I30" s="363"/>
      <c r="J30" s="364"/>
      <c r="K30" s="365"/>
      <c r="L30" s="366"/>
    </row>
    <row r="31" spans="1:12" x14ac:dyDescent="0.25">
      <c r="A31" s="94">
        <f>IF(C31&lt;&gt;"",'Cash Flow Analysis'!A78,"")</f>
        <v>2050</v>
      </c>
      <c r="B31" s="314">
        <f t="shared" si="1"/>
        <v>17</v>
      </c>
      <c r="C31" s="314">
        <f t="shared" si="2"/>
        <v>14</v>
      </c>
      <c r="D31" s="483"/>
      <c r="E31" s="217">
        <f>+'Carbon Sequestration'!$C$100*(C31&lt;=anal_period)</f>
        <v>0</v>
      </c>
      <c r="F31" s="217">
        <f t="shared" si="0"/>
        <v>0</v>
      </c>
      <c r="G31" s="217">
        <f t="shared" ca="1" si="3"/>
        <v>965177.50172626507</v>
      </c>
      <c r="H31" s="218">
        <f t="shared" ca="1" si="4"/>
        <v>1516308.6277777494</v>
      </c>
      <c r="I31" s="363"/>
      <c r="J31" s="364"/>
      <c r="K31" s="365"/>
      <c r="L31" s="366"/>
    </row>
    <row r="32" spans="1:12" x14ac:dyDescent="0.25">
      <c r="A32" s="94">
        <f>IF(C32&lt;&gt;"",'Cash Flow Analysis'!A79,"")</f>
        <v>2051</v>
      </c>
      <c r="B32" s="314">
        <f t="shared" si="1"/>
        <v>18</v>
      </c>
      <c r="C32" s="314">
        <f t="shared" si="2"/>
        <v>15</v>
      </c>
      <c r="D32" s="483"/>
      <c r="E32" s="217">
        <f>+'Carbon Sequestration'!$C$100*(C32&lt;=anal_period)</f>
        <v>0</v>
      </c>
      <c r="F32" s="217">
        <f t="shared" si="0"/>
        <v>0</v>
      </c>
      <c r="G32" s="217">
        <f t="shared" ca="1" si="3"/>
        <v>965177.50172626507</v>
      </c>
      <c r="H32" s="218">
        <f t="shared" ca="1" si="4"/>
        <v>1516308.6277777494</v>
      </c>
      <c r="I32" s="363"/>
      <c r="J32" s="364"/>
      <c r="K32" s="365"/>
      <c r="L32" s="366"/>
    </row>
    <row r="33" spans="1:12" x14ac:dyDescent="0.25">
      <c r="A33" s="94">
        <f>IF(C33&lt;&gt;"",'Cash Flow Analysis'!A80,"")</f>
        <v>2052</v>
      </c>
      <c r="B33" s="314">
        <f t="shared" si="1"/>
        <v>19</v>
      </c>
      <c r="C33" s="314">
        <f t="shared" si="2"/>
        <v>16</v>
      </c>
      <c r="D33" s="483"/>
      <c r="E33" s="217">
        <f>+'Carbon Sequestration'!$C$100*(C33&lt;=anal_period)</f>
        <v>0</v>
      </c>
      <c r="F33" s="217">
        <f t="shared" si="0"/>
        <v>0</v>
      </c>
      <c r="G33" s="217">
        <f t="shared" ca="1" si="3"/>
        <v>965177.50172626507</v>
      </c>
      <c r="H33" s="218">
        <f t="shared" ca="1" si="4"/>
        <v>1516308.6277777494</v>
      </c>
      <c r="I33" s="363"/>
      <c r="J33" s="364"/>
      <c r="K33" s="365"/>
      <c r="L33" s="366"/>
    </row>
    <row r="34" spans="1:12" x14ac:dyDescent="0.25">
      <c r="A34" s="94">
        <f>IF(C34&lt;&gt;"",'Cash Flow Analysis'!A81,"")</f>
        <v>2053</v>
      </c>
      <c r="B34" s="314">
        <f t="shared" si="1"/>
        <v>20</v>
      </c>
      <c r="C34" s="314">
        <f t="shared" si="2"/>
        <v>17</v>
      </c>
      <c r="D34" s="483"/>
      <c r="E34" s="217">
        <f>+'Carbon Sequestration'!$C$100*(C34&lt;=anal_period)</f>
        <v>0</v>
      </c>
      <c r="F34" s="217">
        <f t="shared" si="0"/>
        <v>0</v>
      </c>
      <c r="G34" s="217">
        <f t="shared" ca="1" si="3"/>
        <v>965177.50172626507</v>
      </c>
      <c r="H34" s="218">
        <f t="shared" ca="1" si="4"/>
        <v>1516308.6277777494</v>
      </c>
      <c r="I34" s="363"/>
      <c r="J34" s="364"/>
      <c r="K34" s="365"/>
      <c r="L34" s="366"/>
    </row>
    <row r="35" spans="1:12" x14ac:dyDescent="0.25">
      <c r="A35" s="94">
        <f>IF(C35&lt;&gt;"",'Cash Flow Analysis'!A82,"")</f>
        <v>2054</v>
      </c>
      <c r="B35" s="314">
        <f t="shared" si="1"/>
        <v>21</v>
      </c>
      <c r="C35" s="314">
        <f t="shared" si="2"/>
        <v>18</v>
      </c>
      <c r="D35" s="483"/>
      <c r="E35" s="217">
        <f>+'Carbon Sequestration'!$C$100*(C35&lt;=anal_period)</f>
        <v>0</v>
      </c>
      <c r="F35" s="217">
        <f t="shared" si="0"/>
        <v>0</v>
      </c>
      <c r="G35" s="217">
        <f t="shared" ca="1" si="3"/>
        <v>965177.50172626507</v>
      </c>
      <c r="H35" s="218">
        <f t="shared" ca="1" si="4"/>
        <v>1516308.6277777494</v>
      </c>
      <c r="I35" s="363"/>
      <c r="J35" s="364"/>
      <c r="K35" s="365"/>
      <c r="L35" s="366"/>
    </row>
    <row r="36" spans="1:12" x14ac:dyDescent="0.25">
      <c r="A36" s="94">
        <f>IF(C36&lt;&gt;"",'Cash Flow Analysis'!A83,"")</f>
        <v>2055</v>
      </c>
      <c r="B36" s="314">
        <f t="shared" si="1"/>
        <v>22</v>
      </c>
      <c r="C36" s="314">
        <f t="shared" si="2"/>
        <v>19</v>
      </c>
      <c r="D36" s="483"/>
      <c r="E36" s="217">
        <f>+'Carbon Sequestration'!$C$100*(C36&lt;=anal_period)</f>
        <v>0</v>
      </c>
      <c r="F36" s="217">
        <f t="shared" si="0"/>
        <v>0</v>
      </c>
      <c r="G36" s="217">
        <f t="shared" ca="1" si="3"/>
        <v>965177.50172626507</v>
      </c>
      <c r="H36" s="218">
        <f t="shared" ca="1" si="4"/>
        <v>1516308.6277777494</v>
      </c>
      <c r="I36" s="363"/>
      <c r="J36" s="364"/>
      <c r="K36" s="365"/>
      <c r="L36" s="366"/>
    </row>
    <row r="37" spans="1:12" x14ac:dyDescent="0.25">
      <c r="A37" s="94">
        <f>IF(C37&lt;&gt;"",'Cash Flow Analysis'!A84,"")</f>
        <v>2056</v>
      </c>
      <c r="B37" s="314">
        <f t="shared" si="1"/>
        <v>23</v>
      </c>
      <c r="C37" s="314">
        <f t="shared" si="2"/>
        <v>20</v>
      </c>
      <c r="D37" s="483"/>
      <c r="E37" s="217">
        <f>+'Carbon Sequestration'!$C$100*(C37&lt;=anal_period)</f>
        <v>0</v>
      </c>
      <c r="F37" s="217">
        <f t="shared" si="0"/>
        <v>0</v>
      </c>
      <c r="G37" s="217">
        <f t="shared" ca="1" si="3"/>
        <v>965177.50172626507</v>
      </c>
      <c r="H37" s="218">
        <f t="shared" ca="1" si="4"/>
        <v>1516308.6277777494</v>
      </c>
      <c r="I37" s="363"/>
      <c r="J37" s="364"/>
      <c r="K37" s="365"/>
      <c r="L37" s="366"/>
    </row>
    <row r="38" spans="1:12" x14ac:dyDescent="0.25">
      <c r="A38" s="94">
        <f>IF(C38&lt;&gt;"",'Cash Flow Analysis'!A85,"")</f>
        <v>2057</v>
      </c>
      <c r="B38" s="314">
        <f t="shared" si="1"/>
        <v>24</v>
      </c>
      <c r="C38" s="314">
        <f t="shared" si="2"/>
        <v>21</v>
      </c>
      <c r="D38" s="483"/>
      <c r="E38" s="217">
        <f>+'Carbon Sequestration'!$C$100*(C38&lt;=anal_period)</f>
        <v>0</v>
      </c>
      <c r="F38" s="217">
        <f t="shared" si="0"/>
        <v>0</v>
      </c>
      <c r="G38" s="217">
        <f t="shared" ca="1" si="3"/>
        <v>965177.50172626507</v>
      </c>
      <c r="H38" s="218">
        <f t="shared" ca="1" si="4"/>
        <v>1516308.6277777494</v>
      </c>
      <c r="I38" s="363"/>
      <c r="J38" s="364"/>
      <c r="K38" s="365"/>
      <c r="L38" s="366"/>
    </row>
    <row r="39" spans="1:12" x14ac:dyDescent="0.25">
      <c r="A39" s="94">
        <f>IF(C39&lt;&gt;"",'Cash Flow Analysis'!A86,"")</f>
        <v>2058</v>
      </c>
      <c r="B39" s="314">
        <f t="shared" si="1"/>
        <v>25</v>
      </c>
      <c r="C39" s="314">
        <f t="shared" si="2"/>
        <v>22</v>
      </c>
      <c r="D39" s="483"/>
      <c r="E39" s="217">
        <f>+'Carbon Sequestration'!$C$100*(C39&lt;=anal_period)</f>
        <v>0</v>
      </c>
      <c r="F39" s="217">
        <f t="shared" si="0"/>
        <v>0</v>
      </c>
      <c r="G39" s="217">
        <f t="shared" ca="1" si="3"/>
        <v>965177.50172626507</v>
      </c>
      <c r="H39" s="218">
        <f t="shared" ca="1" si="4"/>
        <v>1516308.6277777494</v>
      </c>
      <c r="I39" s="363"/>
      <c r="J39" s="364"/>
      <c r="K39" s="365"/>
      <c r="L39" s="366"/>
    </row>
    <row r="40" spans="1:12" x14ac:dyDescent="0.25">
      <c r="A40" s="94">
        <f>IF(C40&lt;&gt;"",'Cash Flow Analysis'!A87,"")</f>
        <v>2059</v>
      </c>
      <c r="B40" s="314">
        <f t="shared" si="1"/>
        <v>26</v>
      </c>
      <c r="C40" s="314">
        <f t="shared" si="2"/>
        <v>23</v>
      </c>
      <c r="D40" s="483"/>
      <c r="E40" s="217">
        <f>+'Carbon Sequestration'!$C$100*(C40&lt;=anal_period)</f>
        <v>0</v>
      </c>
      <c r="F40" s="217">
        <f t="shared" si="0"/>
        <v>0</v>
      </c>
      <c r="G40" s="217">
        <f t="shared" ca="1" si="3"/>
        <v>965177.50172626507</v>
      </c>
      <c r="H40" s="218">
        <f t="shared" ca="1" si="4"/>
        <v>1516308.6277777494</v>
      </c>
      <c r="I40" s="363"/>
      <c r="J40" s="364"/>
      <c r="K40" s="365"/>
      <c r="L40" s="366"/>
    </row>
    <row r="41" spans="1:12" x14ac:dyDescent="0.25">
      <c r="A41" s="94">
        <f>IF(C41&lt;&gt;"",'Cash Flow Analysis'!A88,"")</f>
        <v>2060</v>
      </c>
      <c r="B41" s="314">
        <f t="shared" si="1"/>
        <v>27</v>
      </c>
      <c r="C41" s="314">
        <f t="shared" si="2"/>
        <v>24</v>
      </c>
      <c r="D41" s="483"/>
      <c r="E41" s="217">
        <f>+'Carbon Sequestration'!$C$100*(C41&lt;=anal_period)</f>
        <v>0</v>
      </c>
      <c r="F41" s="217">
        <f t="shared" si="0"/>
        <v>0</v>
      </c>
      <c r="G41" s="217">
        <f t="shared" ca="1" si="3"/>
        <v>965177.50172626507</v>
      </c>
      <c r="H41" s="218">
        <f t="shared" ca="1" si="4"/>
        <v>1516308.6277777494</v>
      </c>
      <c r="I41" s="363"/>
      <c r="J41" s="364"/>
      <c r="K41" s="365"/>
      <c r="L41" s="366"/>
    </row>
    <row r="42" spans="1:12" x14ac:dyDescent="0.25">
      <c r="A42" s="94">
        <f>IF(C42&lt;&gt;"",'Cash Flow Analysis'!A89,"")</f>
        <v>2061</v>
      </c>
      <c r="B42" s="314">
        <f t="shared" si="1"/>
        <v>28</v>
      </c>
      <c r="C42" s="314">
        <f t="shared" si="2"/>
        <v>25</v>
      </c>
      <c r="D42" s="483"/>
      <c r="E42" s="217">
        <f>+'Carbon Sequestration'!$C$100*(C42&lt;=anal_period)</f>
        <v>0</v>
      </c>
      <c r="F42" s="217">
        <f t="shared" si="0"/>
        <v>0</v>
      </c>
      <c r="G42" s="217">
        <f t="shared" ca="1" si="3"/>
        <v>965177.50172626507</v>
      </c>
      <c r="H42" s="218">
        <f t="shared" ca="1" si="4"/>
        <v>1516308.6277777494</v>
      </c>
      <c r="I42" s="363"/>
      <c r="J42" s="364"/>
      <c r="K42" s="365"/>
      <c r="L42" s="366"/>
    </row>
    <row r="43" spans="1:12" x14ac:dyDescent="0.25">
      <c r="A43" s="94">
        <f>IF(C43&lt;&gt;"",'Cash Flow Analysis'!A90,"")</f>
        <v>2062</v>
      </c>
      <c r="B43" s="314">
        <f t="shared" si="1"/>
        <v>29</v>
      </c>
      <c r="C43" s="314">
        <f t="shared" si="2"/>
        <v>26</v>
      </c>
      <c r="D43" s="483"/>
      <c r="E43" s="217">
        <f>+'Carbon Sequestration'!$C$100*(C43&lt;=anal_period)</f>
        <v>0</v>
      </c>
      <c r="F43" s="217">
        <f t="shared" si="0"/>
        <v>0</v>
      </c>
      <c r="G43" s="217">
        <f t="shared" ca="1" si="3"/>
        <v>965177.50172626507</v>
      </c>
      <c r="H43" s="218">
        <f t="shared" ca="1" si="4"/>
        <v>1516308.6277777494</v>
      </c>
      <c r="I43" s="363"/>
      <c r="J43" s="364"/>
      <c r="K43" s="365"/>
      <c r="L43" s="366"/>
    </row>
    <row r="44" spans="1:12" x14ac:dyDescent="0.25">
      <c r="A44" s="94">
        <f>IF(C44&lt;&gt;"",'Cash Flow Analysis'!A91,"")</f>
        <v>2063</v>
      </c>
      <c r="B44" s="314">
        <f t="shared" si="1"/>
        <v>30</v>
      </c>
      <c r="C44" s="314">
        <f t="shared" si="2"/>
        <v>27</v>
      </c>
      <c r="D44" s="483"/>
      <c r="E44" s="217">
        <f>+'Carbon Sequestration'!$C$100*(C44&lt;=anal_period)</f>
        <v>0</v>
      </c>
      <c r="F44" s="217">
        <f t="shared" si="0"/>
        <v>0</v>
      </c>
      <c r="G44" s="217">
        <f t="shared" ca="1" si="3"/>
        <v>965177.50172626507</v>
      </c>
      <c r="H44" s="218">
        <f t="shared" ca="1" si="4"/>
        <v>1516308.6277777494</v>
      </c>
      <c r="I44" s="363"/>
      <c r="J44" s="364"/>
      <c r="K44" s="365"/>
      <c r="L44" s="366"/>
    </row>
    <row r="45" spans="1:12" x14ac:dyDescent="0.25">
      <c r="A45" s="94">
        <f>IF(C45&lt;&gt;"",'Cash Flow Analysis'!A92,"")</f>
        <v>2064</v>
      </c>
      <c r="B45" s="314">
        <f t="shared" si="1"/>
        <v>31</v>
      </c>
      <c r="C45" s="314">
        <f t="shared" si="2"/>
        <v>28</v>
      </c>
      <c r="D45" s="483"/>
      <c r="E45" s="217">
        <f>+'Carbon Sequestration'!$C$100*(C45&lt;=anal_period)</f>
        <v>0</v>
      </c>
      <c r="F45" s="217">
        <f t="shared" si="0"/>
        <v>0</v>
      </c>
      <c r="G45" s="217">
        <f t="shared" ca="1" si="3"/>
        <v>965177.50172626507</v>
      </c>
      <c r="H45" s="218">
        <f t="shared" ca="1" si="4"/>
        <v>1516308.6277777494</v>
      </c>
      <c r="I45" s="363"/>
      <c r="J45" s="364"/>
      <c r="K45" s="365"/>
      <c r="L45" s="366"/>
    </row>
    <row r="46" spans="1:12" x14ac:dyDescent="0.25">
      <c r="A46" s="94">
        <f>IF(C46&lt;&gt;"",'Cash Flow Analysis'!A93,"")</f>
        <v>2065</v>
      </c>
      <c r="B46" s="314">
        <f t="shared" si="1"/>
        <v>32</v>
      </c>
      <c r="C46" s="314">
        <f t="shared" si="2"/>
        <v>29</v>
      </c>
      <c r="D46" s="483"/>
      <c r="E46" s="217">
        <f>+'Carbon Sequestration'!$C$100*(C46&lt;=anal_period)</f>
        <v>0</v>
      </c>
      <c r="F46" s="217">
        <f t="shared" si="0"/>
        <v>0</v>
      </c>
      <c r="G46" s="217">
        <f t="shared" ca="1" si="3"/>
        <v>965177.50172626507</v>
      </c>
      <c r="H46" s="218">
        <f t="shared" ca="1" si="4"/>
        <v>1516308.6277777494</v>
      </c>
      <c r="I46" s="363"/>
      <c r="J46" s="364"/>
      <c r="K46" s="365"/>
      <c r="L46" s="366"/>
    </row>
    <row r="47" spans="1:12" x14ac:dyDescent="0.25">
      <c r="A47" s="94">
        <f>IF(C47&lt;&gt;"",'Cash Flow Analysis'!A94,"")</f>
        <v>2066</v>
      </c>
      <c r="B47" s="314">
        <f t="shared" si="1"/>
        <v>33</v>
      </c>
      <c r="C47" s="314">
        <f t="shared" si="2"/>
        <v>30</v>
      </c>
      <c r="D47" s="483"/>
      <c r="E47" s="217">
        <f>+'Carbon Sequestration'!$C$100*(C47&lt;=anal_period)</f>
        <v>0</v>
      </c>
      <c r="F47" s="217">
        <f t="shared" si="0"/>
        <v>0</v>
      </c>
      <c r="G47" s="217">
        <f t="shared" ca="1" si="3"/>
        <v>965177.50172626507</v>
      </c>
      <c r="H47" s="218">
        <f t="shared" ca="1" si="4"/>
        <v>1516308.6277777494</v>
      </c>
      <c r="I47" s="363"/>
      <c r="J47" s="364"/>
      <c r="K47" s="365"/>
      <c r="L47" s="366"/>
    </row>
    <row r="48" spans="1:12" x14ac:dyDescent="0.25">
      <c r="A48" s="94">
        <f>IF(C48&lt;&gt;"",'Cash Flow Analysis'!A95,"")</f>
        <v>2067</v>
      </c>
      <c r="B48" s="314">
        <f t="shared" si="1"/>
        <v>34</v>
      </c>
      <c r="C48" s="314">
        <f t="shared" si="2"/>
        <v>31</v>
      </c>
      <c r="D48" s="483"/>
      <c r="E48" s="217">
        <f>+'Carbon Sequestration'!$C$100*(C48&lt;=anal_period)</f>
        <v>0</v>
      </c>
      <c r="F48" s="217">
        <f t="shared" si="0"/>
        <v>0</v>
      </c>
      <c r="G48" s="217">
        <f t="shared" ca="1" si="3"/>
        <v>965177.50172626507</v>
      </c>
      <c r="H48" s="218">
        <f t="shared" ca="1" si="4"/>
        <v>1516308.6277777494</v>
      </c>
      <c r="I48" s="363"/>
      <c r="J48" s="364"/>
      <c r="K48" s="365"/>
      <c r="L48" s="366"/>
    </row>
    <row r="49" spans="1:12" x14ac:dyDescent="0.25">
      <c r="A49" s="94">
        <f>IF(C49&lt;&gt;"",'Cash Flow Analysis'!A96,"")</f>
        <v>2068</v>
      </c>
      <c r="B49" s="314">
        <f t="shared" si="1"/>
        <v>35</v>
      </c>
      <c r="C49" s="314">
        <f t="shared" si="2"/>
        <v>32</v>
      </c>
      <c r="D49" s="483"/>
      <c r="E49" s="217">
        <f>+'Carbon Sequestration'!$C$100*(C49&lt;=anal_period)</f>
        <v>0</v>
      </c>
      <c r="F49" s="217">
        <f t="shared" si="0"/>
        <v>0</v>
      </c>
      <c r="G49" s="217">
        <f t="shared" ca="1" si="3"/>
        <v>965177.50172626507</v>
      </c>
      <c r="H49" s="218">
        <f t="shared" ca="1" si="4"/>
        <v>1516308.6277777494</v>
      </c>
      <c r="I49" s="363"/>
      <c r="J49" s="364"/>
      <c r="K49" s="365"/>
      <c r="L49" s="366"/>
    </row>
    <row r="50" spans="1:12" x14ac:dyDescent="0.25">
      <c r="A50" s="94">
        <f>IF(C50&lt;&gt;"",'Cash Flow Analysis'!A97,"")</f>
        <v>2069</v>
      </c>
      <c r="B50" s="314">
        <f t="shared" si="1"/>
        <v>36</v>
      </c>
      <c r="C50" s="314">
        <f t="shared" si="2"/>
        <v>33</v>
      </c>
      <c r="D50" s="483"/>
      <c r="E50" s="217">
        <f>+'Carbon Sequestration'!$C$100*(C50&lt;=anal_period)</f>
        <v>0</v>
      </c>
      <c r="F50" s="217">
        <f t="shared" si="0"/>
        <v>0</v>
      </c>
      <c r="G50" s="217">
        <f t="shared" ca="1" si="3"/>
        <v>965177.50172626507</v>
      </c>
      <c r="H50" s="218">
        <f t="shared" ca="1" si="4"/>
        <v>1516308.6277777494</v>
      </c>
      <c r="I50" s="363"/>
      <c r="J50" s="364"/>
      <c r="K50" s="365"/>
      <c r="L50" s="366"/>
    </row>
    <row r="51" spans="1:12" x14ac:dyDescent="0.25">
      <c r="A51" s="94">
        <f>IF(C51&lt;&gt;"",'Cash Flow Analysis'!A98,"")</f>
        <v>2070</v>
      </c>
      <c r="B51" s="314">
        <f t="shared" si="1"/>
        <v>37</v>
      </c>
      <c r="C51" s="314">
        <f t="shared" si="2"/>
        <v>34</v>
      </c>
      <c r="D51" s="483"/>
      <c r="E51" s="217">
        <f>+'Carbon Sequestration'!$C$100*(C51&lt;=anal_period)</f>
        <v>0</v>
      </c>
      <c r="F51" s="217">
        <f t="shared" si="0"/>
        <v>0</v>
      </c>
      <c r="G51" s="217">
        <f t="shared" ca="1" si="3"/>
        <v>965177.50172626507</v>
      </c>
      <c r="H51" s="218">
        <f t="shared" ca="1" si="4"/>
        <v>1516308.6277777494</v>
      </c>
      <c r="I51" s="363"/>
      <c r="J51" s="364"/>
      <c r="K51" s="365"/>
      <c r="L51" s="366"/>
    </row>
    <row r="52" spans="1:12" x14ac:dyDescent="0.25">
      <c r="A52" s="94">
        <f>IF(C52&lt;&gt;"",'Cash Flow Analysis'!A99,"")</f>
        <v>2071</v>
      </c>
      <c r="B52" s="314">
        <f t="shared" si="1"/>
        <v>38</v>
      </c>
      <c r="C52" s="314">
        <f t="shared" si="2"/>
        <v>35</v>
      </c>
      <c r="D52" s="483"/>
      <c r="E52" s="217">
        <f>+'Carbon Sequestration'!$C$100*(C52&lt;=anal_period)</f>
        <v>0</v>
      </c>
      <c r="F52" s="217">
        <f t="shared" si="0"/>
        <v>0</v>
      </c>
      <c r="G52" s="217">
        <f t="shared" ca="1" si="3"/>
        <v>965177.50172626507</v>
      </c>
      <c r="H52" s="218">
        <f t="shared" ca="1" si="4"/>
        <v>1516308.6277777494</v>
      </c>
      <c r="I52" s="363"/>
      <c r="J52" s="364"/>
      <c r="K52" s="365"/>
      <c r="L52" s="366"/>
    </row>
    <row r="53" spans="1:12" x14ac:dyDescent="0.25">
      <c r="A53" s="94">
        <f>IF(C53&lt;&gt;"",'Cash Flow Analysis'!A100,"")</f>
        <v>2072</v>
      </c>
      <c r="B53" s="314">
        <f t="shared" si="1"/>
        <v>39</v>
      </c>
      <c r="C53" s="314">
        <f t="shared" si="2"/>
        <v>36</v>
      </c>
      <c r="D53" s="483"/>
      <c r="E53" s="217">
        <f>+'Carbon Sequestration'!$C$100*(C53&lt;=anal_period)</f>
        <v>0</v>
      </c>
      <c r="F53" s="217">
        <f t="shared" si="0"/>
        <v>0</v>
      </c>
      <c r="G53" s="217">
        <f t="shared" ca="1" si="3"/>
        <v>965177.50172626507</v>
      </c>
      <c r="H53" s="218">
        <f t="shared" ca="1" si="4"/>
        <v>1516308.6277777494</v>
      </c>
      <c r="I53" s="363"/>
      <c r="J53" s="364"/>
      <c r="K53" s="365"/>
      <c r="L53" s="366"/>
    </row>
    <row r="54" spans="1:12" x14ac:dyDescent="0.25">
      <c r="A54" s="94">
        <f>IF(C54&lt;&gt;"",'Cash Flow Analysis'!A101,"")</f>
        <v>2073</v>
      </c>
      <c r="B54" s="314">
        <f t="shared" si="1"/>
        <v>40</v>
      </c>
      <c r="C54" s="314">
        <f t="shared" si="2"/>
        <v>37</v>
      </c>
      <c r="D54" s="483"/>
      <c r="E54" s="217">
        <f>+'Carbon Sequestration'!$C$100*(C54&lt;=anal_period)</f>
        <v>0</v>
      </c>
      <c r="F54" s="217">
        <f t="shared" si="0"/>
        <v>0</v>
      </c>
      <c r="G54" s="217">
        <f t="shared" ca="1" si="3"/>
        <v>965177.50172626507</v>
      </c>
      <c r="H54" s="218">
        <f t="shared" ca="1" si="4"/>
        <v>1516308.6277777494</v>
      </c>
      <c r="I54" s="363"/>
      <c r="J54" s="364"/>
      <c r="K54" s="365"/>
      <c r="L54" s="366"/>
    </row>
    <row r="55" spans="1:12" x14ac:dyDescent="0.25">
      <c r="A55" s="94">
        <f>IF(C55&lt;&gt;"",'Cash Flow Analysis'!A102,"")</f>
        <v>2074</v>
      </c>
      <c r="B55" s="314">
        <f t="shared" si="1"/>
        <v>41</v>
      </c>
      <c r="C55" s="314">
        <f t="shared" si="2"/>
        <v>38</v>
      </c>
      <c r="D55" s="483"/>
      <c r="E55" s="217">
        <f>+'Carbon Sequestration'!$C$100*(C55&lt;=anal_period)</f>
        <v>0</v>
      </c>
      <c r="F55" s="217">
        <f t="shared" si="0"/>
        <v>0</v>
      </c>
      <c r="G55" s="217">
        <f t="shared" ca="1" si="3"/>
        <v>965177.50172626507</v>
      </c>
      <c r="H55" s="218">
        <f t="shared" ca="1" si="4"/>
        <v>1516308.6277777494</v>
      </c>
      <c r="I55" s="363"/>
      <c r="J55" s="364"/>
      <c r="K55" s="365"/>
      <c r="L55" s="366"/>
    </row>
    <row r="56" spans="1:12" x14ac:dyDescent="0.25">
      <c r="A56" s="94">
        <f>IF(C56&lt;&gt;"",'Cash Flow Analysis'!A103,"")</f>
        <v>2075</v>
      </c>
      <c r="B56" s="314">
        <f t="shared" si="1"/>
        <v>42</v>
      </c>
      <c r="C56" s="314">
        <f t="shared" si="2"/>
        <v>39</v>
      </c>
      <c r="D56" s="483"/>
      <c r="E56" s="217">
        <f>+'Carbon Sequestration'!$C$100*(C56&lt;=anal_period)</f>
        <v>0</v>
      </c>
      <c r="F56" s="217">
        <f t="shared" si="0"/>
        <v>0</v>
      </c>
      <c r="G56" s="217">
        <f t="shared" ca="1" si="3"/>
        <v>965177.50172626507</v>
      </c>
      <c r="H56" s="218">
        <f t="shared" ca="1" si="4"/>
        <v>1516308.6277777494</v>
      </c>
      <c r="I56" s="363"/>
      <c r="J56" s="364"/>
      <c r="K56" s="365"/>
      <c r="L56" s="366"/>
    </row>
    <row r="57" spans="1:12" ht="13" thickBot="1" x14ac:dyDescent="0.3">
      <c r="A57" s="96">
        <f>IF(C57&lt;&gt;"",'Cash Flow Analysis'!A104,"")</f>
        <v>2076</v>
      </c>
      <c r="B57" s="315">
        <f t="shared" si="1"/>
        <v>43</v>
      </c>
      <c r="C57" s="315">
        <f t="shared" si="2"/>
        <v>40</v>
      </c>
      <c r="D57" s="484"/>
      <c r="E57" s="219">
        <f>+'Carbon Sequestration'!$C$100*(C57&lt;=anal_period)</f>
        <v>0</v>
      </c>
      <c r="F57" s="219">
        <f t="shared" si="0"/>
        <v>0</v>
      </c>
      <c r="G57" s="219">
        <f t="shared" ca="1" si="3"/>
        <v>965177.50172626507</v>
      </c>
      <c r="H57" s="220">
        <f t="shared" ca="1" si="4"/>
        <v>1516308.6277777494</v>
      </c>
      <c r="I57" s="367"/>
      <c r="J57" s="368"/>
      <c r="K57" s="369"/>
      <c r="L57" s="370"/>
    </row>
    <row r="58" spans="1:12" ht="13"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37"/>
  <sheetViews>
    <sheetView workbookViewId="0">
      <selection activeCell="C9" sqref="C9"/>
    </sheetView>
  </sheetViews>
  <sheetFormatPr defaultRowHeight="12.5" x14ac:dyDescent="0.25"/>
  <cols>
    <col min="2" max="2" width="35" customWidth="1"/>
    <col min="3" max="3" width="19.7265625" customWidth="1"/>
    <col min="4" max="5" width="18.7265625" customWidth="1"/>
    <col min="6" max="6" width="22.54296875" customWidth="1"/>
    <col min="7" max="7" width="51.1796875" customWidth="1"/>
    <col min="8" max="8" width="27.1796875" customWidth="1"/>
  </cols>
  <sheetData>
    <row r="2" spans="2:8" ht="22.5" customHeight="1" x14ac:dyDescent="0.65">
      <c r="B2" s="818" t="s">
        <v>83</v>
      </c>
      <c r="F2" s="1551"/>
      <c r="G2" s="1551"/>
      <c r="H2" s="1551"/>
    </row>
    <row r="3" spans="2:8" x14ac:dyDescent="0.25">
      <c r="F3" s="1551"/>
      <c r="G3" s="1551"/>
      <c r="H3" s="1551"/>
    </row>
    <row r="4" spans="2:8" ht="15.5" x14ac:dyDescent="0.35">
      <c r="C4" s="817" t="s">
        <v>233</v>
      </c>
      <c r="F4" s="1551"/>
      <c r="G4" s="1551"/>
      <c r="H4" s="1551"/>
    </row>
    <row r="5" spans="2:8" ht="15.5" x14ac:dyDescent="0.35">
      <c r="C5" s="817"/>
    </row>
    <row r="6" spans="2:8" ht="16" thickBot="1" x14ac:dyDescent="0.4">
      <c r="C6" s="817"/>
    </row>
    <row r="7" spans="2:8" ht="26.5" thickBot="1" x14ac:dyDescent="0.35">
      <c r="B7" s="988" t="s">
        <v>827</v>
      </c>
      <c r="C7" s="989">
        <v>154758.064516129</v>
      </c>
      <c r="D7" s="1552" t="s">
        <v>828</v>
      </c>
      <c r="E7" s="1553"/>
      <c r="F7" s="1553"/>
      <c r="G7" s="1553"/>
      <c r="H7" s="1554"/>
    </row>
    <row r="8" spans="2:8" ht="13.5" thickBot="1" x14ac:dyDescent="0.35">
      <c r="D8" s="1550" t="s">
        <v>1030</v>
      </c>
      <c r="E8" s="1548"/>
      <c r="F8" s="1548"/>
      <c r="G8" s="1548"/>
      <c r="H8" s="1548"/>
    </row>
    <row r="9" spans="2:8" ht="13" x14ac:dyDescent="0.3">
      <c r="B9" s="1" t="s">
        <v>842</v>
      </c>
      <c r="C9" s="1011">
        <f>BasisYear</f>
        <v>2005</v>
      </c>
      <c r="D9" s="1555"/>
      <c r="E9" s="1556"/>
      <c r="F9" s="1556"/>
      <c r="G9" s="1556"/>
      <c r="H9" s="1557"/>
    </row>
    <row r="10" spans="2:8" ht="13" x14ac:dyDescent="0.3">
      <c r="B10" s="1" t="s">
        <v>773</v>
      </c>
      <c r="C10" s="986">
        <v>2010</v>
      </c>
      <c r="D10" s="1544"/>
      <c r="E10" s="1545"/>
      <c r="F10" s="1545"/>
      <c r="G10" s="1545"/>
      <c r="H10" s="1546"/>
    </row>
    <row r="11" spans="2:8" ht="13" x14ac:dyDescent="0.3">
      <c r="B11" s="1" t="str">
        <f>"CEPCI Inflator ("&amp;BasisYear&amp;" to "&amp;CurrentYear&amp;")"</f>
        <v>CEPCI Inflator (2005 to 2010)</v>
      </c>
      <c r="C11" s="1009">
        <f>VLOOKUP(CurrentYear,Tbl_PlantCostIndexes,2,FALSE)/VLOOKUP(BasisYear,Tbl_PlantCostIndexes,2,FALSE)</f>
        <v>1.176420333190944</v>
      </c>
      <c r="D11" s="1544" t="s">
        <v>820</v>
      </c>
      <c r="E11" s="1545"/>
      <c r="F11" s="1545"/>
      <c r="G11" s="1545"/>
      <c r="H11" s="1546"/>
    </row>
    <row r="12" spans="2:8" ht="13.5" thickBot="1" x14ac:dyDescent="0.35">
      <c r="B12" s="1" t="str">
        <f>"Consumer Price Inflator ("&amp;CurrentYear&amp;" to "&amp;ref_year&amp;")"</f>
        <v>Consumer Price Inflator (2010 to 2016)</v>
      </c>
      <c r="C12" s="1010">
        <f>VLOOKUP(ref_year,DeflatorTable,2,FALSE)/VLOOKUP(CurrentYear,DeflatorTable,2,FALSE)</f>
        <v>1.100724186648488</v>
      </c>
      <c r="D12" s="1547" t="s">
        <v>821</v>
      </c>
      <c r="E12" s="1548"/>
      <c r="F12" s="1548"/>
      <c r="G12" s="1548"/>
      <c r="H12" s="1549"/>
    </row>
    <row r="13" spans="2:8" ht="13" thickBot="1" x14ac:dyDescent="0.3"/>
    <row r="14" spans="2:8" ht="16.5" thickTop="1" thickBot="1" x14ac:dyDescent="0.4">
      <c r="B14" s="971" t="str">
        <f xml:space="preserve"> "CAPITAL INVESTMENT (Inputs REQUIRED in Basis Year, (" &amp; BasisYear &amp; ") $)"</f>
        <v>CAPITAL INVESTMENT (Inputs REQUIRED in Basis Year, (2005) $)</v>
      </c>
      <c r="C14" s="972"/>
      <c r="D14" s="972"/>
      <c r="E14" s="972"/>
      <c r="F14" s="972"/>
      <c r="G14" s="972"/>
      <c r="H14" s="973"/>
    </row>
    <row r="15" spans="2:8" ht="32" thickTop="1" thickBot="1" x14ac:dyDescent="0.4">
      <c r="B15" s="513" t="s">
        <v>667</v>
      </c>
      <c r="C15" s="514" t="str">
        <f>"Baseline Uninstalled Costs $"&amp;BasisYear&amp;" Dollars"</f>
        <v>Baseline Uninstalled Costs $2005 Dollars</v>
      </c>
      <c r="D15" s="514" t="str">
        <f>"Baseline Uninstalled Costs $"&amp;ref_year&amp;" Dollars"</f>
        <v>Baseline Uninstalled Costs $2016 Dollars</v>
      </c>
      <c r="E15" s="514" t="s">
        <v>668</v>
      </c>
      <c r="F15" s="489" t="s">
        <v>1060</v>
      </c>
      <c r="G15" s="514" t="s">
        <v>1030</v>
      </c>
      <c r="H15" s="519" t="s">
        <v>670</v>
      </c>
    </row>
    <row r="16" spans="2:8" x14ac:dyDescent="0.25">
      <c r="B16" s="1272" t="s">
        <v>1376</v>
      </c>
      <c r="C16" s="1463">
        <v>20062000</v>
      </c>
      <c r="D16" s="517">
        <f>C16*CEPCIinflator*CPIinflator</f>
        <v>25978570.97566022</v>
      </c>
      <c r="E16" s="1274">
        <v>1</v>
      </c>
      <c r="F16" s="517">
        <f>D16*E16</f>
        <v>25978570.97566022</v>
      </c>
      <c r="G16" s="526"/>
      <c r="H16" s="736"/>
    </row>
    <row r="17" spans="2:8" ht="25" x14ac:dyDescent="0.25">
      <c r="B17" s="1273" t="s">
        <v>1377</v>
      </c>
      <c r="C17" s="1464">
        <v>25263200</v>
      </c>
      <c r="D17" s="517">
        <f t="shared" ref="D17:D35" si="0">C17*CEPCIinflator*CPIinflator</f>
        <v>32713679.307760905</v>
      </c>
      <c r="E17" s="1275">
        <v>1</v>
      </c>
      <c r="F17" s="517">
        <f t="shared" ref="F17:F35" si="1">D17*E17</f>
        <v>32713679.307760905</v>
      </c>
      <c r="G17" s="527"/>
      <c r="H17" s="737"/>
    </row>
    <row r="18" spans="2:8" x14ac:dyDescent="0.25">
      <c r="B18" s="1273" t="s">
        <v>1378</v>
      </c>
      <c r="C18" s="1464">
        <v>17089800</v>
      </c>
      <c r="D18" s="517">
        <f t="shared" si="0"/>
        <v>22129826.650375739</v>
      </c>
      <c r="E18" s="1275">
        <v>1</v>
      </c>
      <c r="F18" s="517">
        <f t="shared" si="1"/>
        <v>22129826.650375739</v>
      </c>
      <c r="G18" s="527"/>
      <c r="H18" s="737"/>
    </row>
    <row r="19" spans="2:8" x14ac:dyDescent="0.25">
      <c r="B19" s="1273" t="s">
        <v>1400</v>
      </c>
      <c r="C19" s="1464">
        <v>17514400</v>
      </c>
      <c r="D19" s="517">
        <f t="shared" si="0"/>
        <v>22679647.268273517</v>
      </c>
      <c r="E19" s="1275">
        <v>1</v>
      </c>
      <c r="F19" s="517">
        <f t="shared" si="1"/>
        <v>22679647.268273517</v>
      </c>
      <c r="G19" s="527"/>
      <c r="H19" s="737"/>
    </row>
    <row r="20" spans="2:8" x14ac:dyDescent="0.25">
      <c r="B20" s="1273" t="s">
        <v>1401</v>
      </c>
      <c r="C20" s="1464">
        <v>0</v>
      </c>
      <c r="D20" s="517">
        <f t="shared" si="0"/>
        <v>0</v>
      </c>
      <c r="E20" s="1275">
        <v>0</v>
      </c>
      <c r="F20" s="517">
        <f t="shared" si="1"/>
        <v>0</v>
      </c>
      <c r="G20" s="527"/>
      <c r="H20" s="737"/>
    </row>
    <row r="21" spans="2:8" ht="25" x14ac:dyDescent="0.25">
      <c r="B21" s="1273" t="s">
        <v>1379</v>
      </c>
      <c r="C21" s="1464">
        <v>15073000</v>
      </c>
      <c r="D21" s="517">
        <f t="shared" si="0"/>
        <v>19518243.461076986</v>
      </c>
      <c r="E21" s="1275">
        <v>1</v>
      </c>
      <c r="F21" s="517">
        <f t="shared" si="1"/>
        <v>19518243.461076986</v>
      </c>
      <c r="G21" s="527"/>
      <c r="H21" s="737"/>
    </row>
    <row r="22" spans="2:8" x14ac:dyDescent="0.25">
      <c r="B22" s="1273" t="s">
        <v>1380</v>
      </c>
      <c r="C22" s="1464">
        <v>3609000</v>
      </c>
      <c r="D22" s="517">
        <f t="shared" si="0"/>
        <v>4673345.7606997173</v>
      </c>
      <c r="E22" s="1275">
        <v>1</v>
      </c>
      <c r="F22" s="517">
        <f t="shared" si="1"/>
        <v>4673345.7606997173</v>
      </c>
      <c r="G22" s="527"/>
      <c r="H22" s="737"/>
    </row>
    <row r="23" spans="2:8" x14ac:dyDescent="0.25">
      <c r="B23" s="1273" t="s">
        <v>1381</v>
      </c>
      <c r="C23" s="1464">
        <v>6368900</v>
      </c>
      <c r="D23" s="517">
        <f t="shared" si="0"/>
        <v>8247179.777035309</v>
      </c>
      <c r="E23" s="1275">
        <v>1</v>
      </c>
      <c r="F23" s="517">
        <f t="shared" si="1"/>
        <v>8247179.777035309</v>
      </c>
      <c r="G23" s="527"/>
      <c r="H23" s="737"/>
    </row>
    <row r="24" spans="2:8" x14ac:dyDescent="0.25">
      <c r="B24" s="1273"/>
      <c r="C24" s="1465"/>
      <c r="D24" s="517">
        <f t="shared" si="0"/>
        <v>0</v>
      </c>
      <c r="E24" s="1275"/>
      <c r="F24" s="517">
        <f t="shared" si="1"/>
        <v>0</v>
      </c>
      <c r="G24" s="527"/>
      <c r="H24" s="737"/>
    </row>
    <row r="25" spans="2:8" x14ac:dyDescent="0.25">
      <c r="B25" s="1273"/>
      <c r="C25" s="1465"/>
      <c r="D25" s="517">
        <f t="shared" si="0"/>
        <v>0</v>
      </c>
      <c r="E25" s="1275"/>
      <c r="F25" s="517">
        <f t="shared" si="1"/>
        <v>0</v>
      </c>
      <c r="G25" s="527"/>
      <c r="H25" s="737"/>
    </row>
    <row r="26" spans="2:8" x14ac:dyDescent="0.25">
      <c r="B26" s="1273"/>
      <c r="C26" s="1465"/>
      <c r="D26" s="517">
        <f t="shared" si="0"/>
        <v>0</v>
      </c>
      <c r="E26" s="1275"/>
      <c r="F26" s="517">
        <f t="shared" si="1"/>
        <v>0</v>
      </c>
      <c r="G26" s="527"/>
      <c r="H26" s="737"/>
    </row>
    <row r="27" spans="2:8" x14ac:dyDescent="0.25">
      <c r="B27" s="1273"/>
      <c r="C27" s="1465"/>
      <c r="D27" s="517">
        <f t="shared" si="0"/>
        <v>0</v>
      </c>
      <c r="E27" s="1275"/>
      <c r="F27" s="517">
        <f t="shared" si="1"/>
        <v>0</v>
      </c>
      <c r="G27" s="527"/>
      <c r="H27" s="737"/>
    </row>
    <row r="28" spans="2:8" x14ac:dyDescent="0.25">
      <c r="B28" s="1273"/>
      <c r="C28" s="1465"/>
      <c r="D28" s="517">
        <f t="shared" si="0"/>
        <v>0</v>
      </c>
      <c r="E28" s="980"/>
      <c r="F28" s="517">
        <f t="shared" si="1"/>
        <v>0</v>
      </c>
      <c r="G28" s="527"/>
      <c r="H28" s="737"/>
    </row>
    <row r="29" spans="2:8" x14ac:dyDescent="0.25">
      <c r="B29" s="898"/>
      <c r="C29" s="983"/>
      <c r="D29" s="517">
        <f t="shared" si="0"/>
        <v>0</v>
      </c>
      <c r="E29" s="980"/>
      <c r="F29" s="517">
        <f t="shared" si="1"/>
        <v>0</v>
      </c>
      <c r="G29" s="527"/>
      <c r="H29" s="737"/>
    </row>
    <row r="30" spans="2:8" x14ac:dyDescent="0.25">
      <c r="B30" s="898"/>
      <c r="C30" s="982"/>
      <c r="D30" s="517">
        <f t="shared" si="0"/>
        <v>0</v>
      </c>
      <c r="E30" s="979"/>
      <c r="F30" s="517">
        <f t="shared" si="1"/>
        <v>0</v>
      </c>
      <c r="G30" s="527"/>
      <c r="H30" s="737"/>
    </row>
    <row r="31" spans="2:8" x14ac:dyDescent="0.25">
      <c r="B31" s="898"/>
      <c r="C31" s="982"/>
      <c r="D31" s="517">
        <f t="shared" si="0"/>
        <v>0</v>
      </c>
      <c r="E31" s="979"/>
      <c r="F31" s="517">
        <f t="shared" si="1"/>
        <v>0</v>
      </c>
      <c r="G31" s="527"/>
      <c r="H31" s="737"/>
    </row>
    <row r="32" spans="2:8" x14ac:dyDescent="0.25">
      <c r="B32" s="898"/>
      <c r="C32" s="982"/>
      <c r="D32" s="517">
        <f t="shared" si="0"/>
        <v>0</v>
      </c>
      <c r="E32" s="979"/>
      <c r="F32" s="517">
        <f t="shared" si="1"/>
        <v>0</v>
      </c>
      <c r="G32" s="527"/>
      <c r="H32" s="737"/>
    </row>
    <row r="33" spans="2:8" x14ac:dyDescent="0.25">
      <c r="B33" s="898"/>
      <c r="C33" s="982"/>
      <c r="D33" s="517">
        <f t="shared" si="0"/>
        <v>0</v>
      </c>
      <c r="E33" s="979"/>
      <c r="F33" s="517">
        <f t="shared" si="1"/>
        <v>0</v>
      </c>
      <c r="G33" s="527"/>
      <c r="H33" s="737"/>
    </row>
    <row r="34" spans="2:8" x14ac:dyDescent="0.25">
      <c r="B34" s="898"/>
      <c r="C34" s="982"/>
      <c r="D34" s="517">
        <f t="shared" si="0"/>
        <v>0</v>
      </c>
      <c r="E34" s="979"/>
      <c r="F34" s="517">
        <f t="shared" si="1"/>
        <v>0</v>
      </c>
      <c r="G34" s="527"/>
      <c r="H34" s="737"/>
    </row>
    <row r="35" spans="2:8" ht="13" thickBot="1" x14ac:dyDescent="0.3">
      <c r="B35" s="899"/>
      <c r="C35" s="984"/>
      <c r="D35" s="517">
        <f t="shared" si="0"/>
        <v>0</v>
      </c>
      <c r="E35" s="981"/>
      <c r="F35" s="517">
        <f t="shared" si="1"/>
        <v>0</v>
      </c>
      <c r="G35" s="528"/>
      <c r="H35" s="738"/>
    </row>
    <row r="36" spans="2:8" ht="13" thickBot="1" x14ac:dyDescent="0.3">
      <c r="B36" s="515"/>
      <c r="C36" s="896">
        <f>SUM(C16:C35)</f>
        <v>104980300</v>
      </c>
      <c r="D36" s="469">
        <f>SUM(D16:D35)</f>
        <v>135940493.20088241</v>
      </c>
      <c r="E36" s="518"/>
      <c r="F36" s="469">
        <f>SUM(F16:F35)</f>
        <v>135940493.20088241</v>
      </c>
      <c r="G36" s="348"/>
      <c r="H36" s="521"/>
    </row>
    <row r="37" spans="2:8" ht="13" thickTop="1" x14ac:dyDescent="0.25">
      <c r="C37" s="897"/>
    </row>
  </sheetData>
  <mergeCells count="7">
    <mergeCell ref="D11:H11"/>
    <mergeCell ref="D12:H12"/>
    <mergeCell ref="D8:H8"/>
    <mergeCell ref="F2:H4"/>
    <mergeCell ref="D7:H7"/>
    <mergeCell ref="D9:H9"/>
    <mergeCell ref="D10:H10"/>
  </mergeCells>
  <phoneticPr fontId="2" type="noConversion"/>
  <dataValidations count="1">
    <dataValidation type="whole" allowBlank="1" showInputMessage="1" showErrorMessage="1" sqref="C10" xr:uid="{00000000-0002-0000-0500-000000000000}">
      <formula1>1992</formula1>
      <formula2>2016</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28"/>
  <sheetViews>
    <sheetView workbookViewId="0">
      <selection activeCell="C53" sqref="C53"/>
    </sheetView>
  </sheetViews>
  <sheetFormatPr defaultColWidth="9.1796875" defaultRowHeight="12.5" x14ac:dyDescent="0.25"/>
  <cols>
    <col min="1" max="1" width="9.1796875" style="210"/>
    <col min="2" max="2" width="50.7265625" style="210" customWidth="1"/>
    <col min="3" max="3" width="19.7265625" style="210" customWidth="1"/>
    <col min="4" max="4" width="17" style="210" customWidth="1"/>
    <col min="5" max="7" width="18.7265625" style="210" customWidth="1"/>
    <col min="8" max="8" width="16.453125" style="210" customWidth="1"/>
    <col min="9" max="9" width="38" style="210" customWidth="1"/>
    <col min="10" max="10" width="40.1796875" style="210" customWidth="1"/>
    <col min="11" max="11" width="27.1796875" style="210" customWidth="1"/>
    <col min="12" max="16384" width="9.1796875" style="210"/>
  </cols>
  <sheetData>
    <row r="1" spans="2:11" ht="13" thickBot="1" x14ac:dyDescent="0.3">
      <c r="B1" s="210" t="s">
        <v>321</v>
      </c>
    </row>
    <row r="2" spans="2:11" ht="19" thickTop="1" thickBot="1" x14ac:dyDescent="0.45">
      <c r="B2" s="758" t="s">
        <v>849</v>
      </c>
      <c r="C2" s="759"/>
      <c r="D2" s="759"/>
      <c r="E2" s="759"/>
      <c r="F2" s="759"/>
      <c r="G2" s="759"/>
      <c r="H2" s="759"/>
      <c r="I2" s="759"/>
      <c r="J2" s="759"/>
      <c r="K2" s="760"/>
    </row>
    <row r="3" spans="2:11" ht="24" customHeight="1" thickBot="1" x14ac:dyDescent="0.3">
      <c r="B3" s="761" t="s">
        <v>673</v>
      </c>
      <c r="C3" s="762">
        <f>Baseline_Design_Capacity</f>
        <v>154758.064516129</v>
      </c>
      <c r="D3" s="1560" t="s">
        <v>829</v>
      </c>
      <c r="E3" s="1560"/>
      <c r="F3" s="1560"/>
      <c r="G3" s="763"/>
      <c r="H3" s="763"/>
      <c r="I3" s="763"/>
      <c r="J3" s="763"/>
      <c r="K3" s="764"/>
    </row>
    <row r="4" spans="2:11" ht="29.25" customHeight="1" thickBot="1" x14ac:dyDescent="0.3">
      <c r="B4" s="761" t="s">
        <v>671</v>
      </c>
      <c r="C4" s="765">
        <f ca="1">design_cap/Baseline_Design_Capacity</f>
        <v>1</v>
      </c>
      <c r="D4" s="1561" t="s">
        <v>677</v>
      </c>
      <c r="E4" s="1561"/>
      <c r="F4" s="1561"/>
      <c r="G4" s="763"/>
      <c r="H4" s="763"/>
      <c r="I4" s="763"/>
      <c r="J4" s="763"/>
      <c r="K4" s="764"/>
    </row>
    <row r="5" spans="2:11" ht="29.25" customHeight="1" thickBot="1" x14ac:dyDescent="0.3">
      <c r="B5" s="761" t="s">
        <v>846</v>
      </c>
      <c r="C5" s="765">
        <f ca="1">$G$27/Det_direct_cap</f>
        <v>1</v>
      </c>
      <c r="D5" s="1561" t="s">
        <v>848</v>
      </c>
      <c r="E5" s="1561"/>
      <c r="F5" s="1561"/>
      <c r="G5" s="763"/>
      <c r="H5" s="763"/>
      <c r="I5" s="763"/>
      <c r="J5" s="763"/>
      <c r="K5" s="764"/>
    </row>
    <row r="6" spans="2:11" ht="29.25" customHeight="1" thickBot="1" x14ac:dyDescent="0.3">
      <c r="B6" s="761" t="s">
        <v>1064</v>
      </c>
      <c r="C6" s="767">
        <v>0.78</v>
      </c>
      <c r="D6" s="1561" t="s">
        <v>845</v>
      </c>
      <c r="E6" s="1561"/>
      <c r="F6" s="1561"/>
      <c r="G6" s="763"/>
      <c r="H6" s="763"/>
      <c r="I6" s="763"/>
      <c r="J6" s="763"/>
      <c r="K6" s="764"/>
    </row>
    <row r="7" spans="2:11" ht="41.25" customHeight="1" thickBot="1" x14ac:dyDescent="0.3">
      <c r="B7" s="761" t="s">
        <v>946</v>
      </c>
      <c r="C7" s="768">
        <v>20000</v>
      </c>
      <c r="D7" s="1562" t="s">
        <v>922</v>
      </c>
      <c r="E7" s="1563"/>
      <c r="F7" s="1563"/>
      <c r="G7" s="763"/>
      <c r="H7" s="763"/>
      <c r="I7" s="763"/>
      <c r="J7" s="763"/>
      <c r="K7" s="764"/>
    </row>
    <row r="8" spans="2:11" ht="42.75" customHeight="1" thickBot="1" x14ac:dyDescent="0.3">
      <c r="B8" s="761" t="s">
        <v>947</v>
      </c>
      <c r="C8" s="768">
        <v>200000</v>
      </c>
      <c r="D8" s="1558" t="s">
        <v>921</v>
      </c>
      <c r="E8" s="1559"/>
      <c r="F8" s="1559"/>
      <c r="G8" s="763"/>
      <c r="H8" s="763"/>
      <c r="I8" s="763"/>
      <c r="J8" s="763"/>
      <c r="K8" s="764"/>
    </row>
    <row r="9" spans="2:11" ht="15" customHeight="1" x14ac:dyDescent="0.25">
      <c r="B9" s="761"/>
      <c r="C9" s="769"/>
      <c r="D9" s="766"/>
      <c r="E9" s="766"/>
      <c r="F9" s="766"/>
      <c r="G9" s="763"/>
      <c r="H9" s="763"/>
      <c r="I9" s="763"/>
      <c r="J9" s="763"/>
      <c r="K9" s="764"/>
    </row>
    <row r="10" spans="2:11" x14ac:dyDescent="0.25">
      <c r="B10" s="770"/>
      <c r="C10" s="763"/>
      <c r="D10" s="763"/>
      <c r="E10" s="763"/>
      <c r="F10" s="763"/>
      <c r="G10" s="763"/>
      <c r="H10" s="763"/>
      <c r="I10" s="763"/>
      <c r="J10" s="763"/>
      <c r="K10" s="764"/>
    </row>
    <row r="11" spans="2:11" ht="16" thickBot="1" x14ac:dyDescent="0.4">
      <c r="B11" s="485" t="str">
        <f xml:space="preserve"> "CAPITAL INVESTMENT (Inputs REQUIRED in Reference Year, (" &amp; ref_year &amp; ") $)"</f>
        <v>CAPITAL INVESTMENT (Inputs REQUIRED in Reference Year, (2016) $)</v>
      </c>
      <c r="C11" s="486"/>
      <c r="D11" s="486"/>
      <c r="E11" s="486"/>
      <c r="F11" s="486"/>
      <c r="G11" s="487"/>
      <c r="H11" s="487"/>
      <c r="I11" s="487"/>
      <c r="J11" s="488"/>
      <c r="K11" s="771"/>
    </row>
    <row r="12" spans="2:11" ht="27.5" thickTop="1" thickBot="1" x14ac:dyDescent="0.4">
      <c r="B12" s="513" t="s">
        <v>667</v>
      </c>
      <c r="C12" s="514" t="s">
        <v>675</v>
      </c>
      <c r="D12" s="514" t="s">
        <v>669</v>
      </c>
      <c r="E12" s="514" t="s">
        <v>676</v>
      </c>
      <c r="F12" s="514" t="s">
        <v>668</v>
      </c>
      <c r="G12" s="514" t="s">
        <v>847</v>
      </c>
      <c r="H12" s="514" t="s">
        <v>1063</v>
      </c>
      <c r="I12" s="514" t="s">
        <v>1030</v>
      </c>
      <c r="J12" s="519" t="s">
        <v>670</v>
      </c>
    </row>
    <row r="13" spans="2:11" x14ac:dyDescent="0.25">
      <c r="B13" s="753" t="str">
        <f>'Capital Costs'!B16</f>
        <v xml:space="preserve">      Feed Handling &amp; Drying</v>
      </c>
      <c r="C13" s="741">
        <f>'Capital Costs'!D16</f>
        <v>25978570.97566022</v>
      </c>
      <c r="D13" s="740"/>
      <c r="E13" s="741">
        <f ca="1">IF($D13="",$C13*Scale_Ratio^Scaling_Factor_Exponent,$C13*Scale_Ratio^$D13)</f>
        <v>25978570.97566022</v>
      </c>
      <c r="F13" s="755">
        <f>'Capital Costs'!E16</f>
        <v>1</v>
      </c>
      <c r="G13" s="742">
        <f ca="1">$E13*$F13</f>
        <v>25978570.97566022</v>
      </c>
      <c r="H13" s="741">
        <f>C13*F13</f>
        <v>25978570.97566022</v>
      </c>
      <c r="I13" s="743"/>
      <c r="J13" s="522"/>
    </row>
    <row r="14" spans="2:11" x14ac:dyDescent="0.25">
      <c r="B14" s="754" t="str">
        <f>'Capital Costs'!B17</f>
        <v xml:space="preserve">      Gasification, Tar Reforming, &amp; Quench</v>
      </c>
      <c r="C14" s="745">
        <f>'Capital Costs'!D17</f>
        <v>32713679.307760905</v>
      </c>
      <c r="D14" s="744"/>
      <c r="E14" s="745">
        <f t="shared" ref="E14:E26" ca="1" si="0">IF($D14="",$C14*Scale_Ratio^Scaling_Factor_Exponent,$C14*Scale_Ratio^$D14)</f>
        <v>32713679.307760905</v>
      </c>
      <c r="F14" s="756">
        <f>'Capital Costs'!E17</f>
        <v>1</v>
      </c>
      <c r="G14" s="746">
        <f t="shared" ref="G14:G26" ca="1" si="1">$E14*$F14</f>
        <v>32713679.307760905</v>
      </c>
      <c r="H14" s="745">
        <f t="shared" ref="H14:H26" si="2">C14*F14</f>
        <v>32713679.307760905</v>
      </c>
      <c r="I14" s="747"/>
      <c r="J14" s="523"/>
    </row>
    <row r="15" spans="2:11" x14ac:dyDescent="0.25">
      <c r="B15" s="754" t="str">
        <f>'Capital Costs'!B18</f>
        <v xml:space="preserve">      Compression &amp; Sulfur Removal</v>
      </c>
      <c r="C15" s="745">
        <f>'Capital Costs'!D18</f>
        <v>22129826.650375739</v>
      </c>
      <c r="D15" s="744"/>
      <c r="E15" s="745">
        <f t="shared" ca="1" si="0"/>
        <v>22129826.650375739</v>
      </c>
      <c r="F15" s="756">
        <f>'Capital Costs'!E18</f>
        <v>1</v>
      </c>
      <c r="G15" s="746">
        <f t="shared" ca="1" si="1"/>
        <v>22129826.650375739</v>
      </c>
      <c r="H15" s="745">
        <f t="shared" si="2"/>
        <v>22129826.650375739</v>
      </c>
      <c r="I15" s="747"/>
      <c r="J15" s="523"/>
    </row>
    <row r="16" spans="2:11" x14ac:dyDescent="0.25">
      <c r="B16" s="754" t="str">
        <f>'Capital Costs'!B19</f>
        <v xml:space="preserve">      Shift and PSA</v>
      </c>
      <c r="C16" s="745">
        <f>'Capital Costs'!D19</f>
        <v>22679647.268273517</v>
      </c>
      <c r="D16" s="744"/>
      <c r="E16" s="745">
        <f t="shared" ca="1" si="0"/>
        <v>22679647.268273517</v>
      </c>
      <c r="F16" s="756">
        <f>'Capital Costs'!E19</f>
        <v>1</v>
      </c>
      <c r="G16" s="746">
        <f t="shared" ca="1" si="1"/>
        <v>22679647.268273517</v>
      </c>
      <c r="H16" s="745">
        <f t="shared" si="2"/>
        <v>22679647.268273517</v>
      </c>
      <c r="I16" s="747"/>
      <c r="J16" s="523"/>
    </row>
    <row r="17" spans="2:10" x14ac:dyDescent="0.25">
      <c r="B17" s="754" t="str">
        <f>'Capital Costs'!B20</f>
        <v xml:space="preserve">      Hydrogen Compression</v>
      </c>
      <c r="C17" s="745">
        <f>'Capital Costs'!D20</f>
        <v>0</v>
      </c>
      <c r="D17" s="744"/>
      <c r="E17" s="745">
        <f t="shared" ca="1" si="0"/>
        <v>0</v>
      </c>
      <c r="F17" s="756">
        <f>'Capital Costs'!E20</f>
        <v>0</v>
      </c>
      <c r="G17" s="746">
        <f t="shared" ca="1" si="1"/>
        <v>0</v>
      </c>
      <c r="H17" s="745">
        <f t="shared" si="2"/>
        <v>0</v>
      </c>
      <c r="I17" s="747"/>
      <c r="J17" s="523"/>
    </row>
    <row r="18" spans="2:10" x14ac:dyDescent="0.25">
      <c r="B18" s="754" t="str">
        <f>'Capital Costs'!B21</f>
        <v xml:space="preserve">      Steam System and Power Generation</v>
      </c>
      <c r="C18" s="745">
        <f>'Capital Costs'!D21</f>
        <v>19518243.461076986</v>
      </c>
      <c r="D18" s="744"/>
      <c r="E18" s="745">
        <f t="shared" ca="1" si="0"/>
        <v>19518243.461076986</v>
      </c>
      <c r="F18" s="756">
        <f>'Capital Costs'!E21</f>
        <v>1</v>
      </c>
      <c r="G18" s="746">
        <f t="shared" ca="1" si="1"/>
        <v>19518243.461076986</v>
      </c>
      <c r="H18" s="745">
        <f t="shared" si="2"/>
        <v>19518243.461076986</v>
      </c>
      <c r="I18" s="747"/>
      <c r="J18" s="523"/>
    </row>
    <row r="19" spans="2:10" x14ac:dyDescent="0.25">
      <c r="B19" s="754" t="str">
        <f>'Capital Costs'!B22</f>
        <v xml:space="preserve">      Cooling Water and Other Utilities</v>
      </c>
      <c r="C19" s="745">
        <f>'Capital Costs'!D22</f>
        <v>4673345.7606997173</v>
      </c>
      <c r="D19" s="744"/>
      <c r="E19" s="745">
        <f t="shared" ca="1" si="0"/>
        <v>4673345.7606997173</v>
      </c>
      <c r="F19" s="756">
        <f>'Capital Costs'!E22</f>
        <v>1</v>
      </c>
      <c r="G19" s="746">
        <f t="shared" ca="1" si="1"/>
        <v>4673345.7606997173</v>
      </c>
      <c r="H19" s="745">
        <f t="shared" si="2"/>
        <v>4673345.7606997173</v>
      </c>
      <c r="I19" s="747"/>
      <c r="J19" s="523"/>
    </row>
    <row r="20" spans="2:10" x14ac:dyDescent="0.25">
      <c r="B20" s="754" t="str">
        <f>'Capital Costs'!B23</f>
        <v xml:space="preserve">      Buildings &amp; Structures</v>
      </c>
      <c r="C20" s="745">
        <f>'Capital Costs'!D23</f>
        <v>8247179.777035309</v>
      </c>
      <c r="D20" s="744"/>
      <c r="E20" s="745">
        <f t="shared" ca="1" si="0"/>
        <v>8247179.777035309</v>
      </c>
      <c r="F20" s="756">
        <f>'Capital Costs'!E23</f>
        <v>1</v>
      </c>
      <c r="G20" s="746">
        <f t="shared" ca="1" si="1"/>
        <v>8247179.777035309</v>
      </c>
      <c r="H20" s="745">
        <f t="shared" si="2"/>
        <v>8247179.777035309</v>
      </c>
      <c r="I20" s="747"/>
      <c r="J20" s="523"/>
    </row>
    <row r="21" spans="2:10" x14ac:dyDescent="0.25">
      <c r="B21" s="754">
        <f>'Capital Costs'!B24</f>
        <v>0</v>
      </c>
      <c r="C21" s="745">
        <f>'Capital Costs'!D24</f>
        <v>0</v>
      </c>
      <c r="D21" s="744"/>
      <c r="E21" s="745">
        <f t="shared" ca="1" si="0"/>
        <v>0</v>
      </c>
      <c r="F21" s="756">
        <f>'Capital Costs'!E24</f>
        <v>0</v>
      </c>
      <c r="G21" s="746">
        <f t="shared" ca="1" si="1"/>
        <v>0</v>
      </c>
      <c r="H21" s="745">
        <f t="shared" si="2"/>
        <v>0</v>
      </c>
      <c r="I21" s="747"/>
      <c r="J21" s="523"/>
    </row>
    <row r="22" spans="2:10" x14ac:dyDescent="0.25">
      <c r="B22" s="754">
        <f>'Capital Costs'!B25</f>
        <v>0</v>
      </c>
      <c r="C22" s="745">
        <f>'Capital Costs'!D25</f>
        <v>0</v>
      </c>
      <c r="D22" s="744"/>
      <c r="E22" s="745">
        <f t="shared" ca="1" si="0"/>
        <v>0</v>
      </c>
      <c r="F22" s="756">
        <f>'Capital Costs'!E25</f>
        <v>0</v>
      </c>
      <c r="G22" s="746">
        <f t="shared" ca="1" si="1"/>
        <v>0</v>
      </c>
      <c r="H22" s="745">
        <f t="shared" si="2"/>
        <v>0</v>
      </c>
      <c r="I22" s="747"/>
      <c r="J22" s="523"/>
    </row>
    <row r="23" spans="2:10" x14ac:dyDescent="0.25">
      <c r="B23" s="754">
        <f>'Capital Costs'!B26</f>
        <v>0</v>
      </c>
      <c r="C23" s="745">
        <f>'Capital Costs'!D26</f>
        <v>0</v>
      </c>
      <c r="D23" s="744"/>
      <c r="E23" s="745">
        <f t="shared" ca="1" si="0"/>
        <v>0</v>
      </c>
      <c r="F23" s="756">
        <f>'Capital Costs'!E26</f>
        <v>0</v>
      </c>
      <c r="G23" s="746">
        <f t="shared" ca="1" si="1"/>
        <v>0</v>
      </c>
      <c r="H23" s="745">
        <f t="shared" si="2"/>
        <v>0</v>
      </c>
      <c r="I23" s="747"/>
      <c r="J23" s="523"/>
    </row>
    <row r="24" spans="2:10" ht="13" x14ac:dyDescent="0.3">
      <c r="B24" s="754">
        <f>'Capital Costs'!B27</f>
        <v>0</v>
      </c>
      <c r="C24" s="745">
        <f>'Capital Costs'!D27</f>
        <v>0</v>
      </c>
      <c r="D24" s="748"/>
      <c r="E24" s="745">
        <f t="shared" ca="1" si="0"/>
        <v>0</v>
      </c>
      <c r="F24" s="756">
        <f>'Capital Costs'!E27</f>
        <v>0</v>
      </c>
      <c r="G24" s="746">
        <f t="shared" ca="1" si="1"/>
        <v>0</v>
      </c>
      <c r="H24" s="745">
        <f t="shared" si="2"/>
        <v>0</v>
      </c>
      <c r="I24" s="747"/>
      <c r="J24" s="523"/>
    </row>
    <row r="25" spans="2:10" ht="13" x14ac:dyDescent="0.3">
      <c r="B25" s="754">
        <f>'Capital Costs'!B28</f>
        <v>0</v>
      </c>
      <c r="C25" s="745">
        <f>'Capital Costs'!D28</f>
        <v>0</v>
      </c>
      <c r="D25" s="748"/>
      <c r="E25" s="745">
        <f t="shared" ca="1" si="0"/>
        <v>0</v>
      </c>
      <c r="F25" s="756">
        <f>'Capital Costs'!E28</f>
        <v>0</v>
      </c>
      <c r="G25" s="746">
        <f t="shared" ca="1" si="1"/>
        <v>0</v>
      </c>
      <c r="H25" s="745">
        <f t="shared" si="2"/>
        <v>0</v>
      </c>
      <c r="I25" s="747"/>
      <c r="J25" s="523"/>
    </row>
    <row r="26" spans="2:10" ht="13.5" thickBot="1" x14ac:dyDescent="0.35">
      <c r="B26" s="754">
        <f>'Capital Costs'!B29</f>
        <v>0</v>
      </c>
      <c r="C26" s="745">
        <f>'Capital Costs'!D29</f>
        <v>0</v>
      </c>
      <c r="D26" s="749"/>
      <c r="E26" s="750">
        <f t="shared" ca="1" si="0"/>
        <v>0</v>
      </c>
      <c r="F26" s="756">
        <f>'Capital Costs'!E29</f>
        <v>0</v>
      </c>
      <c r="G26" s="751">
        <f t="shared" ca="1" si="1"/>
        <v>0</v>
      </c>
      <c r="H26" s="750">
        <f t="shared" si="2"/>
        <v>0</v>
      </c>
      <c r="I26" s="752"/>
      <c r="J26" s="524"/>
    </row>
    <row r="27" spans="2:10" ht="13.5" thickBot="1" x14ac:dyDescent="0.35">
      <c r="B27" s="515" t="s">
        <v>672</v>
      </c>
      <c r="C27" s="516">
        <f>SUM(C13:C26)</f>
        <v>135940493.20088241</v>
      </c>
      <c r="D27" s="520"/>
      <c r="E27" s="516">
        <f ca="1">SUM(E13:E26)</f>
        <v>135940493.20088241</v>
      </c>
      <c r="F27" s="518"/>
      <c r="G27" s="739">
        <f ca="1">SUM(G13:G26)</f>
        <v>135940493.20088241</v>
      </c>
      <c r="H27" s="757">
        <f>SUM(H13:H26)</f>
        <v>135940493.20088241</v>
      </c>
      <c r="I27" s="348"/>
      <c r="J27" s="521"/>
    </row>
    <row r="28" spans="2:10" ht="13" thickTop="1" x14ac:dyDescent="0.25"/>
  </sheetData>
  <mergeCells count="6">
    <mergeCell ref="D8:F8"/>
    <mergeCell ref="D3:F3"/>
    <mergeCell ref="D5:F5"/>
    <mergeCell ref="D4:F4"/>
    <mergeCell ref="D7:F7"/>
    <mergeCell ref="D6:F6"/>
  </mergeCells>
  <phoneticPr fontId="2" type="noConversion"/>
  <hyperlinks>
    <hyperlink ref="D8" r:id="rId1" xr:uid="{00000000-0004-0000-0600-000000000000}"/>
    <hyperlink ref="D7" r:id="rId2" xr:uid="{00000000-0004-0000-0600-000001000000}"/>
  </hyperlinks>
  <pageMargins left="0.75" right="0.75" top="1" bottom="1" header="0.5" footer="0.5"/>
  <pageSetup scale="68" fitToWidth="2" orientation="landscape" r:id="rId3"/>
  <headerFooter alignWithMargins="0">
    <oddHeader>&amp;L&amp;F</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N111"/>
  <sheetViews>
    <sheetView topLeftCell="A25" workbookViewId="0">
      <selection activeCell="J28" sqref="J28"/>
    </sheetView>
  </sheetViews>
  <sheetFormatPr defaultColWidth="9.1796875" defaultRowHeight="12.5" x14ac:dyDescent="0.25"/>
  <cols>
    <col min="1" max="1" width="7.54296875" style="29" customWidth="1"/>
    <col min="2" max="2" width="72.26953125" style="29" customWidth="1"/>
    <col min="3" max="3" width="15.81640625" style="29" customWidth="1"/>
    <col min="4" max="4" width="19.453125" style="29" customWidth="1"/>
    <col min="5" max="5" width="12.1796875" style="29" customWidth="1"/>
    <col min="6" max="6" width="15.81640625" style="29" customWidth="1"/>
    <col min="7" max="7" width="14.7265625" style="29" customWidth="1"/>
    <col min="8" max="8" width="17" style="29" customWidth="1"/>
    <col min="9" max="9" width="17.26953125" style="29" customWidth="1"/>
    <col min="10" max="10" width="23.453125" style="29" customWidth="1"/>
    <col min="11" max="11" width="16.1796875" style="29" customWidth="1"/>
    <col min="12" max="12" width="11.54296875" style="29" bestFit="1" customWidth="1"/>
    <col min="13" max="13" width="12.7265625" style="29" bestFit="1" customWidth="1"/>
    <col min="14" max="14" width="11.54296875" style="29" bestFit="1" customWidth="1"/>
    <col min="15" max="16384" width="9.1796875" style="29"/>
  </cols>
  <sheetData>
    <row r="1" spans="1:10" x14ac:dyDescent="0.25">
      <c r="A1" s="1294" t="s">
        <v>1288</v>
      </c>
    </row>
    <row r="2" spans="1:10" ht="22" x14ac:dyDescent="0.25">
      <c r="B2" s="819" t="s">
        <v>400</v>
      </c>
    </row>
    <row r="4" spans="1:10" ht="14" x14ac:dyDescent="0.25">
      <c r="B4" s="1582" t="s">
        <v>390</v>
      </c>
      <c r="C4" s="1582"/>
      <c r="D4" s="1582"/>
      <c r="E4" s="1582"/>
      <c r="F4" s="1582"/>
      <c r="G4" s="1582"/>
      <c r="H4" s="1582"/>
      <c r="I4" s="1582"/>
      <c r="J4" s="1582"/>
    </row>
    <row r="5" spans="1:10" ht="67.5" customHeight="1" x14ac:dyDescent="0.25">
      <c r="B5" s="1583" t="s">
        <v>410</v>
      </c>
      <c r="C5" s="1584"/>
      <c r="D5" s="1584"/>
      <c r="E5" s="1584"/>
      <c r="F5" s="1584"/>
      <c r="G5" s="1584"/>
      <c r="H5" s="1584"/>
      <c r="I5" s="1584"/>
      <c r="J5" s="1584"/>
    </row>
    <row r="6" spans="1:10" x14ac:dyDescent="0.25">
      <c r="B6" s="773"/>
      <c r="C6" s="773"/>
      <c r="D6" s="773"/>
      <c r="E6" s="773"/>
      <c r="F6" s="773"/>
      <c r="G6" s="773"/>
      <c r="H6" s="773"/>
      <c r="I6" s="773"/>
      <c r="J6" s="773"/>
    </row>
    <row r="7" spans="1:10" ht="22" x14ac:dyDescent="0.25">
      <c r="B7" s="820" t="s">
        <v>1067</v>
      </c>
      <c r="C7" s="773"/>
      <c r="D7" s="773"/>
      <c r="E7" s="773"/>
      <c r="F7" s="773"/>
      <c r="G7" s="773"/>
      <c r="H7" s="773"/>
      <c r="I7" s="773"/>
      <c r="J7" s="773"/>
    </row>
    <row r="8" spans="1:10" ht="15.5" x14ac:dyDescent="0.25">
      <c r="B8" s="821" t="s">
        <v>233</v>
      </c>
      <c r="C8" s="773"/>
      <c r="D8" s="773"/>
      <c r="E8" s="773"/>
      <c r="F8" s="773"/>
      <c r="G8" s="773"/>
      <c r="H8" s="773"/>
      <c r="I8" s="773"/>
      <c r="J8" s="773"/>
    </row>
    <row r="9" spans="1:10" x14ac:dyDescent="0.25">
      <c r="B9" s="773"/>
      <c r="C9" s="773"/>
      <c r="D9" s="773"/>
      <c r="E9" s="773"/>
      <c r="F9" s="773"/>
      <c r="G9" s="773"/>
      <c r="H9" s="773"/>
      <c r="I9" s="773"/>
      <c r="J9" s="773"/>
    </row>
    <row r="10" spans="1:10" x14ac:dyDescent="0.25">
      <c r="B10" s="773"/>
      <c r="C10" s="773"/>
      <c r="D10" s="773"/>
      <c r="E10" s="773"/>
      <c r="F10" s="773"/>
      <c r="G10" s="773"/>
      <c r="H10" s="773"/>
      <c r="I10" s="773"/>
      <c r="J10" s="773"/>
    </row>
    <row r="11" spans="1:10" ht="15.5" x14ac:dyDescent="0.25">
      <c r="B11" s="821" t="s">
        <v>234</v>
      </c>
      <c r="C11" s="773"/>
      <c r="D11" s="773"/>
      <c r="E11" s="773"/>
      <c r="F11" s="773"/>
      <c r="G11" s="773"/>
      <c r="H11" s="773"/>
      <c r="I11" s="773"/>
      <c r="J11" s="773"/>
    </row>
    <row r="12" spans="1:10" x14ac:dyDescent="0.25">
      <c r="B12" s="773"/>
      <c r="C12" s="773"/>
      <c r="D12" s="773"/>
      <c r="E12" s="773"/>
      <c r="F12" s="773"/>
      <c r="G12" s="773"/>
      <c r="H12" s="773"/>
      <c r="I12" s="773"/>
      <c r="J12" s="773"/>
    </row>
    <row r="13" spans="1:10" x14ac:dyDescent="0.25">
      <c r="B13" s="773"/>
      <c r="C13" s="773"/>
      <c r="D13" s="773"/>
      <c r="E13" s="773"/>
      <c r="F13" s="773"/>
      <c r="G13" s="773"/>
      <c r="H13" s="773"/>
      <c r="I13" s="773"/>
      <c r="J13" s="773"/>
    </row>
    <row r="14" spans="1:10" x14ac:dyDescent="0.25">
      <c r="B14" s="773"/>
      <c r="C14" s="773"/>
      <c r="D14" s="773"/>
      <c r="E14" s="773"/>
      <c r="F14" s="773"/>
      <c r="G14" s="773"/>
      <c r="H14" s="773"/>
      <c r="I14" s="773"/>
      <c r="J14" s="773"/>
    </row>
    <row r="15" spans="1:10" ht="14" x14ac:dyDescent="0.25">
      <c r="B15" s="823" t="s">
        <v>412</v>
      </c>
      <c r="C15" s="773"/>
      <c r="D15" s="773"/>
      <c r="E15" s="773"/>
      <c r="F15" s="773"/>
      <c r="G15" s="773"/>
      <c r="H15" s="773"/>
      <c r="I15" s="773"/>
      <c r="J15" s="773"/>
    </row>
    <row r="16" spans="1:10" ht="14" x14ac:dyDescent="0.25">
      <c r="B16" s="823" t="s">
        <v>425</v>
      </c>
      <c r="C16" s="773"/>
      <c r="D16" s="773"/>
      <c r="E16" s="773"/>
      <c r="F16" s="773"/>
      <c r="G16" s="773"/>
      <c r="H16" s="773"/>
      <c r="I16" s="773"/>
      <c r="J16" s="773"/>
    </row>
    <row r="17" spans="2:14" ht="14" x14ac:dyDescent="0.25">
      <c r="B17" s="823" t="s">
        <v>433</v>
      </c>
      <c r="C17" s="773"/>
      <c r="D17" s="773"/>
      <c r="E17" s="773"/>
      <c r="F17" s="773"/>
      <c r="G17" s="773"/>
      <c r="H17" s="773"/>
      <c r="I17" s="773"/>
      <c r="J17" s="773"/>
    </row>
    <row r="18" spans="2:14" ht="15.5" x14ac:dyDescent="0.25">
      <c r="B18" s="822"/>
    </row>
    <row r="19" spans="2:14" ht="13" thickBot="1" x14ac:dyDescent="0.3"/>
    <row r="20" spans="2:14" ht="44.25" customHeight="1" thickTop="1" x14ac:dyDescent="0.25">
      <c r="B20" s="1346" t="s">
        <v>411</v>
      </c>
      <c r="C20" s="1347"/>
      <c r="D20" s="1348"/>
      <c r="E20" s="1348"/>
      <c r="F20" s="1349"/>
      <c r="H20" s="1589" t="s">
        <v>819</v>
      </c>
      <c r="I20" s="1590"/>
      <c r="J20" s="1590"/>
      <c r="K20" s="1591"/>
    </row>
    <row r="21" spans="2:14" ht="39" customHeight="1" x14ac:dyDescent="0.25">
      <c r="B21" s="555" t="s">
        <v>955</v>
      </c>
      <c r="C21" s="560">
        <f ca="1">Feed_CO2_MTpY</f>
        <v>1267500</v>
      </c>
      <c r="D21" s="1592" t="s">
        <v>413</v>
      </c>
      <c r="E21" s="1592"/>
      <c r="F21" s="1593"/>
      <c r="H21" s="1572" t="s">
        <v>83</v>
      </c>
      <c r="I21" s="1573"/>
      <c r="J21" s="1350"/>
      <c r="K21" s="1351"/>
    </row>
    <row r="22" spans="2:14" ht="14.25" customHeight="1" x14ac:dyDescent="0.25">
      <c r="B22" s="555" t="s">
        <v>954</v>
      </c>
      <c r="C22" s="561">
        <f ca="1">Feed_CO2_kgpkgH2</f>
        <v>24.93157945624549</v>
      </c>
      <c r="D22" s="557"/>
      <c r="E22" s="557"/>
      <c r="F22" s="558"/>
      <c r="H22" s="1574" t="s">
        <v>428</v>
      </c>
      <c r="I22" s="1575"/>
      <c r="J22" s="1371" t="e">
        <f ca="1">SUM(C54:C57)</f>
        <v>#VALUE!</v>
      </c>
      <c r="K22" s="1351"/>
    </row>
    <row r="23" spans="2:14" ht="14.25" customHeight="1" x14ac:dyDescent="0.25">
      <c r="B23" s="555" t="s">
        <v>429</v>
      </c>
      <c r="C23" s="1311">
        <f ca="1">Feed_CO2_MTpY/365*CO2_Capture_Efficiency</f>
        <v>0</v>
      </c>
      <c r="D23" s="557"/>
      <c r="E23" s="557"/>
      <c r="F23" s="558"/>
      <c r="H23" s="1574" t="s">
        <v>1233</v>
      </c>
      <c r="I23" s="1575"/>
      <c r="J23" s="1371">
        <f ca="1">C71</f>
        <v>80988.893635198634</v>
      </c>
      <c r="K23" s="1351"/>
      <c r="N23" s="1294"/>
    </row>
    <row r="24" spans="2:14" ht="14.25" customHeight="1" x14ac:dyDescent="0.25">
      <c r="B24" s="555" t="s">
        <v>1286</v>
      </c>
      <c r="C24" s="1305">
        <f ca="1">CO2_flowrate*365/1000000</f>
        <v>0</v>
      </c>
      <c r="D24" s="1307"/>
      <c r="E24" s="1307"/>
      <c r="F24" s="1297"/>
      <c r="H24" s="1574" t="s">
        <v>1236</v>
      </c>
      <c r="I24" s="1575"/>
      <c r="J24" s="1371">
        <f ca="1">SUM(C82:C83)</f>
        <v>0</v>
      </c>
      <c r="K24" s="1351"/>
      <c r="N24" s="1294"/>
    </row>
    <row r="25" spans="2:14" ht="14" x14ac:dyDescent="0.25">
      <c r="B25" s="593" t="s">
        <v>431</v>
      </c>
      <c r="C25" s="594">
        <f ca="1">HLOOKUP(startup_year,INDIRECT(TMP_PriceTable),MATCH("Industrial Electricity",INDIRECT(Energy_Feed_List),0),FALSE)*VLOOKUP("kWh",CC_feedconversion,2,FALSE)</f>
        <v>7.7596976084681746E-2</v>
      </c>
      <c r="D25" s="1594" t="s">
        <v>432</v>
      </c>
      <c r="E25" s="1594"/>
      <c r="F25" s="1595"/>
      <c r="H25" s="1598" t="s">
        <v>1238</v>
      </c>
      <c r="I25" s="1599"/>
      <c r="J25" s="1371">
        <f ca="1">SUM(C93:C95)</f>
        <v>39831626.153846137</v>
      </c>
      <c r="K25" s="1353"/>
      <c r="M25" s="1300"/>
    </row>
    <row r="26" spans="2:14" ht="14.5" thickBot="1" x14ac:dyDescent="0.3">
      <c r="B26" s="559" t="s">
        <v>999</v>
      </c>
      <c r="C26" s="562">
        <f ca="1">IF(C21=0,0,(pump_power)*cap_factor*24*365/output_kgyear)</f>
        <v>0</v>
      </c>
      <c r="D26" s="1585"/>
      <c r="E26" s="1585"/>
      <c r="F26" s="1586"/>
      <c r="H26" s="1596"/>
      <c r="I26" s="1597"/>
      <c r="J26" s="1374">
        <f>IF(CO2_Capture_Efficiency,SUM(J22:J25),0)</f>
        <v>0</v>
      </c>
      <c r="K26" s="1353" t="str">
        <f>"Total ("&amp;ref_year&amp;"$)"</f>
        <v>Total (2016$)</v>
      </c>
    </row>
    <row r="27" spans="2:14" ht="18.75" customHeight="1" thickTop="1" thickBot="1" x14ac:dyDescent="0.3">
      <c r="H27" s="1574" t="s">
        <v>1096</v>
      </c>
      <c r="I27" s="1575"/>
      <c r="J27" s="1371">
        <f ca="1">IFERROR(IF(CO2_inUse = "To Use Carbon Sequestration Click 'Link to Detail Sheet' in the Input Sheet Capital Cost Section",0,(J23+J24)/1.2+J25/1.5+J22),0)</f>
        <v>0</v>
      </c>
      <c r="K27" s="1351"/>
    </row>
    <row r="28" spans="2:14" ht="31.5" customHeight="1" thickTop="1" thickBot="1" x14ac:dyDescent="0.3">
      <c r="B28" s="1342" t="s">
        <v>412</v>
      </c>
      <c r="C28" s="1343"/>
      <c r="D28" s="1344"/>
      <c r="E28" s="1344"/>
      <c r="F28" s="1345"/>
      <c r="H28" s="1587"/>
      <c r="I28" s="1588"/>
      <c r="J28" s="1352"/>
      <c r="K28" s="1351"/>
    </row>
    <row r="29" spans="2:14" ht="14" x14ac:dyDescent="0.25">
      <c r="B29" s="1325" t="s">
        <v>1245</v>
      </c>
      <c r="C29" s="1323"/>
      <c r="D29" s="1324"/>
      <c r="E29" s="1324"/>
      <c r="F29" s="1326"/>
      <c r="H29" s="1354"/>
      <c r="I29" s="1355"/>
      <c r="J29" s="1352"/>
      <c r="K29" s="1351"/>
    </row>
    <row r="30" spans="2:14" ht="14" x14ac:dyDescent="0.25">
      <c r="B30" s="1327" t="s">
        <v>998</v>
      </c>
      <c r="C30" s="1378">
        <v>0</v>
      </c>
      <c r="D30" s="1312"/>
      <c r="E30" s="1564" t="s">
        <v>1287</v>
      </c>
      <c r="F30" s="1600"/>
      <c r="H30" s="1572" t="s">
        <v>817</v>
      </c>
      <c r="I30" s="1573"/>
      <c r="J30" s="1352"/>
      <c r="K30" s="1351"/>
    </row>
    <row r="31" spans="2:14" ht="27.65" customHeight="1" x14ac:dyDescent="0.25">
      <c r="B31" s="1327" t="s">
        <v>549</v>
      </c>
      <c r="C31" s="1340">
        <v>14.7</v>
      </c>
      <c r="D31" s="1312"/>
      <c r="E31" s="1606" t="s">
        <v>1242</v>
      </c>
      <c r="F31" s="1607"/>
      <c r="H31" s="1574" t="s">
        <v>426</v>
      </c>
      <c r="I31" s="1575"/>
      <c r="J31" s="1371">
        <f ca="1">C74</f>
        <v>0</v>
      </c>
      <c r="K31" s="1351"/>
    </row>
    <row r="32" spans="2:14" ht="28" x14ac:dyDescent="0.25">
      <c r="B32" s="1327" t="s">
        <v>1217</v>
      </c>
      <c r="C32" s="1313">
        <v>1</v>
      </c>
      <c r="D32" s="1312"/>
      <c r="E32" s="1564"/>
      <c r="F32" s="1565"/>
      <c r="H32" s="1372" t="s">
        <v>427</v>
      </c>
      <c r="I32" s="1373"/>
      <c r="J32" s="1371">
        <v>0</v>
      </c>
      <c r="K32" s="1351"/>
    </row>
    <row r="33" spans="2:11" ht="14" x14ac:dyDescent="0.25">
      <c r="B33" s="1327" t="s">
        <v>1216</v>
      </c>
      <c r="C33" s="1314">
        <v>0.75</v>
      </c>
      <c r="D33" s="1312"/>
      <c r="E33" s="1564"/>
      <c r="F33" s="1565"/>
      <c r="H33" s="1574" t="s">
        <v>428</v>
      </c>
      <c r="I33" s="1575"/>
      <c r="J33" s="1371">
        <v>0</v>
      </c>
      <c r="K33" s="1351"/>
    </row>
    <row r="34" spans="2:11" ht="14" x14ac:dyDescent="0.25">
      <c r="B34" s="1327" t="s">
        <v>1208</v>
      </c>
      <c r="C34" s="1315" t="s">
        <v>23</v>
      </c>
      <c r="D34" s="1312"/>
      <c r="E34" s="1564"/>
      <c r="F34" s="1565"/>
      <c r="H34" s="1587"/>
      <c r="I34" s="1588"/>
      <c r="J34" s="1374">
        <f ca="1">SUM(J31:J33)</f>
        <v>0</v>
      </c>
      <c r="K34" s="1353" t="str">
        <f>"Total ("&amp;ref_year&amp;"$)"</f>
        <v>Total (2016$)</v>
      </c>
    </row>
    <row r="35" spans="2:11" ht="14" x14ac:dyDescent="0.25">
      <c r="B35" s="1327" t="s">
        <v>1210</v>
      </c>
      <c r="C35" s="1315" t="s">
        <v>23</v>
      </c>
      <c r="D35" s="1312"/>
      <c r="E35" s="1564"/>
      <c r="F35" s="1565"/>
      <c r="H35" s="1572" t="s">
        <v>818</v>
      </c>
      <c r="I35" s="1573"/>
      <c r="J35" s="1352"/>
      <c r="K35" s="1351"/>
    </row>
    <row r="36" spans="2:11" ht="14" x14ac:dyDescent="0.25">
      <c r="B36" s="1327" t="s">
        <v>1243</v>
      </c>
      <c r="C36" s="1313">
        <v>100</v>
      </c>
      <c r="D36" s="1312"/>
      <c r="E36" s="1564"/>
      <c r="F36" s="1565"/>
      <c r="H36" s="1574" t="s">
        <v>963</v>
      </c>
      <c r="I36" s="1575"/>
      <c r="J36" s="1371">
        <f ca="1">-Feed_CO2_MTpY*CO2_Capture_Efficiency*CO2_credit</f>
        <v>0</v>
      </c>
      <c r="K36" s="1351"/>
    </row>
    <row r="37" spans="2:11" ht="14" x14ac:dyDescent="0.25">
      <c r="B37" s="1327" t="s">
        <v>1244</v>
      </c>
      <c r="C37" s="1313">
        <v>0</v>
      </c>
      <c r="D37" s="1312"/>
      <c r="E37" s="1564"/>
      <c r="F37" s="1565"/>
      <c r="H37" s="1574" t="s">
        <v>428</v>
      </c>
      <c r="I37" s="1575"/>
      <c r="J37" s="1371">
        <f>+C61</f>
        <v>693420.37890424987</v>
      </c>
      <c r="K37" s="1351"/>
    </row>
    <row r="38" spans="2:11" ht="14.5" thickBot="1" x14ac:dyDescent="0.3">
      <c r="B38" s="1328" t="s">
        <v>1251</v>
      </c>
      <c r="C38" s="1319" t="e">
        <f ca="1">Pipe_Diameter(CO2_PipeLength,
        C67, C66,
        C37,
        0.5,
        CO2_flowrate,
        CO2_Pipeline_Temp,
        n_CO2_pumps)</f>
        <v>#VALUE!</v>
      </c>
      <c r="D38" s="1320"/>
      <c r="E38" s="1604"/>
      <c r="F38" s="1605"/>
      <c r="H38" s="1574" t="s">
        <v>1233</v>
      </c>
      <c r="I38" s="1575"/>
      <c r="J38" s="1371">
        <f ca="1">C78</f>
        <v>3239.5557454079453</v>
      </c>
      <c r="K38" s="1351"/>
    </row>
    <row r="39" spans="2:11" ht="14" x14ac:dyDescent="0.25">
      <c r="B39" s="1601" t="s">
        <v>1246</v>
      </c>
      <c r="C39" s="1602"/>
      <c r="D39" s="1602"/>
      <c r="E39" s="1602"/>
      <c r="F39" s="1603"/>
      <c r="H39" s="1574" t="s">
        <v>1236</v>
      </c>
      <c r="I39" s="1575"/>
      <c r="J39" s="1371">
        <f ca="1">C86</f>
        <v>0</v>
      </c>
      <c r="K39" s="1351"/>
    </row>
    <row r="40" spans="2:11" ht="14" x14ac:dyDescent="0.25">
      <c r="B40" s="1327" t="s">
        <v>1222</v>
      </c>
      <c r="C40" s="1313">
        <v>53</v>
      </c>
      <c r="D40" s="1312"/>
      <c r="E40" s="1564" t="s">
        <v>1250</v>
      </c>
      <c r="F40" s="1565"/>
      <c r="H40" s="1598" t="s">
        <v>1237</v>
      </c>
      <c r="I40" s="1599"/>
      <c r="J40" s="1375">
        <f ca="1">SUM(C103:C107)</f>
        <v>2016053.2255769228</v>
      </c>
      <c r="K40" s="1351"/>
    </row>
    <row r="41" spans="2:11" ht="35.5" customHeight="1" thickBot="1" x14ac:dyDescent="0.3">
      <c r="B41" s="1328" t="s">
        <v>1223</v>
      </c>
      <c r="C41" s="1321">
        <f>denPRCO2(0.00005,AVERAGE(C66:C67)/MPa_to_psi,CO2_Pipeline_Temp)</f>
        <v>865.79471045444359</v>
      </c>
      <c r="D41" s="1320"/>
      <c r="E41" s="1578" t="s">
        <v>1224</v>
      </c>
      <c r="F41" s="1579"/>
      <c r="H41" s="1572"/>
      <c r="I41" s="1573"/>
      <c r="J41" s="1374">
        <f>IF(CO2_Capture_Efficiency&gt;0,SUM(J36:J40),0)</f>
        <v>0</v>
      </c>
      <c r="K41" s="1353" t="str">
        <f>"Total  ("&amp;ref_year&amp;"$)"</f>
        <v>Total  (2016$)</v>
      </c>
    </row>
    <row r="42" spans="2:11" ht="14" x14ac:dyDescent="0.25">
      <c r="B42" s="1601" t="s">
        <v>1247</v>
      </c>
      <c r="C42" s="1602"/>
      <c r="D42" s="1602"/>
      <c r="E42" s="1602"/>
      <c r="F42" s="1603"/>
      <c r="H42" s="1354"/>
      <c r="I42" s="1355"/>
      <c r="J42" s="1352"/>
      <c r="K42" s="1351"/>
    </row>
    <row r="43" spans="2:11" ht="14.5" customHeight="1" x14ac:dyDescent="0.25">
      <c r="B43" s="1327" t="s">
        <v>961</v>
      </c>
      <c r="C43" s="1316">
        <v>0</v>
      </c>
      <c r="D43" s="1312"/>
      <c r="E43" s="1318"/>
      <c r="F43" s="1329"/>
      <c r="H43" s="1574" t="s">
        <v>826</v>
      </c>
      <c r="I43" s="1575"/>
      <c r="J43" s="1374">
        <f>Det_CO2_seq*tax_ins_rate</f>
        <v>0</v>
      </c>
      <c r="K43" s="1353" t="str">
        <f>+K41</f>
        <v>Total  (2016$)</v>
      </c>
    </row>
    <row r="44" spans="2:11" ht="15" customHeight="1" thickBot="1" x14ac:dyDescent="0.3">
      <c r="B44" s="1328" t="s">
        <v>1211</v>
      </c>
      <c r="C44" s="1322">
        <v>0.04</v>
      </c>
      <c r="D44" s="1320"/>
      <c r="E44" s="1580"/>
      <c r="F44" s="1581"/>
      <c r="H44" s="1356"/>
      <c r="I44" s="1357"/>
      <c r="J44" s="1358"/>
      <c r="K44" s="1359"/>
    </row>
    <row r="45" spans="2:11" ht="15" customHeight="1" x14ac:dyDescent="0.25">
      <c r="B45" s="1601" t="s">
        <v>1248</v>
      </c>
      <c r="C45" s="1602"/>
      <c r="D45" s="1602"/>
      <c r="E45" s="1602"/>
      <c r="F45" s="1603"/>
      <c r="H45" s="1568" t="s">
        <v>1239</v>
      </c>
      <c r="I45" s="1569"/>
      <c r="J45" s="1569"/>
      <c r="K45" s="1376" t="e">
        <f ca="1">ROUND(CO2_eCostpY/(Feed_CO2_MTpY*CO2_Capture_Efficiency),1)</f>
        <v>#DIV/0!</v>
      </c>
    </row>
    <row r="46" spans="2:11" ht="15" customHeight="1" x14ac:dyDescent="0.25">
      <c r="B46" s="1327" t="s">
        <v>66</v>
      </c>
      <c r="C46" s="1317">
        <f ca="1">(real_irr*(1+real_irr)^anal_period)/(((real_irr+1)^anal_period)-1)</f>
        <v>8.3860161500585326E-2</v>
      </c>
      <c r="D46" s="1312"/>
      <c r="E46" s="1564"/>
      <c r="F46" s="1565"/>
      <c r="H46" s="1574" t="s">
        <v>1240</v>
      </c>
      <c r="I46" s="1575"/>
      <c r="J46" s="1575"/>
      <c r="K46" s="1377" t="e">
        <f ca="1">ROUND((Det_CO2_OandMcost+ CCS_tax_insurance)/(Feed_CO2_MTpY*CO2_Capture_Efficiency),1)</f>
        <v>#DIV/0!</v>
      </c>
    </row>
    <row r="47" spans="2:11" ht="15" customHeight="1" thickBot="1" x14ac:dyDescent="0.3">
      <c r="B47" s="1327" t="s">
        <v>0</v>
      </c>
      <c r="C47" s="1317">
        <f ca="1">INDEX(MACRS_Table,MATCH("NPV - Real IRR",recovery_year,0),MATCH(depr_length,recovery_period,0))*(1+real_irr)</f>
        <v>0.54674112188719604</v>
      </c>
      <c r="D47" s="1312"/>
      <c r="E47" s="1564"/>
      <c r="F47" s="1565"/>
      <c r="H47" s="1576" t="s">
        <v>1241</v>
      </c>
      <c r="I47" s="1577"/>
      <c r="J47" s="1577"/>
      <c r="K47" s="1380" t="e">
        <f ca="1">ROUND((Det_CO2_seq+(-PV(nominal_irr,plant_life,C100)*(1+nominal_irr)))*CO2_cap_charge_rate/(Feed_CO2_MTpY*CO2_Capture_Efficiency),1)</f>
        <v>#DIV/0!</v>
      </c>
    </row>
    <row r="48" spans="2:11" ht="15" customHeight="1" thickTop="1" thickBot="1" x14ac:dyDescent="0.3">
      <c r="B48" s="1330" t="s">
        <v>1</v>
      </c>
      <c r="C48" s="1341">
        <f ca="1">(CO2_cap_rec*(1-total_tax_rate*CO2_depr_factor))/(1-total_tax_rate)</f>
        <v>9.7035312812405017E-2</v>
      </c>
      <c r="D48" s="1331"/>
      <c r="E48" s="1570"/>
      <c r="F48" s="1571"/>
      <c r="H48" s="1566" t="s">
        <v>1289</v>
      </c>
      <c r="I48" s="1567"/>
      <c r="J48" s="1567"/>
      <c r="K48" s="1379" t="e">
        <f ca="1">SUM(K45:K47)</f>
        <v>#DIV/0!</v>
      </c>
    </row>
    <row r="49" spans="2:11" ht="13.5" thickTop="1" thickBot="1" x14ac:dyDescent="0.3"/>
    <row r="50" spans="2:11" ht="18.5" thickTop="1" x14ac:dyDescent="0.25">
      <c r="B50" s="554" t="s">
        <v>1221</v>
      </c>
      <c r="C50" s="563"/>
      <c r="D50" s="563"/>
      <c r="E50" s="563"/>
      <c r="F50" s="563"/>
      <c r="G50" s="563"/>
      <c r="H50" s="563"/>
      <c r="I50" s="563"/>
      <c r="J50" s="563"/>
      <c r="K50" s="564"/>
    </row>
    <row r="51" spans="2:11" ht="13.9" customHeight="1" x14ac:dyDescent="0.25">
      <c r="B51" s="32" t="str">
        <f>"CO2 Pipeline Costs ("&amp;ref_year&amp;" USD)"</f>
        <v>CO2 Pipeline Costs (2016 USD)</v>
      </c>
      <c r="C51" s="1286"/>
      <c r="D51" s="1336" t="s">
        <v>1049</v>
      </c>
      <c r="E51" s="1332" t="s">
        <v>1249</v>
      </c>
      <c r="F51" s="1286"/>
      <c r="G51" s="1286"/>
      <c r="H51" s="1286"/>
      <c r="I51" s="1286"/>
      <c r="J51" s="1286"/>
      <c r="K51" s="565"/>
    </row>
    <row r="52" spans="2:11" ht="12.65" customHeight="1" x14ac:dyDescent="0.25">
      <c r="B52" s="1290" t="s">
        <v>1235</v>
      </c>
      <c r="C52" s="1286"/>
      <c r="D52" s="1286"/>
      <c r="E52" s="1286"/>
      <c r="F52" s="1286"/>
      <c r="G52" s="1286"/>
      <c r="H52" s="1286"/>
      <c r="I52" s="1286"/>
      <c r="J52" s="1286"/>
      <c r="K52" s="565"/>
    </row>
    <row r="53" spans="2:11" ht="12.65" customHeight="1" x14ac:dyDescent="0.4">
      <c r="B53" s="1360" t="s">
        <v>1207</v>
      </c>
      <c r="C53" s="1361" t="e">
        <f ca="1">IF(CO2_PipeDia&gt;20,1.25, IF(CO2_PipeDia&gt;16,1.18,IF(CO2_PipeDia&gt;12,1.12,1)))</f>
        <v>#VALUE!</v>
      </c>
      <c r="D53" s="1362"/>
      <c r="E53" s="1338" t="s">
        <v>1272</v>
      </c>
      <c r="F53" s="1286"/>
      <c r="G53" s="1286"/>
      <c r="H53" s="1286"/>
      <c r="I53" s="1286"/>
      <c r="J53" s="1286"/>
      <c r="K53" s="565"/>
    </row>
    <row r="54" spans="2:11" ht="12.65" customHeight="1" x14ac:dyDescent="0.4">
      <c r="B54" s="1360" t="s">
        <v>1258</v>
      </c>
      <c r="C54" s="1363" t="e">
        <f ca="1">(35000+CO2_PipeLength*(330.5*CO2_PipeDia^2+687*CO2_PipeDia+26960))*NG_to_CO2Pipeline*VLOOKUP(ref_year,Tbl_PlantCostIndexes,2)/VLOOKUP(2000,Tbl_PlantCostIndexes,2)</f>
        <v>#VALUE!</v>
      </c>
      <c r="D54" s="1364" t="str">
        <f>ref_year&amp;"$"</f>
        <v>2016$</v>
      </c>
      <c r="E54" s="1338" t="s">
        <v>1278</v>
      </c>
      <c r="F54" s="1286"/>
      <c r="G54" s="1286"/>
      <c r="H54" s="1286"/>
      <c r="I54" s="1286"/>
      <c r="J54" s="1286"/>
      <c r="K54" s="565"/>
    </row>
    <row r="55" spans="2:11" ht="12.65" customHeight="1" x14ac:dyDescent="0.4">
      <c r="B55" s="1360" t="s">
        <v>1268</v>
      </c>
      <c r="C55" s="1363" t="e">
        <f ca="1">(185000+CO2_PipeLength*(343*CO2_PipeDia^2+2074*CO2_PipeDia+170013))*NG_to_CO2Pipeline*VLOOKUP(ref_year,Tbl_labor_indexes,2)/VLOOKUP(2000,Tbl_labor_indexes,2)</f>
        <v>#VALUE!</v>
      </c>
      <c r="D55" s="1364" t="str">
        <f>ref_year&amp;"$"</f>
        <v>2016$</v>
      </c>
      <c r="E55" s="1338" t="s">
        <v>1279</v>
      </c>
      <c r="F55" s="1286"/>
      <c r="G55" s="1286"/>
      <c r="H55" s="1286"/>
      <c r="I55" s="1286"/>
      <c r="J55" s="1286"/>
      <c r="K55" s="565"/>
    </row>
    <row r="56" spans="2:11" ht="12.65" customHeight="1" x14ac:dyDescent="0.4">
      <c r="B56" s="1360" t="s">
        <v>1267</v>
      </c>
      <c r="C56" s="1363" t="e">
        <f ca="1">(40000+CO2_PipeLength*(0*CO2_PipeDia^2+577*CO2_PipeDia+29788))*NG_to_CO2Pipeline*(VLOOKUP(ref_year,DeflatorTable,2)/VLOOKUP(2000,DeflatorTable,2))</f>
        <v>#VALUE!</v>
      </c>
      <c r="D56" s="1364" t="str">
        <f>ref_year&amp;"$"</f>
        <v>2016$</v>
      </c>
      <c r="E56" s="1338" t="s">
        <v>1280</v>
      </c>
      <c r="F56" s="1286"/>
      <c r="G56" s="1286"/>
      <c r="H56" s="1286"/>
      <c r="I56" s="1286"/>
      <c r="J56" s="1286"/>
      <c r="K56" s="565"/>
    </row>
    <row r="57" spans="2:11" ht="12.65" customHeight="1" x14ac:dyDescent="0.4">
      <c r="B57" s="1360" t="s">
        <v>1266</v>
      </c>
      <c r="C57" s="1363" t="e">
        <f ca="1">(95000+CO2_PipeLength*(0*CO2_PipeDia^2+8417*CO2_PipeDia+7324))*NG_to_CO2Pipeline*VLOOKUP(ref_year,DeflatorTable,2)/VLOOKUP(2000,DeflatorTable,2)</f>
        <v>#VALUE!</v>
      </c>
      <c r="D57" s="1364" t="str">
        <f>ref_year&amp;"$"</f>
        <v>2016$</v>
      </c>
      <c r="E57" s="1338" t="s">
        <v>1281</v>
      </c>
      <c r="F57" s="1286"/>
      <c r="G57" s="1286"/>
      <c r="H57" s="1286"/>
      <c r="I57" s="1286"/>
      <c r="J57" s="1286"/>
      <c r="K57" s="565"/>
    </row>
    <row r="58" spans="2:11" ht="12.65" customHeight="1" x14ac:dyDescent="0.25">
      <c r="B58" s="1360" t="s">
        <v>1269</v>
      </c>
      <c r="C58" s="1363" t="e">
        <f ca="1">SUM(C54:C57)/CO2_PipeLength</f>
        <v>#VALUE!</v>
      </c>
      <c r="D58" s="1364" t="str">
        <f>ref_year&amp;"$/mile"</f>
        <v>2016$/mile</v>
      </c>
      <c r="E58" s="1292"/>
      <c r="F58" s="1310"/>
      <c r="G58" s="1310"/>
      <c r="H58" s="1310"/>
      <c r="I58" s="1310"/>
      <c r="J58" s="1310"/>
      <c r="K58" s="565"/>
    </row>
    <row r="59" spans="2:11" ht="12.65" customHeight="1" x14ac:dyDescent="0.25">
      <c r="B59" s="1288"/>
      <c r="C59" s="1302"/>
      <c r="D59" s="1286"/>
      <c r="E59" s="1292"/>
      <c r="F59" s="1286"/>
      <c r="G59" s="1286"/>
      <c r="H59" s="1286"/>
      <c r="I59" s="1286"/>
      <c r="J59" s="1286"/>
      <c r="K59" s="565"/>
    </row>
    <row r="60" spans="2:11" ht="12.65" customHeight="1" x14ac:dyDescent="0.25">
      <c r="B60" s="1290" t="s">
        <v>416</v>
      </c>
      <c r="C60" s="1302"/>
      <c r="D60" s="1286"/>
      <c r="E60" s="1292"/>
      <c r="F60" s="1286"/>
      <c r="G60" s="1286"/>
      <c r="H60" s="1286"/>
      <c r="I60" s="1286"/>
      <c r="J60" s="1286"/>
      <c r="K60" s="565"/>
    </row>
    <row r="61" spans="2:11" ht="12.65" customHeight="1" x14ac:dyDescent="0.25">
      <c r="B61" s="1360" t="s">
        <v>1265</v>
      </c>
      <c r="C61" s="1363">
        <f>5000*CO2_PipeLength*(VLOOKUP(ref_year,Tbl_PlantCostIndexes,2)/VLOOKUP(1999,Tbl_PlantCostIndexes,2))</f>
        <v>693420.37890424987</v>
      </c>
      <c r="D61" s="1364" t="str">
        <f>ref_year&amp;"$/year"</f>
        <v>2016$/year</v>
      </c>
      <c r="E61" s="1293" t="s">
        <v>1282</v>
      </c>
      <c r="F61" s="1286"/>
      <c r="G61" s="1286"/>
      <c r="H61" s="1286"/>
      <c r="I61" s="1286"/>
      <c r="J61" s="1286"/>
      <c r="K61" s="565"/>
    </row>
    <row r="62" spans="2:11" ht="12.65" customHeight="1" x14ac:dyDescent="0.25">
      <c r="B62" s="1288"/>
      <c r="C62" s="1286"/>
      <c r="D62" s="1286"/>
      <c r="E62" s="1292"/>
      <c r="F62" s="1286"/>
      <c r="G62" s="1286"/>
      <c r="H62" s="1286"/>
      <c r="I62" s="1286"/>
      <c r="J62" s="1286"/>
      <c r="K62" s="565"/>
    </row>
    <row r="63" spans="2:11" ht="12.65" customHeight="1" x14ac:dyDescent="0.25">
      <c r="B63" s="1288"/>
      <c r="C63" s="1286"/>
      <c r="D63" s="1286"/>
      <c r="E63" s="1292"/>
      <c r="F63" s="1286"/>
      <c r="G63" s="1286"/>
      <c r="H63" s="1286"/>
      <c r="I63" s="1286"/>
      <c r="J63" s="1286"/>
      <c r="K63" s="565"/>
    </row>
    <row r="64" spans="2:11" ht="13.9" customHeight="1" x14ac:dyDescent="0.25">
      <c r="B64" s="32" t="s">
        <v>1206</v>
      </c>
      <c r="C64" s="1286"/>
      <c r="D64" s="1286"/>
      <c r="E64" s="1292"/>
      <c r="F64" s="1286"/>
      <c r="G64" s="1286"/>
      <c r="H64" s="1286"/>
      <c r="I64" s="1286"/>
      <c r="J64" s="1286"/>
      <c r="K64" s="565"/>
    </row>
    <row r="65" spans="2:11" ht="12.65" customHeight="1" x14ac:dyDescent="0.25">
      <c r="B65" s="1290" t="s">
        <v>83</v>
      </c>
      <c r="C65" s="1286"/>
      <c r="D65" s="1286"/>
      <c r="E65" s="1292"/>
      <c r="F65" s="1286"/>
      <c r="G65" s="1286"/>
      <c r="H65" s="1286"/>
      <c r="I65" s="1286"/>
      <c r="J65" s="1286"/>
      <c r="K65" s="565"/>
    </row>
    <row r="66" spans="2:11" ht="12.65" customHeight="1" x14ac:dyDescent="0.25">
      <c r="B66" s="1360" t="s">
        <v>1212</v>
      </c>
      <c r="C66" s="1365">
        <f>CO2_Pin_psia</f>
        <v>14.7</v>
      </c>
      <c r="D66" s="1364" t="s">
        <v>1214</v>
      </c>
      <c r="E66" s="1292"/>
      <c r="F66" s="1286"/>
      <c r="G66" s="1286"/>
      <c r="H66" s="1286"/>
      <c r="I66" s="1286"/>
      <c r="J66" s="1286"/>
      <c r="K66" s="565"/>
    </row>
    <row r="67" spans="2:11" ht="12.65" customHeight="1" x14ac:dyDescent="0.25">
      <c r="B67" s="1360" t="s">
        <v>1213</v>
      </c>
      <c r="C67" s="1365">
        <f>15*MPa_to_psi</f>
        <v>2175.5700000000002</v>
      </c>
      <c r="D67" s="1364" t="s">
        <v>1214</v>
      </c>
      <c r="E67" s="1292"/>
      <c r="F67" s="1286"/>
      <c r="G67" s="1286"/>
      <c r="H67" s="1286"/>
      <c r="I67" s="1286"/>
      <c r="J67" s="1286"/>
      <c r="K67" s="565"/>
    </row>
    <row r="68" spans="2:11" ht="15.5" x14ac:dyDescent="0.25">
      <c r="B68" s="1360" t="s">
        <v>1215</v>
      </c>
      <c r="C68" s="1365">
        <f ca="1">(1000*1000000*0.001/ (24*3600))*(CO2_flowrate/cap_factor*(C67-C66)/MPa_to_psi)/(C41*Pump_Eff)</f>
        <v>0</v>
      </c>
      <c r="D68" s="1366" t="s">
        <v>414</v>
      </c>
      <c r="E68" s="1293" t="s">
        <v>1275</v>
      </c>
      <c r="F68" s="1286"/>
      <c r="G68" s="1286"/>
      <c r="H68" s="1286"/>
      <c r="I68" s="1286"/>
      <c r="J68" s="1286"/>
      <c r="K68" s="565"/>
    </row>
    <row r="69" spans="2:11" ht="12.65" customHeight="1" x14ac:dyDescent="0.25">
      <c r="B69" s="1360" t="s">
        <v>1261</v>
      </c>
      <c r="C69" s="1363">
        <f>70000*VLOOKUP(ref_year,Tbl_PlantCostIndexes,2)/VLOOKUP(2005,Tbl_PlantCostIndexes,2)</f>
        <v>80988.893635198634</v>
      </c>
      <c r="D69" s="1364" t="str">
        <f>ref_year&amp;"$"</f>
        <v>2016$</v>
      </c>
      <c r="E69" s="1293" t="s">
        <v>1276</v>
      </c>
      <c r="F69" s="1286"/>
      <c r="G69" s="1286"/>
      <c r="H69" s="1286"/>
      <c r="I69" s="1286"/>
      <c r="J69" s="1286"/>
      <c r="K69" s="565"/>
    </row>
    <row r="70" spans="2:11" ht="12.65" customHeight="1" x14ac:dyDescent="0.25">
      <c r="B70" s="1360" t="s">
        <v>1262</v>
      </c>
      <c r="C70" s="1363">
        <f ca="1">1110*C68*VLOOKUP(ref_year,Tbl_PlantCostIndexes,2)/VLOOKUP(2005,Tbl_PlantCostIndexes,2)</f>
        <v>0</v>
      </c>
      <c r="D70" s="1364" t="str">
        <f>ref_year&amp;"$"</f>
        <v>2016$</v>
      </c>
      <c r="E70" s="1293" t="s">
        <v>1274</v>
      </c>
      <c r="F70" s="1286"/>
      <c r="G70" s="1286"/>
      <c r="H70" s="1286"/>
      <c r="I70" s="1286"/>
      <c r="J70" s="1286"/>
      <c r="K70" s="565"/>
    </row>
    <row r="71" spans="2:11" ht="12.65" customHeight="1" x14ac:dyDescent="0.4">
      <c r="B71" s="1360" t="s">
        <v>1271</v>
      </c>
      <c r="C71" s="1363">
        <f ca="1">SUM(C69:C70)</f>
        <v>80988.893635198634</v>
      </c>
      <c r="D71" s="1364" t="str">
        <f>ref_year&amp;"$"</f>
        <v>2016$</v>
      </c>
      <c r="E71" s="1339" t="s">
        <v>1273</v>
      </c>
      <c r="F71" s="1310"/>
      <c r="G71" s="1310"/>
      <c r="H71" s="1310"/>
      <c r="I71" s="1310"/>
      <c r="J71" s="1310"/>
      <c r="K71" s="565"/>
    </row>
    <row r="72" spans="2:11" ht="12.65" customHeight="1" x14ac:dyDescent="0.25">
      <c r="B72" s="1289"/>
      <c r="C72" s="1295"/>
      <c r="D72" s="1294"/>
      <c r="E72" s="1292"/>
      <c r="F72" s="1286"/>
      <c r="G72" s="1286"/>
      <c r="H72" s="1286"/>
      <c r="I72" s="1286"/>
      <c r="J72" s="1286"/>
      <c r="K72" s="565"/>
    </row>
    <row r="73" spans="2:11" ht="12.65" customHeight="1" x14ac:dyDescent="0.25">
      <c r="B73" s="1290" t="s">
        <v>1218</v>
      </c>
      <c r="C73" s="1286"/>
      <c r="D73" s="1294"/>
      <c r="E73" s="1292"/>
      <c r="F73" s="1286"/>
      <c r="G73" s="1286"/>
      <c r="H73" s="1286"/>
      <c r="I73" s="1286"/>
      <c r="J73" s="1286"/>
      <c r="K73" s="565"/>
    </row>
    <row r="74" spans="2:11" ht="12.65" customHeight="1" x14ac:dyDescent="0.25">
      <c r="B74" s="1360" t="s">
        <v>1220</v>
      </c>
      <c r="C74" s="1363">
        <f ca="1">CO2_eCost*pump_power*cap_factor*24*365*n_CO2_pumps</f>
        <v>0</v>
      </c>
      <c r="D74" s="1367" t="str">
        <f>startup_year&amp;"$/year"</f>
        <v>2040$/year</v>
      </c>
      <c r="E74" s="1298" t="s">
        <v>1219</v>
      </c>
      <c r="F74" s="1286"/>
      <c r="G74" s="1286"/>
      <c r="H74" s="1286"/>
      <c r="I74" s="1286"/>
      <c r="J74" s="1286"/>
      <c r="K74" s="565"/>
    </row>
    <row r="75" spans="2:11" ht="12.65" customHeight="1" x14ac:dyDescent="0.25">
      <c r="B75" s="1360" t="s">
        <v>1259</v>
      </c>
      <c r="C75" s="1368">
        <f ca="1">pump_power*cap_factor*24*365*n_CO2_pumps/output_kgyear</f>
        <v>0</v>
      </c>
      <c r="D75" s="1369" t="s">
        <v>1260</v>
      </c>
      <c r="E75" s="1310"/>
      <c r="F75" s="1310"/>
      <c r="G75" s="1310"/>
      <c r="H75" s="1310"/>
      <c r="I75" s="1310"/>
      <c r="J75" s="1310"/>
      <c r="K75" s="565"/>
    </row>
    <row r="76" spans="2:11" ht="12.65" customHeight="1" x14ac:dyDescent="0.25">
      <c r="B76" s="1288"/>
      <c r="C76" s="1286"/>
      <c r="D76" s="1286"/>
      <c r="E76" s="1286"/>
      <c r="F76" s="1286"/>
      <c r="G76" s="1286"/>
      <c r="H76" s="1286"/>
      <c r="I76" s="1286"/>
      <c r="J76" s="1286"/>
      <c r="K76" s="565"/>
    </row>
    <row r="77" spans="2:11" ht="12.65" customHeight="1" x14ac:dyDescent="0.25">
      <c r="B77" s="1290" t="s">
        <v>416</v>
      </c>
      <c r="C77" s="1287"/>
      <c r="D77" s="1287"/>
      <c r="E77" s="1287"/>
      <c r="F77" s="1287"/>
      <c r="G77" s="1287"/>
      <c r="H77" s="1287"/>
      <c r="I77" s="1287"/>
      <c r="J77" s="1287"/>
      <c r="K77" s="565"/>
    </row>
    <row r="78" spans="2:11" ht="12.65" customHeight="1" x14ac:dyDescent="0.25">
      <c r="B78" s="1360" t="s">
        <v>1263</v>
      </c>
      <c r="C78" s="1370">
        <f ca="1">C71*CO2_MaintFactor</f>
        <v>3239.5557454079453</v>
      </c>
      <c r="D78" s="1364" t="str">
        <f>ref_year&amp;"$/year"</f>
        <v>2016$/year</v>
      </c>
      <c r="E78" s="1287"/>
      <c r="F78" s="1287"/>
      <c r="G78" s="1287"/>
      <c r="H78" s="1287"/>
      <c r="I78" s="1287"/>
      <c r="J78" s="1287"/>
      <c r="K78" s="565"/>
    </row>
    <row r="79" spans="2:11" ht="12.65" customHeight="1" x14ac:dyDescent="0.25">
      <c r="B79" s="1288"/>
      <c r="C79" s="1287"/>
      <c r="D79" s="1287"/>
      <c r="E79" s="1287"/>
      <c r="F79" s="1287"/>
      <c r="G79" s="1287"/>
      <c r="H79" s="1287"/>
      <c r="I79" s="1287"/>
      <c r="J79" s="1287"/>
      <c r="K79" s="565"/>
    </row>
    <row r="80" spans="2:11" ht="15" customHeight="1" x14ac:dyDescent="0.25">
      <c r="B80" s="32" t="s">
        <v>1209</v>
      </c>
      <c r="C80" s="1286"/>
      <c r="D80" s="1286"/>
      <c r="E80" s="1286"/>
      <c r="F80" s="1286"/>
      <c r="G80" s="1286"/>
      <c r="H80" s="1286"/>
      <c r="I80" s="1286"/>
      <c r="J80" s="1286"/>
      <c r="K80" s="565"/>
    </row>
    <row r="81" spans="2:13" ht="12.65" customHeight="1" x14ac:dyDescent="0.25">
      <c r="B81" s="1290" t="s">
        <v>83</v>
      </c>
      <c r="C81" s="1286"/>
      <c r="D81" s="1286"/>
      <c r="E81" s="1286"/>
      <c r="F81" s="1286"/>
      <c r="G81" s="1286"/>
      <c r="H81" s="1286"/>
      <c r="I81" s="1286"/>
      <c r="J81" s="1286"/>
      <c r="K81" s="565"/>
    </row>
    <row r="82" spans="2:13" ht="12.65" customHeight="1" x14ac:dyDescent="0.25">
      <c r="B82" s="1360" t="s">
        <v>1210</v>
      </c>
      <c r="C82" s="1363">
        <f ca="1">IF(C35="yes",701600*(CO2_flowrate_GTpY/3.2)^Scaling_Factor_Exponent*(VLOOKUP(ref_year,Tbl_PlantCostIndexes,2)/VLOOKUP(2000,Tbl_PlantCostIndexes,2)),0)</f>
        <v>0</v>
      </c>
      <c r="D82" s="1364" t="str">
        <f>ref_year&amp;"$"</f>
        <v>2016$</v>
      </c>
      <c r="E82" s="1293" t="s">
        <v>1277</v>
      </c>
      <c r="F82" s="1286"/>
      <c r="G82" s="1286"/>
      <c r="H82" s="1286"/>
      <c r="I82" s="1286"/>
      <c r="J82" s="1286"/>
      <c r="K82" s="565"/>
    </row>
    <row r="83" spans="2:13" ht="12.65" customHeight="1" x14ac:dyDescent="0.25">
      <c r="B83" s="1360" t="s">
        <v>1264</v>
      </c>
      <c r="C83" s="1363">
        <f ca="1">IF(C34="yes",94000*(CO2_flowrate_GTpY/3.2)^Scaling_Factor_Exponent*(VLOOKUP(ref_year,Tbl_PlantCostIndexes,2)/VLOOKUP(2000,Tbl_PlantCostIndexes,2)),0)</f>
        <v>0</v>
      </c>
      <c r="D83" s="1364" t="str">
        <f>ref_year&amp;"$"</f>
        <v>2016$</v>
      </c>
      <c r="E83" s="1293" t="s">
        <v>1277</v>
      </c>
      <c r="F83" s="1286"/>
      <c r="G83" s="1286"/>
      <c r="H83" s="1286"/>
      <c r="I83" s="1286"/>
      <c r="J83" s="1286"/>
      <c r="K83" s="565"/>
    </row>
    <row r="84" spans="2:13" ht="12.65" customHeight="1" x14ac:dyDescent="0.25">
      <c r="B84" s="1289"/>
      <c r="C84" s="1286"/>
      <c r="D84" s="1286"/>
      <c r="E84" s="1286"/>
      <c r="F84" s="1286"/>
      <c r="G84" s="1286"/>
      <c r="H84" s="1286"/>
      <c r="I84" s="1286"/>
      <c r="J84" s="1286"/>
      <c r="K84" s="565"/>
    </row>
    <row r="85" spans="2:13" ht="12.65" customHeight="1" x14ac:dyDescent="0.25">
      <c r="B85" s="1290" t="s">
        <v>416</v>
      </c>
      <c r="C85" s="1287"/>
      <c r="D85" s="1287"/>
      <c r="E85" s="1287"/>
      <c r="F85" s="1287"/>
      <c r="G85" s="1287"/>
      <c r="H85" s="1287"/>
      <c r="I85" s="1287"/>
      <c r="J85" s="1287"/>
      <c r="K85" s="565"/>
    </row>
    <row r="86" spans="2:13" ht="12.65" customHeight="1" x14ac:dyDescent="0.25">
      <c r="B86" s="1360" t="s">
        <v>1263</v>
      </c>
      <c r="C86" s="1363">
        <f ca="1">SUM(C82:C83)*CO2_MaintFactor</f>
        <v>0</v>
      </c>
      <c r="D86" s="1364" t="str">
        <f>ref_year&amp;"$/year"</f>
        <v>2016$/year</v>
      </c>
      <c r="E86" s="1310"/>
      <c r="F86" s="1310"/>
      <c r="G86" s="1310"/>
      <c r="H86" s="1310"/>
      <c r="I86" s="1310"/>
      <c r="J86" s="1310"/>
      <c r="K86" s="565"/>
    </row>
    <row r="87" spans="2:13" s="1286" customFormat="1" ht="12.65" customHeight="1" thickBot="1" x14ac:dyDescent="0.3">
      <c r="B87" s="1299"/>
      <c r="C87" s="566"/>
      <c r="D87" s="566"/>
      <c r="E87" s="566"/>
      <c r="F87" s="566"/>
      <c r="G87" s="566"/>
      <c r="H87" s="566"/>
      <c r="I87" s="566"/>
      <c r="J87" s="566"/>
      <c r="K87" s="567"/>
    </row>
    <row r="88" spans="2:13" s="1287" customFormat="1" ht="12.65" customHeight="1" thickTop="1" thickBot="1" x14ac:dyDescent="0.3">
      <c r="B88" s="1291"/>
    </row>
    <row r="89" spans="2:13" s="1287" customFormat="1" ht="21" customHeight="1" thickTop="1" x14ac:dyDescent="0.25">
      <c r="B89" s="554" t="s">
        <v>1229</v>
      </c>
      <c r="C89" s="563"/>
      <c r="D89" s="563"/>
      <c r="E89" s="563"/>
      <c r="F89" s="563"/>
      <c r="G89" s="563"/>
      <c r="H89" s="563"/>
      <c r="I89" s="563"/>
      <c r="J89" s="563"/>
      <c r="K89" s="564"/>
    </row>
    <row r="90" spans="2:13" s="1287" customFormat="1" ht="12.65" customHeight="1" x14ac:dyDescent="0.25">
      <c r="B90" s="32" t="s">
        <v>1234</v>
      </c>
      <c r="C90" s="1310"/>
      <c r="D90" s="1336" t="s">
        <v>1049</v>
      </c>
      <c r="E90" s="1332" t="s">
        <v>1249</v>
      </c>
      <c r="F90" s="1310"/>
      <c r="G90" s="1310"/>
      <c r="H90" s="1310"/>
      <c r="I90" s="1310"/>
      <c r="J90" s="1310"/>
      <c r="K90" s="565"/>
      <c r="L90" s="1310"/>
      <c r="M90" s="1310"/>
    </row>
    <row r="91" spans="2:13" s="1296" customFormat="1" hidden="1" x14ac:dyDescent="0.25">
      <c r="B91" s="1289" t="s">
        <v>1232</v>
      </c>
      <c r="C91" s="568">
        <f>VLOOKUP(2005,DeflatorTable,2)/VLOOKUP(2008,DeflatorTable,2)</f>
        <v>0.92676070528967247</v>
      </c>
      <c r="D91" s="1310"/>
      <c r="E91" s="1310"/>
      <c r="F91" s="1310"/>
      <c r="G91" s="1310"/>
      <c r="H91" s="1310"/>
      <c r="I91" s="1310"/>
      <c r="J91" s="1310"/>
      <c r="K91" s="565"/>
      <c r="L91" s="1310"/>
      <c r="M91" s="1310"/>
    </row>
    <row r="92" spans="2:13" s="1287" customFormat="1" ht="12.65" customHeight="1" x14ac:dyDescent="0.25">
      <c r="B92" s="1290" t="str">
        <f>"Capital Costs by Stage (Annual Cost of "&amp;plant_life&amp;" year project in "&amp;ref_year&amp;"$)"</f>
        <v>Capital Costs by Stage (Annual Cost of 40 year project in 2016$)</v>
      </c>
      <c r="C92" s="1310"/>
      <c r="D92" s="1310"/>
      <c r="E92" s="1293" t="s">
        <v>1285</v>
      </c>
      <c r="F92" s="1310"/>
      <c r="G92" s="1310"/>
      <c r="H92" s="1310"/>
      <c r="I92" s="1310"/>
      <c r="J92" s="1310"/>
      <c r="K92" s="565"/>
      <c r="L92" s="1310"/>
      <c r="M92" s="1310"/>
    </row>
    <row r="93" spans="2:13" s="1287" customFormat="1" ht="12.65" customHeight="1" x14ac:dyDescent="0.25">
      <c r="B93" s="1360" t="s">
        <v>1225</v>
      </c>
      <c r="C93" s="1363">
        <f>94000*VLOOKUP(ref_year,Tbl_labor_indexes,2)/VLOOKUP(2008,Tbl_labor_indexes,2)</f>
        <v>109497.94871794869</v>
      </c>
      <c r="D93" s="1364" t="str">
        <f>ref_year&amp;"$"</f>
        <v>2016$</v>
      </c>
      <c r="F93" s="1310"/>
      <c r="G93" s="1310"/>
      <c r="H93" s="1310"/>
      <c r="I93" s="1310"/>
      <c r="J93" s="1310"/>
      <c r="K93" s="565"/>
      <c r="L93" s="1310"/>
      <c r="M93" s="1310"/>
    </row>
    <row r="94" spans="2:13" s="1287" customFormat="1" ht="12.65" customHeight="1" x14ac:dyDescent="0.25">
      <c r="B94" s="1360" t="s">
        <v>1226</v>
      </c>
      <c r="C94" s="1363">
        <f ca="1">(-16600*CO2_flowrate_GTpY^2+53500*CO2_flowrate_GTpY+20300)*1000*VLOOKUP(ref_year,Tbl_labor_indexes,2)/VLOOKUP(2008,Tbl_labor_indexes,2)</f>
        <v>23646897.435897429</v>
      </c>
      <c r="D94" s="1364" t="str">
        <f>ref_year&amp;"$"</f>
        <v>2016$</v>
      </c>
      <c r="E94" s="1310"/>
      <c r="F94" s="1310"/>
      <c r="G94" s="1310"/>
      <c r="H94" s="1310"/>
      <c r="I94" s="1310"/>
      <c r="J94" s="1310"/>
      <c r="K94" s="565"/>
      <c r="L94" s="1310"/>
      <c r="M94" s="1310"/>
    </row>
    <row r="95" spans="2:13" s="1287" customFormat="1" ht="12.65" customHeight="1" x14ac:dyDescent="0.25">
      <c r="B95" s="1360" t="s">
        <v>169</v>
      </c>
      <c r="C95" s="1363">
        <f ca="1" xml:space="preserve"> (-400*CO2_flowrate_GTpY^2 + 2200*CO2_flowrate_GTpY + 13800)*1000*VLOOKUP(ref_year,Tbl_labor_indexes,2)/VLOOKUP(2008,Tbl_labor_indexes,2)</f>
        <v>16075230.769230762</v>
      </c>
      <c r="D95" s="1364" t="str">
        <f>ref_year&amp;"$"</f>
        <v>2016$</v>
      </c>
      <c r="E95" s="1310"/>
      <c r="F95" s="1310"/>
      <c r="G95" s="1310"/>
      <c r="H95" s="1310"/>
      <c r="I95" s="1310"/>
      <c r="J95" s="1310"/>
      <c r="K95" s="565"/>
      <c r="L95" s="1310"/>
      <c r="M95" s="1310"/>
    </row>
    <row r="96" spans="2:13" s="1310" customFormat="1" ht="12.65" customHeight="1" x14ac:dyDescent="0.25">
      <c r="B96" s="1289"/>
      <c r="C96" s="1308"/>
      <c r="K96" s="565"/>
    </row>
    <row r="97" spans="2:13" s="1310" customFormat="1" ht="12.65" customHeight="1" x14ac:dyDescent="0.25">
      <c r="B97" s="1290" t="s">
        <v>1257</v>
      </c>
      <c r="C97" s="1308"/>
      <c r="E97" s="1293"/>
      <c r="K97" s="565"/>
    </row>
    <row r="98" spans="2:13" s="1287" customFormat="1" ht="12.65" customHeight="1" x14ac:dyDescent="0.25">
      <c r="B98" s="1360" t="s">
        <v>1283</v>
      </c>
      <c r="C98" s="1363">
        <f ca="1">(-36000*CO2_flowrate_GTpY^2+224000*CO2_flowrate_GTpY+47000)*1000*(VLOOKUP(ref_year,Tbl_labor_indexes,2)/VLOOKUP(2008,Tbl_labor_indexes,2))/plant_life</f>
        <v>1368724.3589743585</v>
      </c>
      <c r="D98" s="1364" t="str">
        <f>ref_year&amp;"$/year"</f>
        <v>2016$/year</v>
      </c>
      <c r="E98" s="1310"/>
      <c r="F98" s="1310"/>
      <c r="G98" s="1310"/>
      <c r="H98" s="1310"/>
      <c r="I98" s="1310"/>
      <c r="J98" s="1310"/>
      <c r="K98" s="565"/>
      <c r="L98" s="1310"/>
      <c r="M98" s="1310"/>
    </row>
    <row r="99" spans="2:13" s="1287" customFormat="1" ht="12.65" customHeight="1" x14ac:dyDescent="0.25">
      <c r="B99" s="1360" t="s">
        <v>1228</v>
      </c>
      <c r="C99" s="1363">
        <f ca="1">(-18000*CO2_flowrate_GTpY^2 + 183000*CO2_flowrate_GTpY+ 40000)*1000*(VLOOKUP(ref_year,Tbl_labor_indexes,2)/VLOOKUP(2008,Tbl_labor_indexes,2))/plant_life</f>
        <v>1164871.7948717945</v>
      </c>
      <c r="D99" s="1364" t="str">
        <f>ref_year&amp;"$/year"</f>
        <v>2016$/year</v>
      </c>
      <c r="E99" s="1310"/>
      <c r="F99" s="1310"/>
      <c r="G99" s="1310"/>
      <c r="H99" s="1310"/>
      <c r="I99" s="1310"/>
      <c r="J99" s="1310"/>
      <c r="K99" s="565"/>
      <c r="L99" s="1310"/>
      <c r="M99" s="1310"/>
    </row>
    <row r="100" spans="2:13" s="1310" customFormat="1" ht="12.65" customHeight="1" x14ac:dyDescent="0.25">
      <c r="B100" s="1360" t="s">
        <v>1284</v>
      </c>
      <c r="C100" s="1381">
        <f>+IF(CO2_Capture_Efficiency,SUM(C98:C99),0)</f>
        <v>0</v>
      </c>
      <c r="D100" s="1364" t="str">
        <f>ref_year&amp;"$/year"</f>
        <v>2016$/year</v>
      </c>
      <c r="K100" s="565"/>
    </row>
    <row r="101" spans="2:13" s="1287" customFormat="1" ht="12.65" customHeight="1" x14ac:dyDescent="0.25">
      <c r="B101" s="1290"/>
      <c r="C101" s="1308"/>
      <c r="D101" s="1310"/>
      <c r="E101" s="1310"/>
      <c r="F101" s="1310"/>
      <c r="G101" s="1310"/>
      <c r="H101" s="1310"/>
      <c r="I101" s="1310"/>
      <c r="J101" s="1310"/>
      <c r="K101" s="565"/>
      <c r="L101" s="1310"/>
      <c r="M101" s="1310"/>
    </row>
    <row r="102" spans="2:13" s="1287" customFormat="1" ht="12.65" customHeight="1" x14ac:dyDescent="0.25">
      <c r="B102" s="1290" t="s">
        <v>1230</v>
      </c>
      <c r="C102" s="1308"/>
      <c r="D102" s="1310"/>
      <c r="E102" s="1293"/>
      <c r="F102" s="1310"/>
      <c r="G102" s="1310"/>
      <c r="H102" s="1310"/>
      <c r="I102" s="1310"/>
      <c r="J102" s="1310"/>
      <c r="K102" s="565"/>
      <c r="L102" s="1310"/>
      <c r="M102" s="1310"/>
    </row>
    <row r="103" spans="2:13" s="1286" customFormat="1" ht="12.65" customHeight="1" x14ac:dyDescent="0.25">
      <c r="B103" s="1360" t="s">
        <v>1225</v>
      </c>
      <c r="C103" s="1363">
        <f>0*(VLOOKUP(ref_year,Tbl_labor_indexes,2)/VLOOKUP(2008,Tbl_labor_indexes,2))</f>
        <v>0</v>
      </c>
      <c r="D103" s="1364" t="str">
        <f>ref_year&amp;"$/year"</f>
        <v>2016$/year</v>
      </c>
      <c r="E103" s="1310"/>
      <c r="F103" s="1310"/>
      <c r="G103" s="1310"/>
      <c r="H103" s="1310"/>
      <c r="I103" s="1310"/>
      <c r="J103" s="1310"/>
      <c r="K103" s="565"/>
      <c r="L103" s="1310"/>
      <c r="M103" s="1310"/>
    </row>
    <row r="104" spans="2:13" s="1287" customFormat="1" ht="12.65" customHeight="1" x14ac:dyDescent="0.25">
      <c r="B104" s="1360" t="s">
        <v>1226</v>
      </c>
      <c r="C104" s="1363">
        <f>395000*(VLOOKUP(ref_year,Tbl_labor_indexes,2)/VLOOKUP(2008,Tbl_labor_indexes,2))/plant_life</f>
        <v>11503.108974358973</v>
      </c>
      <c r="D104" s="1364" t="str">
        <f>ref_year&amp;"$/year"</f>
        <v>2016$/year</v>
      </c>
      <c r="E104" s="1310"/>
      <c r="F104" s="1310"/>
      <c r="G104" s="1310"/>
      <c r="H104" s="1310"/>
      <c r="I104" s="1310"/>
      <c r="J104" s="1310"/>
      <c r="K104" s="565"/>
      <c r="L104" s="1310"/>
      <c r="M104" s="1310"/>
    </row>
    <row r="105" spans="2:13" s="1287" customFormat="1" ht="12.65" customHeight="1" x14ac:dyDescent="0.25">
      <c r="B105" s="1360" t="s">
        <v>169</v>
      </c>
      <c r="C105" s="1363">
        <f>100000*(VLOOKUP(ref_year,Tbl_labor_indexes,2)/VLOOKUP(2008,Tbl_labor_indexes,2))/plant_life</f>
        <v>2912.1794871794864</v>
      </c>
      <c r="D105" s="1364" t="str">
        <f>ref_year&amp;"$/year"</f>
        <v>2016$/year</v>
      </c>
      <c r="E105" s="1310"/>
      <c r="F105" s="1310"/>
      <c r="G105" s="1310"/>
      <c r="H105" s="1310"/>
      <c r="I105" s="1310"/>
      <c r="J105" s="1310"/>
      <c r="K105" s="565"/>
      <c r="L105" s="1310"/>
      <c r="M105" s="1310"/>
    </row>
    <row r="106" spans="2:13" s="1287" customFormat="1" ht="12.65" customHeight="1" x14ac:dyDescent="0.25">
      <c r="B106" s="1360" t="s">
        <v>1227</v>
      </c>
      <c r="C106" s="1363">
        <f ca="1" xml:space="preserve"> (-30000*CO2_flowrate_GTpY^2 + 143000*CO2_flowrate_GTpY + 41000)*1000*(VLOOKUP(ref_year,Tbl_labor_indexes,2)/VLOOKUP(2008,Tbl_labor_indexes,2))/plant_life</f>
        <v>1193993.5897435895</v>
      </c>
      <c r="D106" s="1364" t="str">
        <f>ref_year&amp;"$/year"</f>
        <v>2016$/year</v>
      </c>
      <c r="E106" s="1310"/>
      <c r="F106" s="1310"/>
      <c r="G106" s="1310"/>
      <c r="H106" s="1310"/>
      <c r="I106" s="1310"/>
      <c r="J106" s="1310"/>
      <c r="K106" s="565"/>
      <c r="L106" s="1310"/>
      <c r="M106" s="1310"/>
    </row>
    <row r="107" spans="2:13" s="1287" customFormat="1" ht="12.65" customHeight="1" x14ac:dyDescent="0.25">
      <c r="B107" s="1360" t="s">
        <v>1228</v>
      </c>
      <c r="C107" s="1363">
        <f ca="1">(111200*CO2_flowrate_GTpY+27733.33)*1000*(VLOOKUP(ref_year,Tbl_labor_indexes,2)/VLOOKUP(2008,Tbl_labor_indexes,2))/plant_life</f>
        <v>807644.34737179463</v>
      </c>
      <c r="D107" s="1364" t="str">
        <f>ref_year&amp;"$/year"</f>
        <v>2016$/year</v>
      </c>
      <c r="E107" s="1310"/>
      <c r="F107" s="1310"/>
      <c r="G107" s="1310"/>
      <c r="H107" s="1310"/>
      <c r="I107" s="1310"/>
      <c r="J107" s="1310"/>
      <c r="K107" s="565"/>
      <c r="L107" s="1310"/>
      <c r="M107" s="1310"/>
    </row>
    <row r="108" spans="2:13" s="1287" customFormat="1" ht="12.65" customHeight="1" thickBot="1" x14ac:dyDescent="0.3">
      <c r="B108" s="1299"/>
      <c r="C108" s="566"/>
      <c r="D108" s="566"/>
      <c r="E108" s="566"/>
      <c r="F108" s="566"/>
      <c r="G108" s="566"/>
      <c r="H108" s="566"/>
      <c r="I108" s="566"/>
      <c r="J108" s="566"/>
      <c r="K108" s="567"/>
      <c r="L108" s="1310"/>
      <c r="M108" s="1310"/>
    </row>
    <row r="109" spans="2:13" s="1287" customFormat="1" ht="12.65" customHeight="1" thickTop="1" x14ac:dyDescent="0.25">
      <c r="B109" s="1291"/>
      <c r="C109" s="1309"/>
      <c r="D109" s="1292"/>
      <c r="L109" s="1310"/>
      <c r="M109" s="1310"/>
    </row>
    <row r="110" spans="2:13" x14ac:dyDescent="0.25">
      <c r="L110" s="1310"/>
      <c r="M110" s="1310"/>
    </row>
    <row r="111" spans="2:13" x14ac:dyDescent="0.25">
      <c r="L111" s="1310"/>
      <c r="M111" s="1310"/>
    </row>
  </sheetData>
  <mergeCells count="48">
    <mergeCell ref="H31:I31"/>
    <mergeCell ref="H37:I37"/>
    <mergeCell ref="E30:F30"/>
    <mergeCell ref="E34:F34"/>
    <mergeCell ref="B45:F45"/>
    <mergeCell ref="B42:F42"/>
    <mergeCell ref="B39:F39"/>
    <mergeCell ref="E32:F32"/>
    <mergeCell ref="E40:F40"/>
    <mergeCell ref="E38:F38"/>
    <mergeCell ref="E37:F37"/>
    <mergeCell ref="E36:F36"/>
    <mergeCell ref="E35:F35"/>
    <mergeCell ref="E31:F31"/>
    <mergeCell ref="H36:I36"/>
    <mergeCell ref="H33:I33"/>
    <mergeCell ref="E33:F33"/>
    <mergeCell ref="H46:J46"/>
    <mergeCell ref="H38:I38"/>
    <mergeCell ref="H40:I40"/>
    <mergeCell ref="H35:I35"/>
    <mergeCell ref="H39:I39"/>
    <mergeCell ref="H34:I34"/>
    <mergeCell ref="B4:J4"/>
    <mergeCell ref="B5:J5"/>
    <mergeCell ref="H30:I30"/>
    <mergeCell ref="H21:I21"/>
    <mergeCell ref="H22:I22"/>
    <mergeCell ref="D26:F26"/>
    <mergeCell ref="H28:I28"/>
    <mergeCell ref="H20:K20"/>
    <mergeCell ref="H23:I23"/>
    <mergeCell ref="D21:F21"/>
    <mergeCell ref="D25:F25"/>
    <mergeCell ref="H24:I24"/>
    <mergeCell ref="H26:I26"/>
    <mergeCell ref="H25:I25"/>
    <mergeCell ref="H27:I27"/>
    <mergeCell ref="E47:F47"/>
    <mergeCell ref="H48:J48"/>
    <mergeCell ref="H45:J45"/>
    <mergeCell ref="E48:F48"/>
    <mergeCell ref="H41:I41"/>
    <mergeCell ref="H43:I43"/>
    <mergeCell ref="H47:J47"/>
    <mergeCell ref="E41:F41"/>
    <mergeCell ref="E46:F46"/>
    <mergeCell ref="E44:F44"/>
  </mergeCells>
  <phoneticPr fontId="2" type="noConversion"/>
  <dataValidations disablePrompts="1" count="1">
    <dataValidation type="list" allowBlank="1" showInputMessage="1" showErrorMessage="1" sqref="C34:C35" xr:uid="{00000000-0002-0000-0700-000000000000}">
      <formula1>Yes_No</formula1>
    </dataValidation>
  </dataValidations>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568" r:id="rId4" name="chk_CO2_Pipeline_Temp">
          <controlPr defaultSize="0" autoLine="0" r:id="rId5">
            <anchor moveWithCells="1">
              <from>
                <xdr:col>3</xdr:col>
                <xdr:colOff>247650</xdr:colOff>
                <xdr:row>38</xdr:row>
                <xdr:rowOff>165100</xdr:rowOff>
              </from>
              <to>
                <xdr:col>4</xdr:col>
                <xdr:colOff>152400</xdr:colOff>
                <xdr:row>40</xdr:row>
                <xdr:rowOff>82550</xdr:rowOff>
              </to>
            </anchor>
          </controlPr>
        </control>
      </mc:Choice>
      <mc:Fallback>
        <control shapeId="17568" r:id="rId4" name="chk_CO2_Pipeline_Temp"/>
      </mc:Fallback>
    </mc:AlternateContent>
    <mc:AlternateContent xmlns:mc="http://schemas.openxmlformats.org/markup-compatibility/2006">
      <mc:Choice Requires="x14">
        <control shapeId="17567" r:id="rId6" name="chk_CO2_PipeElevation">
          <controlPr defaultSize="0" autoLine="0" r:id="rId7">
            <anchor moveWithCells="1">
              <from>
                <xdr:col>3</xdr:col>
                <xdr:colOff>241300</xdr:colOff>
                <xdr:row>35</xdr:row>
                <xdr:rowOff>165100</xdr:rowOff>
              </from>
              <to>
                <xdr:col>4</xdr:col>
                <xdr:colOff>146050</xdr:colOff>
                <xdr:row>37</xdr:row>
                <xdr:rowOff>76200</xdr:rowOff>
              </to>
            </anchor>
          </controlPr>
        </control>
      </mc:Choice>
      <mc:Fallback>
        <control shapeId="17567" r:id="rId6" name="chk_CO2_PipeElevation"/>
      </mc:Fallback>
    </mc:AlternateContent>
    <mc:AlternateContent xmlns:mc="http://schemas.openxmlformats.org/markup-compatibility/2006">
      <mc:Choice Requires="x14">
        <control shapeId="17566" r:id="rId8" name="chk_CO2_PipeLength">
          <controlPr defaultSize="0" autoLine="0" r:id="rId9">
            <anchor moveWithCells="1">
              <from>
                <xdr:col>3</xdr:col>
                <xdr:colOff>241300</xdr:colOff>
                <xdr:row>34</xdr:row>
                <xdr:rowOff>152400</xdr:rowOff>
              </from>
              <to>
                <xdr:col>4</xdr:col>
                <xdr:colOff>146050</xdr:colOff>
                <xdr:row>36</xdr:row>
                <xdr:rowOff>63500</xdr:rowOff>
              </to>
            </anchor>
          </controlPr>
        </control>
      </mc:Choice>
      <mc:Fallback>
        <control shapeId="17566" r:id="rId8" name="chk_CO2_PipeLength"/>
      </mc:Fallback>
    </mc:AlternateContent>
    <mc:AlternateContent xmlns:mc="http://schemas.openxmlformats.org/markup-compatibility/2006">
      <mc:Choice Requires="x14">
        <control shapeId="17565" r:id="rId10" name="chk_CO2_SurgeTank">
          <controlPr defaultSize="0" autoLine="0" r:id="rId11">
            <anchor moveWithCells="1">
              <from>
                <xdr:col>3</xdr:col>
                <xdr:colOff>241300</xdr:colOff>
                <xdr:row>33</xdr:row>
                <xdr:rowOff>152400</xdr:rowOff>
              </from>
              <to>
                <xdr:col>4</xdr:col>
                <xdr:colOff>146050</xdr:colOff>
                <xdr:row>35</xdr:row>
                <xdr:rowOff>63500</xdr:rowOff>
              </to>
            </anchor>
          </controlPr>
        </control>
      </mc:Choice>
      <mc:Fallback>
        <control shapeId="17565" r:id="rId10" name="chk_CO2_SurgeTank"/>
      </mc:Fallback>
    </mc:AlternateContent>
    <mc:AlternateContent xmlns:mc="http://schemas.openxmlformats.org/markup-compatibility/2006">
      <mc:Choice Requires="x14">
        <control shapeId="17563" r:id="rId12" name="chk_CO2_ControlSystem">
          <controlPr defaultSize="0" autoLine="0" r:id="rId13">
            <anchor moveWithCells="1">
              <from>
                <xdr:col>3</xdr:col>
                <xdr:colOff>241300</xdr:colOff>
                <xdr:row>32</xdr:row>
                <xdr:rowOff>165100</xdr:rowOff>
              </from>
              <to>
                <xdr:col>4</xdr:col>
                <xdr:colOff>146050</xdr:colOff>
                <xdr:row>34</xdr:row>
                <xdr:rowOff>76200</xdr:rowOff>
              </to>
            </anchor>
          </controlPr>
        </control>
      </mc:Choice>
      <mc:Fallback>
        <control shapeId="17563" r:id="rId12" name="chk_CO2_ControlSystem"/>
      </mc:Fallback>
    </mc:AlternateContent>
    <mc:AlternateContent xmlns:mc="http://schemas.openxmlformats.org/markup-compatibility/2006">
      <mc:Choice Requires="x14">
        <control shapeId="17562" r:id="rId14" name="chk_CO2_Pump_Eff">
          <controlPr defaultSize="0" autoLine="0" r:id="rId15">
            <anchor moveWithCells="1">
              <from>
                <xdr:col>3</xdr:col>
                <xdr:colOff>241300</xdr:colOff>
                <xdr:row>31</xdr:row>
                <xdr:rowOff>336550</xdr:rowOff>
              </from>
              <to>
                <xdr:col>4</xdr:col>
                <xdr:colOff>146050</xdr:colOff>
                <xdr:row>33</xdr:row>
                <xdr:rowOff>63500</xdr:rowOff>
              </to>
            </anchor>
          </controlPr>
        </control>
      </mc:Choice>
      <mc:Fallback>
        <control shapeId="17562" r:id="rId14" name="chk_CO2_Pump_Eff"/>
      </mc:Fallback>
    </mc:AlternateContent>
    <mc:AlternateContent xmlns:mc="http://schemas.openxmlformats.org/markup-compatibility/2006">
      <mc:Choice Requires="x14">
        <control shapeId="17561" r:id="rId16" name="chk_n_CO2_pumps">
          <controlPr defaultSize="0" autoLine="0" r:id="rId17">
            <anchor moveWithCells="1">
              <from>
                <xdr:col>3</xdr:col>
                <xdr:colOff>241300</xdr:colOff>
                <xdr:row>31</xdr:row>
                <xdr:rowOff>69850</xdr:rowOff>
              </from>
              <to>
                <xdr:col>4</xdr:col>
                <xdr:colOff>146050</xdr:colOff>
                <xdr:row>31</xdr:row>
                <xdr:rowOff>317500</xdr:rowOff>
              </to>
            </anchor>
          </controlPr>
        </control>
      </mc:Choice>
      <mc:Fallback>
        <control shapeId="17561" r:id="rId16" name="chk_n_CO2_pumps"/>
      </mc:Fallback>
    </mc:AlternateContent>
    <mc:AlternateContent xmlns:mc="http://schemas.openxmlformats.org/markup-compatibility/2006">
      <mc:Choice Requires="x14">
        <control shapeId="17452" r:id="rId18" name="chk_CO2_Capture_Efficiency">
          <controlPr defaultSize="0" autoLine="0" r:id="rId19">
            <anchor moveWithCells="1">
              <from>
                <xdr:col>3</xdr:col>
                <xdr:colOff>247650</xdr:colOff>
                <xdr:row>28</xdr:row>
                <xdr:rowOff>171450</xdr:rowOff>
              </from>
              <to>
                <xdr:col>4</xdr:col>
                <xdr:colOff>152400</xdr:colOff>
                <xdr:row>30</xdr:row>
                <xdr:rowOff>76200</xdr:rowOff>
              </to>
            </anchor>
          </controlPr>
        </control>
      </mc:Choice>
      <mc:Fallback>
        <control shapeId="17452" r:id="rId18" name="chk_CO2_Capture_Efficiency"/>
      </mc:Fallback>
    </mc:AlternateContent>
    <mc:AlternateContent xmlns:mc="http://schemas.openxmlformats.org/markup-compatibility/2006">
      <mc:Choice Requires="x14">
        <control shapeId="17453" r:id="rId20" name="chk_CO2_MaintFactor">
          <controlPr defaultSize="0" autoLine="0" r:id="rId21">
            <anchor moveWithCells="1">
              <from>
                <xdr:col>3</xdr:col>
                <xdr:colOff>247650</xdr:colOff>
                <xdr:row>43</xdr:row>
                <xdr:rowOff>0</xdr:rowOff>
              </from>
              <to>
                <xdr:col>4</xdr:col>
                <xdr:colOff>152400</xdr:colOff>
                <xdr:row>44</xdr:row>
                <xdr:rowOff>63500</xdr:rowOff>
              </to>
            </anchor>
          </controlPr>
        </control>
      </mc:Choice>
      <mc:Fallback>
        <control shapeId="17453" r:id="rId20" name="chk_CO2_MaintFactor"/>
      </mc:Fallback>
    </mc:AlternateContent>
    <mc:AlternateContent xmlns:mc="http://schemas.openxmlformats.org/markup-compatibility/2006">
      <mc:Choice Requires="x14">
        <control shapeId="17497" r:id="rId22" name="chk_CO2_Pin_psia">
          <controlPr defaultSize="0" autoLine="0" r:id="rId23">
            <anchor moveWithCells="1">
              <from>
                <xdr:col>3</xdr:col>
                <xdr:colOff>247650</xdr:colOff>
                <xdr:row>30</xdr:row>
                <xdr:rowOff>69850</xdr:rowOff>
              </from>
              <to>
                <xdr:col>4</xdr:col>
                <xdr:colOff>152400</xdr:colOff>
                <xdr:row>30</xdr:row>
                <xdr:rowOff>317500</xdr:rowOff>
              </to>
            </anchor>
          </controlPr>
        </control>
      </mc:Choice>
      <mc:Fallback>
        <control shapeId="17497" r:id="rId22" name="chk_CO2_Pin_psia"/>
      </mc:Fallback>
    </mc:AlternateContent>
    <mc:AlternateContent xmlns:mc="http://schemas.openxmlformats.org/markup-compatibility/2006">
      <mc:Choice Requires="x14">
        <control shapeId="17509" r:id="rId24" name="chk_CO2_credit">
          <controlPr defaultSize="0" autoLine="0" r:id="rId25">
            <anchor moveWithCells="1">
              <from>
                <xdr:col>3</xdr:col>
                <xdr:colOff>247650</xdr:colOff>
                <xdr:row>41</xdr:row>
                <xdr:rowOff>171450</xdr:rowOff>
              </from>
              <to>
                <xdr:col>4</xdr:col>
                <xdr:colOff>279400</xdr:colOff>
                <xdr:row>43</xdr:row>
                <xdr:rowOff>69850</xdr:rowOff>
              </to>
            </anchor>
          </controlPr>
        </control>
      </mc:Choice>
      <mc:Fallback>
        <control shapeId="17509" r:id="rId24" name="chk_CO2_credi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workbookViewId="0">
      <selection activeCell="C26" sqref="C26"/>
    </sheetView>
  </sheetViews>
  <sheetFormatPr defaultRowHeight="12.5" x14ac:dyDescent="0.25"/>
  <cols>
    <col min="2" max="2" width="28.7265625" customWidth="1"/>
    <col min="3" max="3" width="25.26953125" customWidth="1"/>
    <col min="4" max="4" width="22.7265625" customWidth="1"/>
    <col min="5" max="5" width="22.1796875" customWidth="1"/>
    <col min="6" max="6" width="20.26953125" customWidth="1"/>
    <col min="7" max="7" width="18.54296875" customWidth="1"/>
    <col min="8" max="8" width="15.7265625" customWidth="1"/>
    <col min="9" max="9" width="16.26953125" customWidth="1"/>
  </cols>
  <sheetData>
    <row r="1" spans="2:9" ht="13" thickBot="1" x14ac:dyDescent="0.3"/>
    <row r="2" spans="2:9" ht="16" thickTop="1" x14ac:dyDescent="0.35">
      <c r="B2" s="731" t="s">
        <v>1067</v>
      </c>
      <c r="C2" s="732"/>
    </row>
    <row r="3" spans="2:9" x14ac:dyDescent="0.25">
      <c r="B3" s="733" t="s">
        <v>79</v>
      </c>
      <c r="C3" s="691"/>
    </row>
    <row r="4" spans="2:9" x14ac:dyDescent="0.25">
      <c r="B4" s="733" t="s">
        <v>919</v>
      </c>
      <c r="C4" s="691"/>
    </row>
    <row r="5" spans="2:9" x14ac:dyDescent="0.25">
      <c r="B5" s="733" t="s">
        <v>394</v>
      </c>
      <c r="C5" s="691"/>
    </row>
    <row r="6" spans="2:9" x14ac:dyDescent="0.25">
      <c r="B6" s="733" t="s">
        <v>1068</v>
      </c>
      <c r="C6" s="691"/>
    </row>
    <row r="7" spans="2:9" x14ac:dyDescent="0.25">
      <c r="B7" s="733" t="s">
        <v>402</v>
      </c>
      <c r="C7" s="691"/>
    </row>
    <row r="8" spans="2:9" x14ac:dyDescent="0.25">
      <c r="B8" s="733" t="s">
        <v>535</v>
      </c>
      <c r="C8" s="691"/>
    </row>
    <row r="9" spans="2:9" x14ac:dyDescent="0.25">
      <c r="B9" s="733" t="s">
        <v>1069</v>
      </c>
      <c r="C9" s="691"/>
    </row>
    <row r="10" spans="2:9" ht="13" thickBot="1" x14ac:dyDescent="0.3">
      <c r="B10" s="734" t="s">
        <v>1070</v>
      </c>
      <c r="C10" s="735"/>
    </row>
    <row r="11" spans="2:9" ht="13" thickTop="1" x14ac:dyDescent="0.25"/>
    <row r="12" spans="2:9" ht="25" x14ac:dyDescent="0.5">
      <c r="B12" s="431" t="s">
        <v>391</v>
      </c>
      <c r="C12" s="135"/>
      <c r="D12" s="135"/>
      <c r="E12" s="53"/>
      <c r="F12" s="53"/>
      <c r="G12" s="40"/>
      <c r="H12" s="41"/>
      <c r="I12" s="134"/>
    </row>
    <row r="13" spans="2:9" ht="13" x14ac:dyDescent="0.3">
      <c r="D13" s="135"/>
      <c r="E13" s="136"/>
      <c r="F13" s="53"/>
      <c r="G13" s="40"/>
      <c r="H13" s="41"/>
      <c r="I13" s="134"/>
    </row>
    <row r="14" spans="2:9" ht="22.5" thickBot="1" x14ac:dyDescent="0.7">
      <c r="B14" s="316" t="s">
        <v>392</v>
      </c>
      <c r="D14" s="135"/>
      <c r="E14" s="53"/>
      <c r="F14" s="53"/>
      <c r="G14" s="40"/>
      <c r="H14" s="41"/>
      <c r="I14" s="134"/>
    </row>
    <row r="15" spans="2:9" ht="16" thickBot="1" x14ac:dyDescent="0.4">
      <c r="B15" s="1041" t="s">
        <v>1095</v>
      </c>
      <c r="C15" s="1042">
        <f ca="1">total_cap/(ProcEqpCap+CCSEqpCap)</f>
        <v>1.4402427577083659</v>
      </c>
      <c r="D15" s="135"/>
      <c r="E15" s="53"/>
      <c r="F15" s="53"/>
      <c r="G15" s="40"/>
      <c r="H15" s="41"/>
      <c r="I15" s="134"/>
    </row>
    <row r="16" spans="2:9" ht="13.5" thickBot="1" x14ac:dyDescent="0.3">
      <c r="B16" s="53"/>
      <c r="C16" s="53"/>
      <c r="D16" s="53"/>
      <c r="E16" s="53"/>
      <c r="F16" s="53"/>
      <c r="G16" s="40"/>
      <c r="H16" s="41"/>
      <c r="I16" s="134"/>
    </row>
    <row r="17" spans="2:9" ht="16.5" thickTop="1" thickBot="1" x14ac:dyDescent="0.4">
      <c r="B17" s="49" t="s">
        <v>79</v>
      </c>
      <c r="C17" s="149"/>
      <c r="D17" s="150"/>
      <c r="E17" s="53"/>
      <c r="F17" s="1616" t="str">
        <f>IF(CO2_inUse = "Carbon Sequestration","Approximate Carbon Sequestration Costs*","Carbon Sequestration is not included in this case")</f>
        <v>Approximate Carbon Sequestration Costs*</v>
      </c>
      <c r="G17" s="1617"/>
      <c r="H17" s="1618"/>
      <c r="I17" s="134"/>
    </row>
    <row r="18" spans="2:9" ht="56.5" thickTop="1" x14ac:dyDescent="0.3">
      <c r="B18" s="152" t="s">
        <v>80</v>
      </c>
      <c r="C18" s="56" t="s">
        <v>81</v>
      </c>
      <c r="D18" s="430" t="s">
        <v>82</v>
      </c>
      <c r="E18" s="53"/>
      <c r="F18" s="1277" t="s">
        <v>80</v>
      </c>
      <c r="G18" s="1278" t="s">
        <v>2</v>
      </c>
      <c r="H18" s="1279" t="s">
        <v>3</v>
      </c>
      <c r="I18" s="134"/>
    </row>
    <row r="19" spans="2:9" ht="14" x14ac:dyDescent="0.3">
      <c r="B19" s="629" t="s">
        <v>83</v>
      </c>
      <c r="C19" s="838">
        <f ca="1">'Cash Flow Analysis'!D119</f>
        <v>0.30233678278232029</v>
      </c>
      <c r="D19" s="153">
        <f ca="1">'Cash Flow Analysis'!C119</f>
        <v>0.13638810593651188</v>
      </c>
      <c r="E19" s="53"/>
      <c r="F19" s="1280" t="s">
        <v>83</v>
      </c>
      <c r="G19" s="1281">
        <f ca="1">IF(CO2_inUse = "Carbon Sequestration",ROUND((Det_CO2_seq+CO2_aprx_indCap)*CO2_cap_charge_rate/output_kgyear,2),"")</f>
        <v>0</v>
      </c>
      <c r="H19" s="1282" t="e">
        <f ca="1">IF(CO2_inUse = "Carbon Sequestration",CO2_capptonneCO2,"")</f>
        <v>#DIV/0!</v>
      </c>
      <c r="I19" s="134"/>
    </row>
    <row r="20" spans="2:9" ht="14" x14ac:dyDescent="0.3">
      <c r="B20" s="629" t="s">
        <v>84</v>
      </c>
      <c r="C20" s="234">
        <f ca="1">'Cash Flow Analysis'!D120</f>
        <v>1.5249343462242493E-3</v>
      </c>
      <c r="D20" s="154">
        <f ca="1">'Cash Flow Analysis'!C120</f>
        <v>6.8791797427044852E-4</v>
      </c>
      <c r="E20" s="53"/>
      <c r="F20" s="1280" t="s">
        <v>4</v>
      </c>
      <c r="G20" s="1281">
        <f ca="1">IF(CO2_inUse = "Carbon Sequestration",ROUND(Det_CO2_OandMcost/output_kgyear,2),"")</f>
        <v>0</v>
      </c>
      <c r="H20" s="1282" t="e">
        <f ca="1">IF(CO2_inUse = "Carbon Sequestration",CO2_OandMptonneCO2,"")</f>
        <v>#DIV/0!</v>
      </c>
      <c r="I20" s="134"/>
    </row>
    <row r="21" spans="2:9" ht="14" x14ac:dyDescent="0.3">
      <c r="B21" s="629" t="s">
        <v>85</v>
      </c>
      <c r="C21" s="234">
        <f ca="1">'Cash Flow Analysis'!D121</f>
        <v>0.24151439550643772</v>
      </c>
      <c r="D21" s="154">
        <f ca="1">'Cash Flow Analysis'!C121</f>
        <v>0.10895032571422489</v>
      </c>
      <c r="E21" s="53"/>
      <c r="F21" s="1280" t="s">
        <v>5</v>
      </c>
      <c r="G21" s="1281">
        <f ca="1">IF(CO2_inUse = "Carbon Sequestration",ROUND(CO2_eCostpY/output_kgyear,2),"")</f>
        <v>0</v>
      </c>
      <c r="H21" s="1282" t="e">
        <f ca="1">IF(CO2_inUse = "Carbon Sequestration",CO2_energyptonneCO2,"")</f>
        <v>#DIV/0!</v>
      </c>
      <c r="I21" s="134"/>
    </row>
    <row r="22" spans="2:9" ht="14.5" thickBot="1" x14ac:dyDescent="0.35">
      <c r="B22" s="629" t="s">
        <v>1004</v>
      </c>
      <c r="C22" s="234">
        <f ca="1">'Cash Flow Analysis'!D122</f>
        <v>1.3438636580768009</v>
      </c>
      <c r="D22" s="154">
        <f ca="1">'Cash Flow Analysis'!C122</f>
        <v>0.606234601278972</v>
      </c>
      <c r="E22" s="53"/>
      <c r="F22" s="1283" t="s">
        <v>58</v>
      </c>
      <c r="G22" s="1284">
        <f ca="1">SUM(G19:G21)</f>
        <v>0</v>
      </c>
      <c r="H22" s="1285" t="e">
        <f ca="1">SUM(H19:H21)</f>
        <v>#DIV/0!</v>
      </c>
      <c r="I22" s="134"/>
    </row>
    <row r="23" spans="2:9" ht="27" customHeight="1" thickTop="1" x14ac:dyDescent="0.25">
      <c r="B23" s="629" t="s">
        <v>86</v>
      </c>
      <c r="C23" s="234">
        <f ca="1">'Cash Flow Analysis'!D123</f>
        <v>0.14277252538404067</v>
      </c>
      <c r="D23" s="154">
        <f ca="1">'Cash Flow Analysis'!C123</f>
        <v>6.4406567198678807E-2</v>
      </c>
      <c r="E23" s="53"/>
      <c r="F23" s="1619" t="s">
        <v>6</v>
      </c>
      <c r="G23" s="1619"/>
      <c r="H23" s="1619"/>
      <c r="I23" s="134"/>
    </row>
    <row r="24" spans="2:9" x14ac:dyDescent="0.25">
      <c r="B24" s="629" t="s">
        <v>87</v>
      </c>
      <c r="C24" s="234">
        <f ca="1">'Cash Flow Analysis'!D124</f>
        <v>0</v>
      </c>
      <c r="D24" s="154">
        <f ca="1">'Cash Flow Analysis'!C124</f>
        <v>0</v>
      </c>
      <c r="E24" s="53"/>
      <c r="F24" s="53"/>
      <c r="I24" s="134"/>
    </row>
    <row r="25" spans="2:9" ht="25" x14ac:dyDescent="0.25">
      <c r="B25" s="630" t="s">
        <v>88</v>
      </c>
      <c r="C25" s="234">
        <f ca="1">'Cash Flow Analysis'!D125</f>
        <v>0.18472633156029189</v>
      </c>
      <c r="D25" s="154">
        <f ca="1">'Cash Flow Analysis'!C125</f>
        <v>8.3332481897341937E-2</v>
      </c>
      <c r="E25" s="53"/>
      <c r="F25" s="53"/>
      <c r="I25" s="134"/>
    </row>
    <row r="26" spans="2:9" ht="13.5" thickBot="1" x14ac:dyDescent="0.35">
      <c r="B26" s="631" t="s">
        <v>58</v>
      </c>
      <c r="C26" s="839">
        <f ca="1">SUM(C19:C25)</f>
        <v>2.2167386276561158</v>
      </c>
      <c r="D26" s="570"/>
      <c r="E26" s="53"/>
      <c r="F26" s="53"/>
      <c r="I26" s="134"/>
    </row>
    <row r="27" spans="2:9" ht="13.5" thickTop="1" x14ac:dyDescent="0.25">
      <c r="B27" s="53"/>
      <c r="C27" s="53"/>
      <c r="D27" s="143"/>
      <c r="E27" s="53"/>
      <c r="F27" s="53"/>
      <c r="I27" s="134"/>
    </row>
    <row r="28" spans="2:9" ht="22" x14ac:dyDescent="0.65">
      <c r="B28" s="316" t="s">
        <v>393</v>
      </c>
      <c r="C28" s="53"/>
      <c r="D28" s="41"/>
      <c r="E28" s="53"/>
      <c r="F28" s="53"/>
      <c r="G28" s="53"/>
      <c r="H28" s="53"/>
      <c r="I28" s="134"/>
    </row>
    <row r="29" spans="2:9" ht="13" thickBot="1" x14ac:dyDescent="0.3">
      <c r="I29" s="134"/>
    </row>
    <row r="30" spans="2:9" ht="16.5" thickTop="1" thickBot="1" x14ac:dyDescent="0.4">
      <c r="B30" s="1608" t="s">
        <v>919</v>
      </c>
      <c r="C30" s="1609"/>
      <c r="D30" s="613"/>
      <c r="E30" s="613"/>
      <c r="F30" s="613"/>
      <c r="G30" s="614"/>
      <c r="H30" s="614"/>
      <c r="I30" s="618"/>
    </row>
    <row r="31" spans="2:9" ht="42.5" thickBot="1" x14ac:dyDescent="0.3">
      <c r="B31" s="619" t="s">
        <v>248</v>
      </c>
      <c r="C31" s="620" t="s">
        <v>923</v>
      </c>
      <c r="D31" s="620" t="s">
        <v>918</v>
      </c>
      <c r="E31" s="621" t="s">
        <v>708</v>
      </c>
      <c r="F31" s="621" t="s">
        <v>264</v>
      </c>
      <c r="G31" s="621" t="s">
        <v>917</v>
      </c>
      <c r="H31" s="621" t="s">
        <v>934</v>
      </c>
      <c r="I31" s="622" t="s">
        <v>1193</v>
      </c>
    </row>
    <row r="32" spans="2:9" x14ac:dyDescent="0.25">
      <c r="B32" s="708" t="str">
        <f>IF('Cash Flow Analysis'!$B$131=0,"",'Cash Flow Analysis'!$B$131)</f>
        <v>Woody Biomass</v>
      </c>
      <c r="C32" s="709">
        <f ca="1">IF($B$32="","",$E$32*$F$32*$H$32)</f>
        <v>0.25472462475216323</v>
      </c>
      <c r="D32" s="709">
        <f ca="1">IF($B32="","",$C32*1000*MJ_to_kWh)</f>
        <v>70.756840208934236</v>
      </c>
      <c r="E32" s="710">
        <f ca="1">IF($B$32&lt;&gt;"",VLOOKUP($B$32,MASTER_PROPERTY_TABLE,MATCH("H2A LHV (GJ/ H2A usage input unit)",key_MPTable,0),FALSE),"")</f>
        <v>1.9551069237418006E-2</v>
      </c>
      <c r="F32" s="710">
        <f ca="1">IF('Cash Flow Analysis'!$B$133="","",'Cash Flow Analysis'!$B$133)</f>
        <v>13.02868</v>
      </c>
      <c r="G32" s="711" t="str">
        <f ca="1">IF($B$32&lt;&gt;"",VLOOKUP($B$32,MASTER_PROPERTY_TABLE,MATCH("H2A Usage Input Unit/ kg H2",key_MPTable,0),FALSE),"")</f>
        <v>kg</v>
      </c>
      <c r="H32" s="711">
        <f ca="1">IF($B32="","",IF(VLOOKUP($B32,MASTER_PROPERTY_TABLE,MATCH("Unit System",key_MPTable,0),FALSE)="English",mmBTU_to_GJ,1))</f>
        <v>1</v>
      </c>
      <c r="I32" s="1226">
        <f ca="1">+'Cash Flow Analysis'!$B$233</f>
        <v>0.10913834006896371</v>
      </c>
    </row>
    <row r="33" spans="2:9" x14ac:dyDescent="0.25">
      <c r="B33" s="662" t="str">
        <f>IF('Cash Flow Analysis'!$C$131=0,"",'Cash Flow Analysis'!$C$131)</f>
        <v/>
      </c>
      <c r="C33" s="712" t="str">
        <f>IF($B$33="","",$E$33*$F$33*$H$33)</f>
        <v/>
      </c>
      <c r="D33" s="712" t="str">
        <f>IF($B33="","",$C33*1000*MJ_to_kWh)</f>
        <v/>
      </c>
      <c r="E33" s="666" t="str">
        <f>IF($B$33&lt;&gt;"",VLOOKUP($B$33,MASTER_PROPERTY_TABLE,MATCH("H2A LHV (GJ/ H2A usage input unit)",key_MPTable,0),FALSE),"")</f>
        <v/>
      </c>
      <c r="F33" s="666" t="str">
        <f>IF('Cash Flow Analysis'!$C$133="","",'Cash Flow Analysis'!$C$133)</f>
        <v/>
      </c>
      <c r="G33" s="713" t="str">
        <f>IF($B$33&lt;&gt;"",VLOOKUP($B$33,MASTER_PROPERTY_TABLE,MATCH("H2A Usage Input Unit/ kg H2",key_MPTable,0),FALSE),"")</f>
        <v/>
      </c>
      <c r="H33" s="713" t="str">
        <f>IF($B$33="","",IF(VLOOKUP($B$33,MASTER_PROPERTY_TABLE,MATCH("Unit System",key_MPTable,0),FALSE)="English",mmBTU_to_GJ,1))</f>
        <v/>
      </c>
      <c r="I33" s="1227" t="str">
        <f>+'Cash Flow Analysis'!$C$233</f>
        <v/>
      </c>
    </row>
    <row r="34" spans="2:9" x14ac:dyDescent="0.25">
      <c r="B34" s="662" t="str">
        <f>IF('Cash Flow Analysis'!$D$131=0,"",'Cash Flow Analysis'!$D$131)</f>
        <v/>
      </c>
      <c r="C34" s="712" t="str">
        <f>IF($B$34="","",$E$34*$F$34*$H$34)</f>
        <v/>
      </c>
      <c r="D34" s="712" t="str">
        <f>IF($B34="","",$C34*1000*MJ_to_kWh)</f>
        <v/>
      </c>
      <c r="E34" s="666" t="str">
        <f>IF($B$34&lt;&gt;"",VLOOKUP($B$34,MASTER_PROPERTY_TABLE,MATCH("H2A LHV (GJ/ H2A usage input unit)",key_MPTable,0),FALSE),"")</f>
        <v/>
      </c>
      <c r="F34" s="666" t="str">
        <f>IF('Cash Flow Analysis'!$D$133="","",'Cash Flow Analysis'!$D$133)</f>
        <v/>
      </c>
      <c r="G34" s="713" t="str">
        <f>IF($B$34&lt;&gt;"",VLOOKUP($B$34,MASTER_PROPERTY_TABLE,MATCH("H2A Usage Input Unit/ kg H2",key_MPTable,0),FALSE),"")</f>
        <v/>
      </c>
      <c r="H34" s="713" t="str">
        <f>IF($B$34="","",IF(VLOOKUP($B$34,MASTER_PROPERTY_TABLE,MATCH("Unit System",key_MPTable,0),FALSE)="English",mmBTU_to_GJ,1))</f>
        <v/>
      </c>
      <c r="I34" s="1227" t="str">
        <f>+'Cash Flow Analysis'!$D$233</f>
        <v/>
      </c>
    </row>
    <row r="35" spans="2:9" ht="13" thickBot="1" x14ac:dyDescent="0.3">
      <c r="B35" s="715" t="str">
        <f>IF('Cash Flow Analysis'!$E$131=0,"",'Cash Flow Analysis'!$E$131)</f>
        <v/>
      </c>
      <c r="C35" s="716" t="str">
        <f>IF($B$35="","",$E$35*$F$35*$H$35)</f>
        <v/>
      </c>
      <c r="D35" s="716" t="str">
        <f>IF($B35="","",$C35*1000*MJ_to_kWh)</f>
        <v/>
      </c>
      <c r="E35" s="717" t="str">
        <f>IF($B$35&lt;&gt;"",VLOOKUP($B$35,MASTER_PROPERTY_TABLE,MATCH("H2A LHV (GJ/ H2A usage input unit)",key_MPTable,0),FALSE),"")</f>
        <v/>
      </c>
      <c r="F35" s="717" t="str">
        <f>IF('Cash Flow Analysis'!$E$133="","",'Cash Flow Analysis'!$E$133)</f>
        <v/>
      </c>
      <c r="G35" s="718" t="str">
        <f>IF($B$35&lt;&gt;"",VLOOKUP($B$35,MASTER_PROPERTY_TABLE,MATCH("H2A Usage Input Unit/ kg H2",key_MPTable,0),FALSE),"")</f>
        <v/>
      </c>
      <c r="H35" s="718" t="str">
        <f>IF($B$35="","",IF(VLOOKUP($B$35,MASTER_PROPERTY_TABLE,MATCH("Unit System",key_MPTable,0),FALSE)="English",mmBTU_to_GJ,1))</f>
        <v/>
      </c>
      <c r="I35" s="1228" t="str">
        <f>+'Cash Flow Analysis'!$E$233</f>
        <v/>
      </c>
    </row>
    <row r="36" spans="2:9" ht="14" x14ac:dyDescent="0.3">
      <c r="B36" s="719" t="s">
        <v>271</v>
      </c>
      <c r="C36" s="720"/>
      <c r="D36" s="720"/>
      <c r="E36" s="626"/>
      <c r="F36" s="626"/>
      <c r="G36" s="627"/>
      <c r="H36" s="627"/>
      <c r="I36" s="1229"/>
    </row>
    <row r="37" spans="2:9" x14ac:dyDescent="0.25">
      <c r="B37" s="662" t="str">
        <f>IF('Cash Flow Analysis'!$F$131=0,"",'Cash Flow Analysis'!$F$131)</f>
        <v>Industrial Electricity</v>
      </c>
      <c r="C37" s="712">
        <f ca="1">IF($B$37="","",$E$37*$F$37*$H$37)</f>
        <v>3.4019999999999992E-3</v>
      </c>
      <c r="D37" s="712">
        <f ca="1">IF($B37="","",$C37*1000*MJ_to_kWh)</f>
        <v>0.94499999999999984</v>
      </c>
      <c r="E37" s="666">
        <f ca="1">IF($B37&lt;&gt;"",VLOOKUP($B37,MASTER_PROPERTY_TABLE,MATCH("H2A LHV (GJ/ H2A usage input unit)",key_MPTable,0),FALSE),"")</f>
        <v>3.5999999999999995E-3</v>
      </c>
      <c r="F37" s="666">
        <f ca="1">IF('Cash Flow Analysis'!$F$133="","",'Cash Flow Analysis'!$F$133)</f>
        <v>0.94499999999999995</v>
      </c>
      <c r="G37" s="713" t="str">
        <f ca="1">IF($B$37&lt;&gt;"",VLOOKUP($B$37,MASTER_PROPERTY_TABLE,MATCH("H2A Usage Input Unit/ kg H2",key_MPTable,0),FALSE),"")</f>
        <v>kWh</v>
      </c>
      <c r="H37" s="713">
        <f ca="1">IF($B$37="","",IF(VLOOKUP($B$37,MASTER_PROPERTY_TABLE,MATCH("Unit System",key_MPTable,0),FALSE)="English",mmBTU_to_GJ,1))</f>
        <v>1</v>
      </c>
      <c r="I37" s="1227">
        <f ca="1">+'Cash Flow Analysis'!$F$233</f>
        <v>8.5311799867846885E-2</v>
      </c>
    </row>
    <row r="38" spans="2:9" x14ac:dyDescent="0.25">
      <c r="B38" s="662" t="str">
        <f>IF('Cash Flow Analysis'!$G$131=0,"",'Cash Flow Analysis'!$G$131)</f>
        <v>Commercial Natural Gas</v>
      </c>
      <c r="C38" s="712">
        <f ca="1">IF($B$38="","",$E$38*$F$38*$H$38)</f>
        <v>3.1133049999999998E-3</v>
      </c>
      <c r="D38" s="712">
        <f ca="1">IF($B38="","",$C38*1000*MJ_to_kWh)</f>
        <v>0.8648069444444445</v>
      </c>
      <c r="E38" s="666">
        <f ca="1">IF($B38&lt;&gt;"",VLOOKUP($B38,MASTER_PROPERTY_TABLE,MATCH("H2A LHV (GJ/ H2A usage input unit)",key_MPTable,0),FALSE),"")</f>
        <v>1.0549999999999999</v>
      </c>
      <c r="F38" s="666">
        <f ca="1">IF('Cash Flow Analysis'!$G$133="","",'Cash Flow Analysis'!$G$133)</f>
        <v>2.9510000000000001E-3</v>
      </c>
      <c r="G38" s="713" t="str">
        <f ca="1">IF($B$38&lt;&gt;"",VLOOKUP($B$38,MASTER_PROPERTY_TABLE,MATCH("H2A Usage Input Unit/ kg H2",key_MPTable,0),FALSE),"")</f>
        <v>mmBtu</v>
      </c>
      <c r="H38" s="713">
        <f ca="1">IF($B$38="","",IF(VLOOKUP($B$38,MASTER_PROPERTY_TABLE,MATCH("Unit System",key_MPTable,0),FALSE)="English",mmBTU_to_GJ,1))</f>
        <v>1</v>
      </c>
      <c r="I38" s="1227">
        <f ca="1">+'Cash Flow Analysis'!$G$233</f>
        <v>13.209995532132783</v>
      </c>
    </row>
    <row r="39" spans="2:9" x14ac:dyDescent="0.25">
      <c r="B39" s="662" t="str">
        <f>IF('Cash Flow Analysis'!$H$131=0,"",'Cash Flow Analysis'!$H$131)</f>
        <v/>
      </c>
      <c r="C39" s="712" t="str">
        <f>IF($B$39="","",$E$39*$F$39*$H$39)</f>
        <v/>
      </c>
      <c r="D39" s="712" t="str">
        <f>IF($B39="","",$C39*1000*MJ_to_kWh)</f>
        <v/>
      </c>
      <c r="E39" s="666" t="str">
        <f>IF($B39&lt;&gt;"",VLOOKUP($B39,MASTER_PROPERTY_TABLE,MATCH("H2A LHV (GJ/ H2A usage input unit)",key_MPTable,0),FALSE),"")</f>
        <v/>
      </c>
      <c r="F39" s="666" t="str">
        <f>IF('Cash Flow Analysis'!$H$133="","",'Cash Flow Analysis'!$H$133)</f>
        <v/>
      </c>
      <c r="G39" s="713" t="str">
        <f>IF($B$39&lt;&gt;"",VLOOKUP($B$39,MASTER_PROPERTY_TABLE,MATCH("H2A Usage Input Unit/ kg H2",key_MPTable,0),FALSE),"")</f>
        <v/>
      </c>
      <c r="H39" s="713" t="str">
        <f>IF($B$39="","",IF(VLOOKUP($B$39,MASTER_PROPERTY_TABLE,MATCH("Unit System",key_MPTable,0),FALSE)="English",mmBTU_to_GJ,1))</f>
        <v/>
      </c>
      <c r="I39" s="1227" t="str">
        <f>+'Cash Flow Analysis'!$H$233</f>
        <v/>
      </c>
    </row>
    <row r="40" spans="2:9" ht="13" thickBot="1" x14ac:dyDescent="0.3">
      <c r="B40" s="715" t="str">
        <f>IF('Cash Flow Analysis'!$I$131=0,"",'Cash Flow Analysis'!$I$131)</f>
        <v/>
      </c>
      <c r="C40" s="716" t="str">
        <f>IF($B$40="","",$E$40*$F$40*$H$40)</f>
        <v/>
      </c>
      <c r="D40" s="716" t="str">
        <f>IF($B40="","",$C40*1000*MJ_to_kWh)</f>
        <v/>
      </c>
      <c r="E40" s="717" t="str">
        <f>IF($B40&lt;&gt;"",VLOOKUP($B40,MASTER_PROPERTY_TABLE,MATCH("H2A LHV (GJ/ H2A usage input unit)",key_MPTable,0),FALSE),"")</f>
        <v/>
      </c>
      <c r="F40" s="717" t="str">
        <f>IF('Cash Flow Analysis'!$I$133="","",'Cash Flow Analysis'!$I$133)</f>
        <v/>
      </c>
      <c r="G40" s="718" t="str">
        <f>IF($B$40&lt;&gt;"",VLOOKUP($B$40,MASTER_PROPERTY_TABLE,MATCH("H2A Usage Input Unit/ kg H2",key_MPTable,0),FALSE),"")</f>
        <v/>
      </c>
      <c r="H40" s="718" t="str">
        <f>IF($B$40="","",IF(VLOOKUP($B$40,MASTER_PROPERTY_TABLE,MATCH("Unit System",key_MPTable,0),FALSE)="English",mmBTU_to_GJ,1))</f>
        <v/>
      </c>
      <c r="I40" s="1228" t="str">
        <f>+'Cash Flow Analysis'!$I$233</f>
        <v/>
      </c>
    </row>
    <row r="41" spans="2:9" ht="14" x14ac:dyDescent="0.3">
      <c r="B41" s="719" t="s">
        <v>400</v>
      </c>
      <c r="C41" s="720"/>
      <c r="D41" s="720"/>
      <c r="E41" s="626"/>
      <c r="F41" s="626"/>
      <c r="G41" s="627"/>
      <c r="H41" s="627"/>
      <c r="I41" s="628"/>
    </row>
    <row r="42" spans="2:9" ht="13" thickBot="1" x14ac:dyDescent="0.3">
      <c r="B42" s="615" t="str">
        <f ca="1">IF('Cash Flow Analysis'!$J$131=0,"",'Cash Flow Analysis'!$J$131)</f>
        <v/>
      </c>
      <c r="C42" s="684" t="str">
        <f ca="1">IF($B$42="","",$E$42*$F$42*$H$42)</f>
        <v/>
      </c>
      <c r="D42" s="684" t="str">
        <f ca="1">IF($B42="","",$C42*1000*MJ_to_kWh)</f>
        <v/>
      </c>
      <c r="E42" s="625" t="str">
        <f ca="1">IF($B42&lt;&gt;"",VLOOKUP($B42,MASTER_PROPERTY_TABLE,MATCH("H2A LHV (GJ/ H2A usage input unit)",key_MPTable,0),FALSE),"")</f>
        <v/>
      </c>
      <c r="F42" s="625">
        <f ca="1">CO2_CashFlow_eUse</f>
        <v>0</v>
      </c>
      <c r="G42" s="623" t="str">
        <f ca="1">IF($B$42&lt;&gt;"",VLOOKUP($B$42,MASTER_PROPERTY_TABLE,MATCH("H2A Usage Input Unit/ kg H2",key_MPTable,0),FALSE),"")</f>
        <v/>
      </c>
      <c r="H42" s="623" t="str">
        <f ca="1">IF($B42="","",IF(VLOOKUP($B42,MASTER_PROPERTY_TABLE,MATCH("Unit System",key_MPTable,0),FALSE)="English",mmBTU_to_GJ,1))</f>
        <v/>
      </c>
      <c r="I42" s="624"/>
    </row>
    <row r="43" spans="2:9" ht="43" thickTop="1" thickBot="1" x14ac:dyDescent="0.35">
      <c r="B43" s="703"/>
      <c r="C43" s="704" t="s">
        <v>924</v>
      </c>
      <c r="D43" s="705" t="s">
        <v>1001</v>
      </c>
      <c r="E43" s="706" t="s">
        <v>708</v>
      </c>
      <c r="F43" s="704" t="s">
        <v>916</v>
      </c>
      <c r="G43" s="706" t="s">
        <v>917</v>
      </c>
      <c r="H43" s="706" t="s">
        <v>934</v>
      </c>
      <c r="I43" s="707"/>
    </row>
    <row r="44" spans="2:9" ht="13" x14ac:dyDescent="0.3">
      <c r="B44" s="616" t="s">
        <v>925</v>
      </c>
      <c r="C44" s="684">
        <f>kgH2_to_GJ</f>
        <v>0.12021163829516093</v>
      </c>
      <c r="D44" s="684">
        <f>IF($B44="","",$C44*1000*MJ_to_kWh)</f>
        <v>33.392121748655818</v>
      </c>
      <c r="E44" s="625">
        <f>kgH2_to_GJ</f>
        <v>0.12021163829516093</v>
      </c>
      <c r="F44" s="625">
        <v>1</v>
      </c>
      <c r="G44" s="623" t="s">
        <v>268</v>
      </c>
      <c r="H44" s="623">
        <v>1</v>
      </c>
      <c r="I44" s="624"/>
    </row>
    <row r="45" spans="2:9" ht="13.5" thickBot="1" x14ac:dyDescent="0.35">
      <c r="B45" s="616"/>
      <c r="C45" s="685"/>
      <c r="D45" s="685"/>
      <c r="E45" s="625"/>
      <c r="F45" s="625"/>
      <c r="G45" s="623"/>
      <c r="H45" s="623"/>
      <c r="I45" s="624"/>
    </row>
    <row r="46" spans="2:9" ht="14" x14ac:dyDescent="0.3">
      <c r="B46" s="719" t="s">
        <v>920</v>
      </c>
      <c r="C46" s="720"/>
      <c r="D46" s="720"/>
      <c r="E46" s="626"/>
      <c r="F46" s="626"/>
      <c r="G46" s="627"/>
      <c r="H46" s="627"/>
      <c r="I46" s="628"/>
    </row>
    <row r="47" spans="2:9" x14ac:dyDescent="0.25">
      <c r="B47" s="662" t="str">
        <f>IF('Cash Flow Analysis'!$K$131=0,"",'Cash Flow Analysis'!$K$131)</f>
        <v/>
      </c>
      <c r="C47" s="712" t="str">
        <f>IF($B$47="","",$E$47*$F$47*$H$47)</f>
        <v/>
      </c>
      <c r="D47" s="712" t="str">
        <f>IF($B47="","",$C47*1000*MJ_to_kWh)</f>
        <v/>
      </c>
      <c r="E47" s="666" t="str">
        <f>IF($B47&lt;&gt;"",VLOOKUP($B47,MASTER_PROPERTY_TABLE,MATCH("H2A LHV (GJ/ H2A usage input unit)",key_MPTable,0),FALSE),"")</f>
        <v/>
      </c>
      <c r="F47" s="666" t="str">
        <f>IF('Cash Flow Analysis'!$K$133="","",'Cash Flow Analysis'!$K$133)</f>
        <v/>
      </c>
      <c r="G47" s="713" t="str">
        <f>IF($B$47&lt;&gt;"",VLOOKUP($B$47,MASTER_PROPERTY_TABLE,MATCH("H2A Usage Input Unit/ kg H2",key_MPTable,0),FALSE),"")</f>
        <v/>
      </c>
      <c r="H47" s="713" t="str">
        <f>IF($B$47="","",IF(VLOOKUP($B$47,MASTER_PROPERTY_TABLE,MATCH("Unit System",key_MPTable,0),FALSE)="English",mmBTU_to_GJ,1))</f>
        <v/>
      </c>
      <c r="I47" s="714" t="str">
        <f>+'Cash Flow Analysis'!$K$233</f>
        <v/>
      </c>
    </row>
    <row r="48" spans="2:9" x14ac:dyDescent="0.25">
      <c r="B48" s="662" t="str">
        <f>IF('Cash Flow Analysis'!$L$131=0,"",'Cash Flow Analysis'!$L$131)</f>
        <v/>
      </c>
      <c r="C48" s="712" t="str">
        <f>IF($B$48="","",$E$48*$F$48*$H$48)</f>
        <v/>
      </c>
      <c r="D48" s="712" t="str">
        <f>IF($B48="","",$C48*1000*MJ_to_kWh)</f>
        <v/>
      </c>
      <c r="E48" s="666" t="str">
        <f>IF($B48&lt;&gt;"",VLOOKUP($B48,MASTER_PROPERTY_TABLE,MATCH("H2A LHV (GJ/ H2A usage input unit)",key_MPTable,0),FALSE),"")</f>
        <v/>
      </c>
      <c r="F48" s="666" t="str">
        <f>IF('Cash Flow Analysis'!$L$133="","",'Cash Flow Analysis'!$L$133)</f>
        <v/>
      </c>
      <c r="G48" s="713" t="str">
        <f>IF($B$48&lt;&gt;"",VLOOKUP($B$48,MASTER_PROPERTY_TABLE,MATCH("H2A Usage Input Unit/ kg H2",key_MPTable,0),FALSE),"")</f>
        <v/>
      </c>
      <c r="H48" s="713" t="str">
        <f>IF($B$48="","",IF(VLOOKUP($B$48,MASTER_PROPERTY_TABLE,MATCH("Unit System",key_MPTable,0),FALSE)="English",mmBTU_to_GJ,1))</f>
        <v/>
      </c>
      <c r="I48" s="714" t="str">
        <f>+'Cash Flow Analysis'!$L$233</f>
        <v/>
      </c>
    </row>
    <row r="49" spans="2:9" x14ac:dyDescent="0.25">
      <c r="B49" s="662" t="str">
        <f>IF('Cash Flow Analysis'!$M$131=0,"",'Cash Flow Analysis'!$M$131)</f>
        <v/>
      </c>
      <c r="C49" s="712" t="str">
        <f>IF($B$49="","",$E$49*$F$49*$H$49)</f>
        <v/>
      </c>
      <c r="D49" s="712" t="str">
        <f>IF($B49="","",$C49*1000*MJ_to_kWh)</f>
        <v/>
      </c>
      <c r="E49" s="666" t="str">
        <f>IF($B49&lt;&gt;"",VLOOKUP($B49,MASTER_PROPERTY_TABLE,MATCH("H2A LHV (GJ/ H2A usage input unit)",key_MPTable,0),FALSE),"")</f>
        <v/>
      </c>
      <c r="F49" s="666" t="str">
        <f>IF('Cash Flow Analysis'!$M$133="","",'Cash Flow Analysis'!$M$133)</f>
        <v/>
      </c>
      <c r="G49" s="713" t="str">
        <f>IF($B$49&lt;&gt;"",VLOOKUP($B$49,MASTER_PROPERTY_TABLE,MATCH("H2A Usage Input Unit/ kg H2",key_MPTable,0),FALSE),"")</f>
        <v/>
      </c>
      <c r="H49" s="713" t="str">
        <f>IF($B$49="","",IF(VLOOKUP($B$49,MASTER_PROPERTY_TABLE,MATCH("Unit System",key_MPTable,0),FALSE)="English",mmBTU_to_GJ,1))</f>
        <v/>
      </c>
      <c r="I49" s="714" t="str">
        <f>+'Cash Flow Analysis'!$M$233</f>
        <v/>
      </c>
    </row>
    <row r="50" spans="2:9" ht="13" thickBot="1" x14ac:dyDescent="0.3">
      <c r="B50" s="663" t="str">
        <f>IF('Cash Flow Analysis'!$N$131=0,"",'Cash Flow Analysis'!$N$131)</f>
        <v/>
      </c>
      <c r="C50" s="721" t="str">
        <f>IF($B$50="","",$E$50*$F$50*$H$50)</f>
        <v/>
      </c>
      <c r="D50" s="721" t="str">
        <f>IF($B50="","",$C50*1000*MJ_to_kWh)</f>
        <v/>
      </c>
      <c r="E50" s="677" t="str">
        <f>IF($B50&lt;&gt;"",VLOOKUP($B50,MASTER_PROPERTY_TABLE,MATCH("H2A LHV (GJ/ H2A usage input unit)",key_MPTable,0),FALSE),"")</f>
        <v/>
      </c>
      <c r="F50" s="677" t="str">
        <f>IF('Cash Flow Analysis'!$N$133="","",'Cash Flow Analysis'!$N$133)</f>
        <v/>
      </c>
      <c r="G50" s="722" t="str">
        <f>IF($B$50&lt;&gt;"",VLOOKUP($B$50,MASTER_PROPERTY_TABLE,MATCH("H2A Usage Input Unit/ kg H2",key_MPTable,0),FALSE),"")</f>
        <v/>
      </c>
      <c r="H50" s="722" t="str">
        <f>IF($B$50="","",IF(VLOOKUP($B$50,MASTER_PROPERTY_TABLE,MATCH("Unit System",key_MPTable,0),FALSE)="English",mmBTU_to_GJ,1))</f>
        <v/>
      </c>
      <c r="I50" s="723" t="str">
        <f>+'Cash Flow Analysis'!$N$233</f>
        <v/>
      </c>
    </row>
    <row r="51" spans="2:9" ht="13.5" thickTop="1" thickBot="1" x14ac:dyDescent="0.3"/>
    <row r="52" spans="2:9" ht="16" thickBot="1" x14ac:dyDescent="0.4">
      <c r="B52" s="1620" t="s">
        <v>394</v>
      </c>
      <c r="C52" s="1621"/>
      <c r="D52" s="312">
        <f ca="1">(C56+C57)/(C53+C54+C55)</f>
        <v>0.46015797971315098</v>
      </c>
      <c r="F52" s="28"/>
    </row>
    <row r="53" spans="2:9" ht="25" x14ac:dyDescent="0.25">
      <c r="B53" s="571" t="s">
        <v>597</v>
      </c>
      <c r="C53" s="572">
        <f ca="1">SUM(C32:C35)</f>
        <v>0.25472462475216323</v>
      </c>
      <c r="D53" s="573"/>
    </row>
    <row r="54" spans="2:9" x14ac:dyDescent="0.25">
      <c r="B54" s="574" t="s">
        <v>598</v>
      </c>
      <c r="C54" s="575">
        <f ca="1">SUM(C37:C40)</f>
        <v>6.515304999999999E-3</v>
      </c>
      <c r="D54" s="576"/>
    </row>
    <row r="55" spans="2:9" ht="25" x14ac:dyDescent="0.25">
      <c r="B55" s="574" t="s">
        <v>395</v>
      </c>
      <c r="C55" s="575">
        <f ca="1">IF(C42="",0,C42)</f>
        <v>0</v>
      </c>
      <c r="D55" s="576"/>
    </row>
    <row r="56" spans="2:9" x14ac:dyDescent="0.25">
      <c r="B56" s="574" t="s">
        <v>599</v>
      </c>
      <c r="C56" s="575">
        <f>C44</f>
        <v>0.12021163829516093</v>
      </c>
      <c r="D56" s="576"/>
    </row>
    <row r="57" spans="2:9" ht="25.5" thickBot="1" x14ac:dyDescent="0.3">
      <c r="B57" s="577" t="s">
        <v>600</v>
      </c>
      <c r="C57" s="578">
        <f>SUM(C47:C50)</f>
        <v>0</v>
      </c>
      <c r="D57" s="579"/>
    </row>
    <row r="58" spans="2:9" ht="13" thickBot="1" x14ac:dyDescent="0.3"/>
    <row r="59" spans="2:9" ht="16.5" thickTop="1" thickBot="1" x14ac:dyDescent="0.4">
      <c r="B59" s="1608" t="s">
        <v>396</v>
      </c>
      <c r="C59" s="1609"/>
      <c r="D59" s="613"/>
      <c r="E59" s="632"/>
    </row>
    <row r="60" spans="2:9" ht="13" x14ac:dyDescent="0.3">
      <c r="B60" s="616" t="s">
        <v>248</v>
      </c>
      <c r="C60" s="580" t="s">
        <v>397</v>
      </c>
      <c r="D60" s="580" t="s">
        <v>398</v>
      </c>
      <c r="E60" s="633" t="s">
        <v>399</v>
      </c>
    </row>
    <row r="61" spans="2:9" x14ac:dyDescent="0.25">
      <c r="B61" s="615" t="str">
        <f>B32</f>
        <v>Woody Biomass</v>
      </c>
      <c r="C61" s="680">
        <f ca="1">IF($B61="","",$C32/1000000*VLOOKUP($B61,Tbl_Emissions,3,FALSE))</f>
        <v>0.30312230345507424</v>
      </c>
      <c r="D61" s="680">
        <f ca="1">IF($B61="","",$C32/1000000*VLOOKUP($B61,Tbl_Emissions,4,FALSE))</f>
        <v>1.3141809445685772E-2</v>
      </c>
      <c r="E61" s="681">
        <f ca="1">IF($B61="","",$C32/1000000*VLOOKUP($B61,Tbl_Emissions,5,FALSE))</f>
        <v>7.44305353525821E-3</v>
      </c>
    </row>
    <row r="62" spans="2:9" x14ac:dyDescent="0.25">
      <c r="B62" s="615" t="str">
        <f>B33</f>
        <v/>
      </c>
      <c r="C62" s="680" t="str">
        <f>IF($B62="","",$C33/1000000*VLOOKUP($B62,Tbl_Emissions,3,FALSE))</f>
        <v/>
      </c>
      <c r="D62" s="680" t="str">
        <f>IF($B62="","",$C33/1000000*VLOOKUP($B62,Tbl_Emissions,4,FALSE))</f>
        <v/>
      </c>
      <c r="E62" s="681" t="str">
        <f>IF($B62="","",$C33/1000000*VLOOKUP($B62,Tbl_Emissions,5,FALSE))</f>
        <v/>
      </c>
    </row>
    <row r="63" spans="2:9" x14ac:dyDescent="0.25">
      <c r="B63" s="615" t="str">
        <f>B34</f>
        <v/>
      </c>
      <c r="C63" s="680" t="str">
        <f>IF($B63="","",$C34/1000000*VLOOKUP($B63,Tbl_Emissions,3,FALSE))</f>
        <v/>
      </c>
      <c r="D63" s="680" t="str">
        <f>IF($B63="","",$C34/1000000*VLOOKUP($B63,Tbl_Emissions,4,FALSE))</f>
        <v/>
      </c>
      <c r="E63" s="681" t="str">
        <f>IF($B63="","",$C34/1000000*VLOOKUP($B63,Tbl_Emissions,5,FALSE))</f>
        <v/>
      </c>
    </row>
    <row r="64" spans="2:9" x14ac:dyDescent="0.25">
      <c r="B64" s="615" t="str">
        <f>B35</f>
        <v/>
      </c>
      <c r="C64" s="680" t="str">
        <f>IF($B64="","",$C35/1000000*VLOOKUP($B64,Tbl_Emissions,3,FALSE))</f>
        <v/>
      </c>
      <c r="D64" s="680" t="str">
        <f>IF($B64="","",$C35/1000000*VLOOKUP($B64,Tbl_Emissions,4,FALSE))</f>
        <v/>
      </c>
      <c r="E64" s="681" t="str">
        <f>IF($B64="","",$C35/1000000*VLOOKUP($B64,Tbl_Emissions,5,FALSE))</f>
        <v/>
      </c>
    </row>
    <row r="65" spans="2:7" ht="13" x14ac:dyDescent="0.3">
      <c r="B65" s="616" t="s">
        <v>271</v>
      </c>
      <c r="C65" s="724"/>
      <c r="D65" s="724"/>
      <c r="E65" s="725"/>
    </row>
    <row r="66" spans="2:7" x14ac:dyDescent="0.25">
      <c r="B66" s="615" t="str">
        <f>B37</f>
        <v>Industrial Electricity</v>
      </c>
      <c r="C66" s="680">
        <f ca="1">IF($B66="","",$C37/1000000*VLOOKUP($B66,Tbl_Emissions,3,FALSE))</f>
        <v>5.8601339999999986E-3</v>
      </c>
      <c r="D66" s="680">
        <f ca="1">IF($B66="","",$C37/1000000*VLOOKUP($B66,Tbl_Emissions,4,FALSE))</f>
        <v>4.4014319999999985E-3</v>
      </c>
      <c r="E66" s="681">
        <f ca="1">IF($B66="","",$C37/1000000*VLOOKUP($B66,Tbl_Emissions,5,FALSE))</f>
        <v>5.2258499999999988E-5</v>
      </c>
    </row>
    <row r="67" spans="2:7" x14ac:dyDescent="0.25">
      <c r="B67" s="615" t="str">
        <f>B38</f>
        <v>Commercial Natural Gas</v>
      </c>
      <c r="C67" s="680">
        <f ca="1">IF($B67="","",$C38/1000000*VLOOKUP($B67,Tbl_Emissions,3,FALSE))</f>
        <v>3.39972906E-3</v>
      </c>
      <c r="D67" s="680">
        <f ca="1">IF($B67="","",$C38/1000000*VLOOKUP($B67,Tbl_Emissions,4,FALSE))</f>
        <v>3.39972906E-3</v>
      </c>
      <c r="E67" s="681">
        <f ca="1">IF($B67="","",$C38/1000000*VLOOKUP($B67,Tbl_Emissions,5,FALSE))</f>
        <v>1.2364663768888888E-5</v>
      </c>
    </row>
    <row r="68" spans="2:7" x14ac:dyDescent="0.25">
      <c r="B68" s="615" t="str">
        <f>B39</f>
        <v/>
      </c>
      <c r="C68" s="680" t="str">
        <f>IF($B68="","",$C39/1000000*VLOOKUP($B68,Tbl_Emissions,3,FALSE))</f>
        <v/>
      </c>
      <c r="D68" s="680" t="str">
        <f>IF($B68="","",$C39/1000000*VLOOKUP($B68,Tbl_Emissions,4,FALSE))</f>
        <v/>
      </c>
      <c r="E68" s="681" t="str">
        <f>IF($B68="","",$C39/1000000*VLOOKUP($B68,Tbl_Emissions,5,FALSE))</f>
        <v/>
      </c>
    </row>
    <row r="69" spans="2:7" x14ac:dyDescent="0.25">
      <c r="B69" s="615" t="str">
        <f>B40</f>
        <v/>
      </c>
      <c r="C69" s="680" t="str">
        <f>IF($B69="","",$C40/1000000*VLOOKUP($B69,Tbl_Emissions,3,FALSE))</f>
        <v/>
      </c>
      <c r="D69" s="680" t="str">
        <f>IF($B69="","",$C40/1000000*VLOOKUP($B69,Tbl_Emissions,4,FALSE))</f>
        <v/>
      </c>
      <c r="E69" s="681" t="str">
        <f>IF($B69="","",$C40/1000000*VLOOKUP($B69,Tbl_Emissions,5,FALSE))</f>
        <v/>
      </c>
    </row>
    <row r="70" spans="2:7" ht="13" x14ac:dyDescent="0.3">
      <c r="B70" s="726" t="s">
        <v>400</v>
      </c>
      <c r="C70" s="724"/>
      <c r="D70" s="724"/>
      <c r="E70" s="725"/>
    </row>
    <row r="71" spans="2:7" ht="13" thickBot="1" x14ac:dyDescent="0.3">
      <c r="B71" s="617" t="str">
        <f ca="1">B42</f>
        <v/>
      </c>
      <c r="C71" s="682" t="str">
        <f ca="1">IF($B71="","",$C42/1000000*VLOOKUP($B71,Tbl_Emissions,3,FALSE))</f>
        <v/>
      </c>
      <c r="D71" s="682" t="str">
        <f ca="1">IF($B71="","",$C42/1000000*VLOOKUP($B71,Tbl_Emissions,4,FALSE))</f>
        <v/>
      </c>
      <c r="E71" s="683" t="str">
        <f ca="1">IF($B71="","",$C42/1000000*VLOOKUP($B71,Tbl_Emissions,5,FALSE))</f>
        <v/>
      </c>
    </row>
    <row r="72" spans="2:7" ht="13" thickTop="1" x14ac:dyDescent="0.25"/>
    <row r="74" spans="2:7" ht="22" x14ac:dyDescent="0.65">
      <c r="B74" s="316" t="s">
        <v>401</v>
      </c>
    </row>
    <row r="75" spans="2:7" ht="13" thickBot="1" x14ac:dyDescent="0.3"/>
    <row r="76" spans="2:7" ht="16.5" thickTop="1" thickBot="1" x14ac:dyDescent="0.4">
      <c r="B76" s="686" t="s">
        <v>402</v>
      </c>
      <c r="C76" s="687"/>
      <c r="D76" s="688" t="s">
        <v>403</v>
      </c>
      <c r="E76" s="689" t="s">
        <v>404</v>
      </c>
      <c r="F76" s="689" t="s">
        <v>405</v>
      </c>
      <c r="G76" s="690" t="s">
        <v>406</v>
      </c>
    </row>
    <row r="77" spans="2:7" x14ac:dyDescent="0.25">
      <c r="B77" s="1612" t="s">
        <v>539</v>
      </c>
      <c r="C77" s="1613"/>
      <c r="D77" s="692">
        <f ca="1">C121</f>
        <v>1.4034354155139093</v>
      </c>
      <c r="E77" s="696">
        <f ca="1">D121</f>
        <v>3.4195393552984231E-3</v>
      </c>
      <c r="F77" s="696">
        <f ca="1">E121</f>
        <v>-9.6581369715951484E-4</v>
      </c>
      <c r="G77" s="697">
        <f ca="1">F121</f>
        <v>1.2011114176428341</v>
      </c>
    </row>
    <row r="78" spans="2:7" x14ac:dyDescent="0.25">
      <c r="B78" s="1610" t="s">
        <v>538</v>
      </c>
      <c r="C78" s="1611"/>
      <c r="D78" s="693">
        <f ca="1">D89</f>
        <v>25.106906281610019</v>
      </c>
      <c r="E78" s="698">
        <f ca="1">E89</f>
        <v>0</v>
      </c>
      <c r="F78" s="698">
        <f ca="1">F89</f>
        <v>0</v>
      </c>
      <c r="G78" s="699">
        <f ca="1">G89</f>
        <v>25.106906281610019</v>
      </c>
    </row>
    <row r="79" spans="2:7" x14ac:dyDescent="0.25">
      <c r="B79" s="1610"/>
      <c r="C79" s="1611"/>
      <c r="D79" s="694"/>
      <c r="E79" s="525"/>
      <c r="F79" s="525"/>
      <c r="G79" s="700"/>
    </row>
    <row r="80" spans="2:7" ht="13" thickBot="1" x14ac:dyDescent="0.3">
      <c r="B80" s="1614" t="s">
        <v>540</v>
      </c>
      <c r="C80" s="1615"/>
      <c r="D80" s="695">
        <f ca="1">SUM(D77:D79)</f>
        <v>26.510341697123927</v>
      </c>
      <c r="E80" s="701">
        <f ca="1">SUM(E77:E79)</f>
        <v>3.4195393552984231E-3</v>
      </c>
      <c r="F80" s="701">
        <f ca="1">SUM(F77:F79)</f>
        <v>-9.6581369715951484E-4</v>
      </c>
      <c r="G80" s="702">
        <f ca="1">SUM(G77:G79)</f>
        <v>26.308017699252854</v>
      </c>
    </row>
    <row r="81" spans="2:7" ht="13.5" thickTop="1" thickBot="1" x14ac:dyDescent="0.3"/>
    <row r="82" spans="2:7" ht="16.5" thickTop="1" thickBot="1" x14ac:dyDescent="0.4">
      <c r="B82" s="428" t="s">
        <v>535</v>
      </c>
      <c r="C82" s="429"/>
      <c r="D82" s="650" t="s">
        <v>403</v>
      </c>
      <c r="E82" s="651" t="s">
        <v>404</v>
      </c>
      <c r="F82" s="651" t="s">
        <v>405</v>
      </c>
      <c r="G82" s="652" t="s">
        <v>406</v>
      </c>
    </row>
    <row r="83" spans="2:7" x14ac:dyDescent="0.25">
      <c r="B83" s="1612" t="s">
        <v>235</v>
      </c>
      <c r="C83" s="1613"/>
      <c r="D83" s="653">
        <f ca="1">SUM(C95:C105)</f>
        <v>25.106906281610019</v>
      </c>
      <c r="E83" s="653">
        <f ca="1">SUM(D95:D105)</f>
        <v>0</v>
      </c>
      <c r="F83" s="653">
        <f ca="1">SUM(E95:E105)</f>
        <v>0</v>
      </c>
      <c r="G83" s="654">
        <f ca="1">SUM(F95:F105)</f>
        <v>25.106906281610019</v>
      </c>
    </row>
    <row r="84" spans="2:7" x14ac:dyDescent="0.25">
      <c r="B84" s="1610" t="s">
        <v>236</v>
      </c>
      <c r="C84" s="1611"/>
      <c r="D84" s="655">
        <f ca="1">ROUND(D83*output_kgyear/1000,-2)</f>
        <v>1276400</v>
      </c>
      <c r="E84" s="655">
        <f ca="1">ROUND(E83*output_kgyear/1000,-2)</f>
        <v>0</v>
      </c>
      <c r="F84" s="655">
        <f ca="1">ROUND(F83*output_kgyear/1000,-2)</f>
        <v>0</v>
      </c>
      <c r="G84" s="656">
        <f ca="1">ROUND(G83*output_kgyear/1000,-2)</f>
        <v>1276400</v>
      </c>
    </row>
    <row r="85" spans="2:7" x14ac:dyDescent="0.25">
      <c r="B85" s="1610" t="s">
        <v>237</v>
      </c>
      <c r="C85" s="1611"/>
      <c r="D85" s="657">
        <f ca="1">SUM(C95:C98)</f>
        <v>24.93157945624549</v>
      </c>
      <c r="E85" s="657">
        <f ca="1">SUM(D95:D98)</f>
        <v>0</v>
      </c>
      <c r="F85" s="657">
        <f ca="1">SUM(E95:E98)</f>
        <v>0</v>
      </c>
      <c r="G85" s="658">
        <f ca="1">SUM(F95:F98)</f>
        <v>24.93157945624549</v>
      </c>
    </row>
    <row r="86" spans="2:7" x14ac:dyDescent="0.25">
      <c r="B86" s="1610" t="s">
        <v>238</v>
      </c>
      <c r="C86" s="1611"/>
      <c r="D86" s="655">
        <f ca="1">ROUND(D85*output_kgyear/1000,-2)</f>
        <v>1267500</v>
      </c>
      <c r="E86" s="655">
        <f ca="1">ROUND(E85*output_kgyear/1000,-2)</f>
        <v>0</v>
      </c>
      <c r="F86" s="655">
        <f ca="1">ROUND(F85*output_kgyear/1000,-2)</f>
        <v>0</v>
      </c>
      <c r="G86" s="656">
        <f ca="1">ROUND(G85*output_kgyear/1000,-2)</f>
        <v>1267500</v>
      </c>
    </row>
    <row r="87" spans="2:7" x14ac:dyDescent="0.25">
      <c r="B87" s="774" t="s">
        <v>240</v>
      </c>
      <c r="C87" s="775"/>
      <c r="D87" s="824">
        <f ca="1">IF(CO2_CashFlow_eUse&gt;0,D85*CO2_Capture_Efficiency,0)</f>
        <v>0</v>
      </c>
      <c r="E87" s="655"/>
      <c r="F87" s="655"/>
      <c r="G87" s="825"/>
    </row>
    <row r="88" spans="2:7" x14ac:dyDescent="0.25">
      <c r="B88" s="1610" t="s">
        <v>241</v>
      </c>
      <c r="C88" s="1611"/>
      <c r="D88" s="655">
        <f ca="1">ROUND(D87*output_kgyear/1000,-2)</f>
        <v>0</v>
      </c>
      <c r="E88" s="655"/>
      <c r="F88" s="655"/>
      <c r="G88" s="656"/>
    </row>
    <row r="89" spans="2:7" x14ac:dyDescent="0.25">
      <c r="B89" s="1610" t="s">
        <v>239</v>
      </c>
      <c r="C89" s="1611"/>
      <c r="D89" s="824">
        <f ca="1">D83-D87</f>
        <v>25.106906281610019</v>
      </c>
      <c r="E89" s="655">
        <f ca="1">E83-E87</f>
        <v>0</v>
      </c>
      <c r="F89" s="655">
        <f ca="1">F83-F87</f>
        <v>0</v>
      </c>
      <c r="G89" s="825">
        <f ca="1">D89*GHG_CO2_factor + E89*GHG_CH4_factor + F89*GHG_N2O_factor</f>
        <v>25.106906281610019</v>
      </c>
    </row>
    <row r="90" spans="2:7" ht="13" thickBot="1" x14ac:dyDescent="0.3">
      <c r="B90" s="1614" t="s">
        <v>1059</v>
      </c>
      <c r="C90" s="1615"/>
      <c r="D90" s="659">
        <f ca="1">ROUND(D89*output_kgyear/1000,-2)</f>
        <v>1276400</v>
      </c>
      <c r="E90" s="659">
        <f ca="1">ROUND(E89*output_kgyear/1000,-2)</f>
        <v>0</v>
      </c>
      <c r="F90" s="659">
        <f ca="1">ROUND(F89*output_kgyear/1000,-2)</f>
        <v>0</v>
      </c>
      <c r="G90" s="660">
        <f ca="1">ROUND(G89*output_kgyear/1000,-2)</f>
        <v>1276400</v>
      </c>
    </row>
    <row r="91" spans="2:7" ht="13" thickTop="1" x14ac:dyDescent="0.25">
      <c r="B91" t="s">
        <v>242</v>
      </c>
    </row>
    <row r="92" spans="2:7" ht="13" thickBot="1" x14ac:dyDescent="0.3"/>
    <row r="93" spans="2:7" ht="16.5" thickTop="1" thickBot="1" x14ac:dyDescent="0.4">
      <c r="B93" s="1608" t="s">
        <v>536</v>
      </c>
      <c r="C93" s="1609"/>
      <c r="D93" s="613"/>
      <c r="E93" s="613"/>
      <c r="F93" s="632"/>
    </row>
    <row r="94" spans="2:7" ht="13" x14ac:dyDescent="0.3">
      <c r="B94" s="661" t="s">
        <v>248</v>
      </c>
      <c r="C94" s="664" t="s">
        <v>403</v>
      </c>
      <c r="D94" s="664" t="s">
        <v>404</v>
      </c>
      <c r="E94" s="664" t="s">
        <v>405</v>
      </c>
      <c r="F94" s="665" t="s">
        <v>406</v>
      </c>
    </row>
    <row r="95" spans="2:7" x14ac:dyDescent="0.25">
      <c r="B95" s="662" t="str">
        <f>B32</f>
        <v>Woody Biomass</v>
      </c>
      <c r="C95" s="666">
        <f ca="1">IF($B95="","",VLOOKUP($B95,MASTER_PROPERTY_TABLE,MATCH("CO2 Emissions Factor (kg CO2 produced/GJ feed)",key_MPTable,0),FALSE)*$E32*$F32)</f>
        <v>24.93157945624549</v>
      </c>
      <c r="D95" s="671">
        <f ca="1">IF($B95="","",VLOOKUP($B95,MASTER_PROPERTY_TABLE,MATCH("CH4 Emissions Factor (kg CH4 produced/GJ or mmBtu feed)",key_MPTable,0),FALSE)*$E32*$F32)</f>
        <v>0</v>
      </c>
      <c r="E95" s="671">
        <f ca="1">IF($B95="","",VLOOKUP($B95,MASTER_PROPERTY_TABLE,MATCH("N2O Emissions Factor (kg N2O produced/GJ or mmBtu feed)",key_MPTable,0),FALSE)*$E32*$F32)</f>
        <v>0</v>
      </c>
      <c r="F95" s="674">
        <f ca="1">IF($B95="","",$C95*GHG_CO2_factor+$D95*GHG_CH4_factor+$E95*GHG_N2O_factor)</f>
        <v>24.93157945624549</v>
      </c>
    </row>
    <row r="96" spans="2:7" x14ac:dyDescent="0.25">
      <c r="B96" s="662" t="str">
        <f>B33</f>
        <v/>
      </c>
      <c r="C96" s="666" t="str">
        <f>IF($B96="","",VLOOKUP($B96,MASTER_PROPERTY_TABLE,MATCH("CO2 Emissions Factor (kg CO2 produced/GJ feed)",key_MPTable,0),FALSE)*$E33*$F33)</f>
        <v/>
      </c>
      <c r="D96" s="671" t="str">
        <f>IF($B96="","",VLOOKUP($B96,MASTER_PROPERTY_TABLE,MATCH("CH4 Emissions Factor (kg CH4 produced/GJ or mmBtu feed)",key_MPTable,0),FALSE)*$E33*$F33)</f>
        <v/>
      </c>
      <c r="E96" s="671" t="str">
        <f>IF($B96="","",VLOOKUP($B96,MASTER_PROPERTY_TABLE,MATCH("N2O Emissions Factor (kg N2O produced/GJ or mmBtu feed)",key_MPTable,0),FALSE)*$E33*$F33)</f>
        <v/>
      </c>
      <c r="F96" s="674" t="str">
        <f>IF($B96="","",$C96*GHG_CO2_factor+$D96*GHG_CH4_factor+$E96*GHG_N2O_factor)</f>
        <v/>
      </c>
    </row>
    <row r="97" spans="2:6" x14ac:dyDescent="0.25">
      <c r="B97" s="662" t="str">
        <f>B34</f>
        <v/>
      </c>
      <c r="C97" s="666" t="str">
        <f>IF($B97="","",VLOOKUP($B97,MASTER_PROPERTY_TABLE,MATCH("CO2 Emissions Factor (kg CO2 produced/GJ feed)",key_MPTable,0),FALSE)*$E34*$F34)</f>
        <v/>
      </c>
      <c r="D97" s="671" t="str">
        <f>IF($B97="","",VLOOKUP($B97,MASTER_PROPERTY_TABLE,MATCH("CH4 Emissions Factor (kg CH4 produced/GJ or mmBtu feed)",key_MPTable,0),FALSE)*$E34*$F34)</f>
        <v/>
      </c>
      <c r="E97" s="671" t="str">
        <f>IF($B97="","",VLOOKUP($B97,MASTER_PROPERTY_TABLE,MATCH("N2O Emissions Factor (kg N2O produced/GJ or mmBtu feed)",key_MPTable,0),FALSE)*$E34*$F34)</f>
        <v/>
      </c>
      <c r="F97" s="674" t="str">
        <f>IF($B97="","",$C97*GHG_CO2_factor+$D97*GHG_CH4_factor+$E97*GHG_N2O_factor)</f>
        <v/>
      </c>
    </row>
    <row r="98" spans="2:6" x14ac:dyDescent="0.25">
      <c r="B98" s="662" t="str">
        <f>B35</f>
        <v/>
      </c>
      <c r="C98" s="666" t="str">
        <f>IF($B98="","",VLOOKUP($B98,MASTER_PROPERTY_TABLE,MATCH("CO2 Emissions Factor (kg CO2 produced/GJ feed)",key_MPTable,0),FALSE)*$E35*$F35)</f>
        <v/>
      </c>
      <c r="D98" s="671" t="str">
        <f>IF($B98="","",VLOOKUP($B98,MASTER_PROPERTY_TABLE,MATCH("CH4 Emissions Factor (kg CH4 produced/GJ or mmBtu feed)",key_MPTable,0),FALSE)*$E35*$F35)</f>
        <v/>
      </c>
      <c r="E98" s="671" t="str">
        <f>IF($B98="","",VLOOKUP($B98,MASTER_PROPERTY_TABLE,MATCH("N2O Emissions Factor (kg N2O produced/GJ or mmBtu feed)",key_MPTable,0),FALSE)*$E35*$F35)</f>
        <v/>
      </c>
      <c r="F98" s="674" t="str">
        <f>IF($B98="","",$C98*GHG_CO2_factor+$D98*GHG_CH4_factor+$E98*GHG_N2O_factor)</f>
        <v/>
      </c>
    </row>
    <row r="99" spans="2:6" ht="13" x14ac:dyDescent="0.3">
      <c r="B99" s="727" t="s">
        <v>271</v>
      </c>
      <c r="C99" s="728"/>
      <c r="D99" s="729"/>
      <c r="E99" s="729"/>
      <c r="F99" s="730"/>
    </row>
    <row r="100" spans="2:6" x14ac:dyDescent="0.25">
      <c r="B100" s="662" t="str">
        <f>B37</f>
        <v>Industrial Electricity</v>
      </c>
      <c r="C100" s="666">
        <f ca="1">IF($B100="","",VLOOKUP($B100,MASTER_PROPERTY_TABLE,MATCH("CO2 Emissions Factor (kg CO2 produced/GJ feed)",key_MPTable,0),FALSE)*$E37*$F37)</f>
        <v>0</v>
      </c>
      <c r="D100" s="671">
        <f ca="1">IF($B100="","",VLOOKUP($B100,MASTER_PROPERTY_TABLE,MATCH("CH4 Emissions Factor (kg CH4 produced/GJ or mmBtu feed)",key_MPTable,0),FALSE)*$E37*$F37)</f>
        <v>0</v>
      </c>
      <c r="E100" s="671">
        <f ca="1">IF($B100="","",VLOOKUP($B100,MASTER_PROPERTY_TABLE,MATCH("N2O Emissions Factor (kg N2O produced/GJ or mmBtu feed)",key_MPTable,0),FALSE)*$E37*$F37)</f>
        <v>0</v>
      </c>
      <c r="F100" s="674">
        <f ca="1">IF($B100="","",$C100*GHG_CO2_factor+$D100*GHG_CH4_factor+$E100*GHG_N2O_factor)</f>
        <v>0</v>
      </c>
    </row>
    <row r="101" spans="2:6" x14ac:dyDescent="0.25">
      <c r="B101" s="662" t="str">
        <f>B38</f>
        <v>Commercial Natural Gas</v>
      </c>
      <c r="C101" s="666">
        <f ca="1">IF($B101="","",VLOOKUP($B101,MASTER_PROPERTY_TABLE,MATCH("CO2 Emissions Factor (kg CO2 produced/GJ feed)",key_MPTable,0),FALSE)*$E38*$F38)</f>
        <v>0.17532682536453037</v>
      </c>
      <c r="D101" s="671">
        <f ca="1">IF($B101="","",VLOOKUP($B101,MASTER_PROPERTY_TABLE,MATCH("CH4 Emissions Factor (kg CH4 produced/GJ or mmBtu feed)",key_MPTable,0),FALSE)*$E38*$F38)</f>
        <v>0</v>
      </c>
      <c r="E101" s="671">
        <f ca="1">IF($B101="","",VLOOKUP($B101,MASTER_PROPERTY_TABLE,MATCH("N2O Emissions Factor (kg N2O produced/GJ or mmBtu feed)",key_MPTable,0),FALSE)*$E38*$F38)</f>
        <v>0</v>
      </c>
      <c r="F101" s="674">
        <f ca="1">IF($B101="","",$C101*GHG_CO2_factor+$D101*GHG_CH4_factor+$E101*GHG_N2O_factor)</f>
        <v>0.17532682536453037</v>
      </c>
    </row>
    <row r="102" spans="2:6" x14ac:dyDescent="0.25">
      <c r="B102" s="662" t="str">
        <f>B39</f>
        <v/>
      </c>
      <c r="C102" s="666" t="str">
        <f>IF($B102="","",VLOOKUP($B102,MASTER_PROPERTY_TABLE,MATCH("CO2 Emissions Factor (kg CO2 produced/GJ feed)",key_MPTable,0),FALSE)*$E39*$F39)</f>
        <v/>
      </c>
      <c r="D102" s="671" t="str">
        <f>IF($B102="","",VLOOKUP($B102,MASTER_PROPERTY_TABLE,MATCH("CH4 Emissions Factor (kg CH4 produced/GJ or mmBtu feed)",key_MPTable,0),FALSE)*$E39*$F39)</f>
        <v/>
      </c>
      <c r="E102" s="671" t="str">
        <f>IF($B102="","",VLOOKUP($B102,MASTER_PROPERTY_TABLE,MATCH("N2O Emissions Factor (kg N2O produced/GJ or mmBtu feed)",key_MPTable,0),FALSE)*$E39*$F39)</f>
        <v/>
      </c>
      <c r="F102" s="674" t="str">
        <f>IF($B102="","",$C102*GHG_CO2_factor+$D102*GHG_CH4_factor+$E102*GHG_N2O_factor)</f>
        <v/>
      </c>
    </row>
    <row r="103" spans="2:6" x14ac:dyDescent="0.25">
      <c r="B103" s="662" t="str">
        <f>B40</f>
        <v/>
      </c>
      <c r="C103" s="666" t="str">
        <f>IF($B103="","",VLOOKUP($B103,MASTER_PROPERTY_TABLE,MATCH("CO2 Emissions Factor (kg CO2 produced/GJ feed)",key_MPTable,0),FALSE)*$E40*$F40)</f>
        <v/>
      </c>
      <c r="D103" s="671" t="str">
        <f>IF($B103="","",VLOOKUP($B103,MASTER_PROPERTY_TABLE,MATCH("CH4 Emissions Factor (kg CH4 produced/GJ or mmBtu feed)",key_MPTable,0),FALSE)*$E40*$F40)</f>
        <v/>
      </c>
      <c r="E103" s="671" t="str">
        <f>IF($B103="","",VLOOKUP($B103,MASTER_PROPERTY_TABLE,MATCH("N2O Emissions Factor (kg N2O produced/GJ or mmBtu feed)",key_MPTable,0),FALSE)*$E40*$F40)</f>
        <v/>
      </c>
      <c r="F103" s="674" t="str">
        <f>IF($B103="","",$C103*GHG_CO2_factor+$D103*GHG_CH4_factor+$E103*GHG_N2O_factor)</f>
        <v/>
      </c>
    </row>
    <row r="104" spans="2:6" ht="13" x14ac:dyDescent="0.3">
      <c r="B104" s="727" t="s">
        <v>400</v>
      </c>
      <c r="C104" s="728"/>
      <c r="D104" s="729"/>
      <c r="E104" s="729"/>
      <c r="F104" s="730"/>
    </row>
    <row r="105" spans="2:6" ht="13" thickBot="1" x14ac:dyDescent="0.3">
      <c r="B105" s="663" t="str">
        <f ca="1">B42</f>
        <v/>
      </c>
      <c r="C105" s="677" t="str">
        <f ca="1">IF($B105="","",VLOOKUP($B105,MASTER_PROPERTY_TABLE,MATCH("CO2 Emissions Factor (kg CO2 produced/GJ feed)",key_MPTable,0),FALSE)*$E42*$F42)</f>
        <v/>
      </c>
      <c r="D105" s="678" t="str">
        <f ca="1">IF($B105="","",VLOOKUP($B105,MASTER_PROPERTY_TABLE,MATCH("CH4 Emissions Factor (kg CH4 produced/GJ or mmBtu feed)",key_MPTable,0),FALSE)*$E42*$F42)</f>
        <v/>
      </c>
      <c r="E105" s="678" t="str">
        <f ca="1">IF($B105="","",VLOOKUP($B105,MASTER_PROPERTY_TABLE,MATCH("N2O Emissions Factor (kg N2O produced/GJ or mmBtu feed)",key_MPTable,0),FALSE)*$E42*$F42)</f>
        <v/>
      </c>
      <c r="F105" s="679" t="str">
        <f ca="1">IF($B105="","",$C105*GHG_CO2_factor+$D105*GHG_CH4_factor+$E105*GHG_N2O_factor)</f>
        <v/>
      </c>
    </row>
    <row r="106" spans="2:6" ht="13" thickTop="1" x14ac:dyDescent="0.25"/>
    <row r="107" spans="2:6" ht="13" thickBot="1" x14ac:dyDescent="0.3"/>
    <row r="108" spans="2:6" ht="16.5" thickTop="1" thickBot="1" x14ac:dyDescent="0.4">
      <c r="B108" s="1608" t="s">
        <v>1349</v>
      </c>
      <c r="C108" s="1609"/>
      <c r="D108" s="613"/>
      <c r="E108" s="613"/>
      <c r="F108" s="632"/>
    </row>
    <row r="109" spans="2:6" ht="13" x14ac:dyDescent="0.3">
      <c r="B109" s="661" t="s">
        <v>248</v>
      </c>
      <c r="C109" s="664" t="s">
        <v>403</v>
      </c>
      <c r="D109" s="664" t="s">
        <v>404</v>
      </c>
      <c r="E109" s="664" t="s">
        <v>405</v>
      </c>
      <c r="F109" s="665" t="s">
        <v>406</v>
      </c>
    </row>
    <row r="110" spans="2:6" x14ac:dyDescent="0.25">
      <c r="B110" s="662" t="str">
        <f>B32</f>
        <v>Woody Biomass</v>
      </c>
      <c r="C110" s="666">
        <f ca="1">IF($B110="","",$C32*VLOOKUP($B110,Tbl_Emissions,6,FALSE))</f>
        <v>0.95782402481390916</v>
      </c>
      <c r="D110" s="671">
        <f ca="1">IF($B110="","",$C32*VLOOKUP($B110,Tbl_Emissions,7,FALSE))</f>
        <v>2.1488484435884234E-3</v>
      </c>
      <c r="E110" s="671">
        <f ca="1">IF($B110="","",$C32*VLOOKUP($B110,Tbl_Emissions,8,FALSE))</f>
        <v>-9.7460276414907039E-4</v>
      </c>
      <c r="F110" s="674">
        <f ca="1">IF($B110="","",$C110*GHG_CO2_factor+$D110*GHG_CH4_factor+$E110*GHG_N2O_factor)</f>
        <v>0.72111361218719672</v>
      </c>
    </row>
    <row r="111" spans="2:6" x14ac:dyDescent="0.25">
      <c r="B111" s="662" t="str">
        <f>B33</f>
        <v/>
      </c>
      <c r="C111" s="666" t="str">
        <f>IF($B111="","",$C33*VLOOKUP($B111,Tbl_Emissions,6,FALSE))</f>
        <v/>
      </c>
      <c r="D111" s="671" t="str">
        <f>IF($B111="","",$C33*VLOOKUP($B111,Tbl_Emissions,7,FALSE))</f>
        <v/>
      </c>
      <c r="E111" s="671" t="str">
        <f>IF($B111="","",$C33*VLOOKUP($B111,Tbl_Emissions,8,FALSE))</f>
        <v/>
      </c>
      <c r="F111" s="674" t="str">
        <f>IF($B111="","",$C111*GHG_CO2_factor+$D111*GHG_CH4_factor+$E111*GHG_N2O_factor)</f>
        <v/>
      </c>
    </row>
    <row r="112" spans="2:6" x14ac:dyDescent="0.25">
      <c r="B112" s="662" t="str">
        <f>B34</f>
        <v/>
      </c>
      <c r="C112" s="666" t="str">
        <f>IF($B112="","",$C34*VLOOKUP($B112,Tbl_Emissions,6,FALSE))</f>
        <v/>
      </c>
      <c r="D112" s="671" t="str">
        <f>IF($B112="","",$C34*VLOOKUP($B112,Tbl_Emissions,7,FALSE))</f>
        <v/>
      </c>
      <c r="E112" s="671" t="str">
        <f>IF($B112="","",$C34*VLOOKUP($B112,Tbl_Emissions,8,FALSE))</f>
        <v/>
      </c>
      <c r="F112" s="674" t="str">
        <f>IF($B112="","",$C112*GHG_CO2_factor+$D112*GHG_CH4_factor+$E112*GHG_N2O_factor)</f>
        <v/>
      </c>
    </row>
    <row r="113" spans="2:6" x14ac:dyDescent="0.25">
      <c r="B113" s="662" t="str">
        <f>B35</f>
        <v/>
      </c>
      <c r="C113" s="666" t="str">
        <f>IF($B113="","",$C35*VLOOKUP($B113,Tbl_Emissions,6,FALSE))</f>
        <v/>
      </c>
      <c r="D113" s="671" t="str">
        <f>IF($B113="","",$C35*VLOOKUP($B113,Tbl_Emissions,7,FALSE))</f>
        <v/>
      </c>
      <c r="E113" s="671" t="str">
        <f>IF($B113="","",$C35*VLOOKUP($B113,Tbl_Emissions,8,FALSE))</f>
        <v/>
      </c>
      <c r="F113" s="674" t="str">
        <f>IF($B113="","",$C113*GHG_CO2_factor+$D113*GHG_CH4_factor+$E113*GHG_N2O_factor)</f>
        <v/>
      </c>
    </row>
    <row r="114" spans="2:6" ht="13" x14ac:dyDescent="0.3">
      <c r="B114" s="727" t="s">
        <v>271</v>
      </c>
      <c r="C114" s="728"/>
      <c r="D114" s="729"/>
      <c r="E114" s="729"/>
      <c r="F114" s="730"/>
    </row>
    <row r="115" spans="2:6" x14ac:dyDescent="0.25">
      <c r="B115" s="662" t="str">
        <f>B37</f>
        <v>Industrial Electricity</v>
      </c>
      <c r="C115" s="666">
        <f ca="1">IF($B115="","",$C37*VLOOKUP($B115,Tbl_Emissions,6,FALSE))</f>
        <v>0.42774101999999992</v>
      </c>
      <c r="D115" s="671">
        <f ca="1">IF($B115="","",$C37*VLOOKUP($B115,Tbl_Emissions,7,FALSE))</f>
        <v>6.9590631599999986E-4</v>
      </c>
      <c r="E115" s="671">
        <f ca="1">IF($B115="","",$C37*VLOOKUP($B115,Tbl_Emissions,8,FALSE))</f>
        <v>6.1084421999999996E-6</v>
      </c>
      <c r="F115" s="674">
        <f ca="1">IF($B115="","",$C115*GHG_CO2_factor+$D115*GHG_CH4_factor+$E115*GHG_N2O_factor)</f>
        <v>0.44695899367559988</v>
      </c>
    </row>
    <row r="116" spans="2:6" x14ac:dyDescent="0.25">
      <c r="B116" s="662" t="str">
        <f>B38</f>
        <v>Commercial Natural Gas</v>
      </c>
      <c r="C116" s="666">
        <f ca="1">IF($B116="","",$C38*VLOOKUP($B116,Tbl_Emissions,6,FALSE))</f>
        <v>1.7870370699999999E-2</v>
      </c>
      <c r="D116" s="671">
        <f ca="1">IF($B116="","",$C38*VLOOKUP($B116,Tbl_Emissions,7,FALSE))</f>
        <v>5.7478459571000005E-4</v>
      </c>
      <c r="E116" s="671">
        <f ca="1">IF($B116="","",$C38*VLOOKUP($B116,Tbl_Emissions,8,FALSE))</f>
        <v>2.6806247895555552E-6</v>
      </c>
      <c r="F116" s="674">
        <f ca="1">IF($B116="","",$C116*GHG_CO2_factor+$D116*GHG_CH4_factor+$E116*GHG_N2O_factor)</f>
        <v>3.3038811780037557E-2</v>
      </c>
    </row>
    <row r="117" spans="2:6" x14ac:dyDescent="0.25">
      <c r="B117" s="662" t="str">
        <f>B39</f>
        <v/>
      </c>
      <c r="C117" s="666" t="str">
        <f>IF($B117="","",$C39*VLOOKUP($B117,Tbl_Emissions,6,FALSE))</f>
        <v/>
      </c>
      <c r="D117" s="671" t="str">
        <f>IF($B117="","",$C39*VLOOKUP($B117,Tbl_Emissions,7,FALSE))</f>
        <v/>
      </c>
      <c r="E117" s="671" t="str">
        <f>IF($B117="","",$C39*VLOOKUP($B117,Tbl_Emissions,8,FALSE))</f>
        <v/>
      </c>
      <c r="F117" s="674" t="str">
        <f>IF($B117="","",$C117*GHG_CO2_factor+$D117*GHG_CH4_factor+$E117*GHG_N2O_factor)</f>
        <v/>
      </c>
    </row>
    <row r="118" spans="2:6" x14ac:dyDescent="0.25">
      <c r="B118" s="662" t="str">
        <f>B40</f>
        <v/>
      </c>
      <c r="C118" s="666" t="str">
        <f>IF($B118="","",$C40*VLOOKUP($B118,Tbl_Emissions,6,FALSE))</f>
        <v/>
      </c>
      <c r="D118" s="671" t="str">
        <f>IF($B118="","",$C40*VLOOKUP($B118,Tbl_Emissions,7,FALSE))</f>
        <v/>
      </c>
      <c r="E118" s="671" t="str">
        <f>IF($B118="","",$C40*VLOOKUP($B118,Tbl_Emissions,8,FALSE))</f>
        <v/>
      </c>
      <c r="F118" s="674" t="str">
        <f>IF($B118="","",$C118*GHG_CO2_factor+$D118*GHG_CH4_factor+$E118*GHG_N2O_factor)</f>
        <v/>
      </c>
    </row>
    <row r="119" spans="2:6" ht="13" x14ac:dyDescent="0.3">
      <c r="B119" s="727" t="s">
        <v>400</v>
      </c>
      <c r="C119" s="728"/>
      <c r="D119" s="729"/>
      <c r="E119" s="729"/>
      <c r="F119" s="730"/>
    </row>
    <row r="120" spans="2:6" ht="13" thickBot="1" x14ac:dyDescent="0.3">
      <c r="B120" s="667" t="str">
        <f ca="1">B42</f>
        <v/>
      </c>
      <c r="C120" s="669" t="str">
        <f ca="1">IF($B120="","",$C42*VLOOKUP($B120,Tbl_Emissions,6,FALSE))</f>
        <v/>
      </c>
      <c r="D120" s="672" t="str">
        <f ca="1">IF($B120="","",$C42*VLOOKUP($B120,Tbl_Emissions,7,FALSE))</f>
        <v/>
      </c>
      <c r="E120" s="672" t="str">
        <f ca="1">IF($B120="","",$C42*VLOOKUP($B120,Tbl_Emissions,8,FALSE))</f>
        <v/>
      </c>
      <c r="F120" s="675" t="str">
        <f ca="1">IF($B120="","",$C120*GHG_CO2_factor+$D120*GHG_CH4_factor+$E120*GHG_N2O_factor)</f>
        <v/>
      </c>
    </row>
    <row r="121" spans="2:6" ht="13.5" thickBot="1" x14ac:dyDescent="0.35">
      <c r="B121" s="668" t="s">
        <v>541</v>
      </c>
      <c r="C121" s="670">
        <f ca="1">SUM(C110:C120)</f>
        <v>1.4034354155139093</v>
      </c>
      <c r="D121" s="673">
        <f ca="1">SUM(D110:D120)</f>
        <v>3.4195393552984231E-3</v>
      </c>
      <c r="E121" s="673">
        <f ca="1">SUM(E110:E120)</f>
        <v>-9.6581369715951484E-4</v>
      </c>
      <c r="F121" s="676">
        <f ca="1">SUM(F110:F120)</f>
        <v>1.2011114176428341</v>
      </c>
    </row>
    <row r="122" spans="2:6" ht="13" thickTop="1" x14ac:dyDescent="0.25"/>
  </sheetData>
  <mergeCells count="18">
    <mergeCell ref="F17:H17"/>
    <mergeCell ref="F23:H23"/>
    <mergeCell ref="B30:C30"/>
    <mergeCell ref="B52:C52"/>
    <mergeCell ref="B93:C93"/>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2"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zoomScale="85" zoomScaleNormal="85" workbookViewId="0">
      <selection activeCell="E50" sqref="E50"/>
    </sheetView>
  </sheetViews>
  <sheetFormatPr defaultRowHeight="12.5" x14ac:dyDescent="0.25"/>
  <cols>
    <col min="1" max="1" width="7.1796875" customWidth="1"/>
    <col min="2" max="2" width="35.54296875" customWidth="1"/>
    <col min="3" max="3" width="15.7265625" customWidth="1"/>
    <col min="4" max="6" width="20.7265625" customWidth="1"/>
    <col min="7" max="8" width="16.26953125" customWidth="1"/>
    <col min="9" max="9" width="16" bestFit="1" customWidth="1"/>
    <col min="10" max="15" width="12.26953125" customWidth="1"/>
    <col min="16" max="16" width="17.453125" bestFit="1" customWidth="1"/>
    <col min="17" max="22" width="12.26953125" customWidth="1"/>
    <col min="23" max="23" width="18.453125" customWidth="1"/>
    <col min="24" max="24" width="12.26953125" customWidth="1"/>
  </cols>
  <sheetData>
    <row r="1" spans="1:73" x14ac:dyDescent="0.25">
      <c r="A1" s="1096"/>
      <c r="B1" s="1096"/>
      <c r="C1" s="1097"/>
      <c r="D1" s="1096"/>
      <c r="E1" s="1096"/>
      <c r="F1" s="1097"/>
      <c r="G1" s="1097"/>
      <c r="H1" s="1096"/>
      <c r="I1" s="1096"/>
      <c r="J1" s="1096"/>
      <c r="K1" s="1096"/>
      <c r="L1" s="1096"/>
      <c r="M1" s="1096"/>
      <c r="N1" s="1096"/>
      <c r="O1" s="1096"/>
      <c r="P1" s="1096"/>
      <c r="Q1" s="1096"/>
      <c r="R1" s="1096"/>
      <c r="S1" s="1096"/>
      <c r="T1" s="1096"/>
      <c r="U1" s="1096"/>
      <c r="V1" s="1096"/>
      <c r="W1" s="1096"/>
      <c r="X1" s="1096"/>
      <c r="Y1" s="1096"/>
      <c r="Z1" s="1096"/>
      <c r="AA1" s="1096"/>
      <c r="AB1" s="1096"/>
      <c r="AC1" s="1096"/>
      <c r="AD1" s="1096"/>
      <c r="AE1" s="1096"/>
      <c r="AF1" s="1096"/>
      <c r="AG1" s="1096"/>
      <c r="AH1" s="1096"/>
      <c r="AI1" s="1096"/>
      <c r="AJ1" s="1096"/>
      <c r="AK1" s="1096"/>
      <c r="AL1" s="1096"/>
      <c r="AM1" s="1096"/>
      <c r="AN1" s="1096"/>
      <c r="AO1" s="1096"/>
      <c r="AP1" s="1096"/>
      <c r="AQ1" s="1096"/>
      <c r="AR1" s="1096"/>
      <c r="AS1" s="1096"/>
      <c r="AT1" s="1096"/>
      <c r="AU1" s="1096"/>
      <c r="AV1" s="1096"/>
      <c r="AW1" s="1096"/>
      <c r="AX1" s="1096"/>
      <c r="AY1" s="1096"/>
      <c r="AZ1" s="1096"/>
      <c r="BA1" s="1096"/>
      <c r="BB1" s="1096"/>
      <c r="BC1" s="1096"/>
      <c r="BD1" s="1096"/>
      <c r="BE1" s="1096"/>
      <c r="BF1" s="1096"/>
      <c r="BG1" s="1096"/>
      <c r="BH1" s="1096"/>
      <c r="BI1" s="1096"/>
      <c r="BJ1" s="1096"/>
      <c r="BK1" s="1096"/>
      <c r="BL1" s="1096"/>
      <c r="BM1" s="1096"/>
      <c r="BN1" s="1096"/>
      <c r="BO1" s="1096"/>
      <c r="BP1" s="1096"/>
      <c r="BQ1" s="1096"/>
      <c r="BR1" s="1096"/>
      <c r="BS1" s="1096"/>
      <c r="BT1" s="1096"/>
      <c r="BU1" s="1096"/>
    </row>
    <row r="2" spans="1:73" ht="26" x14ac:dyDescent="0.3">
      <c r="A2" s="1096"/>
      <c r="B2" s="1107" t="s">
        <v>1136</v>
      </c>
      <c r="C2" s="1107" t="s">
        <v>1135</v>
      </c>
      <c r="D2" s="1107" t="s">
        <v>1202</v>
      </c>
      <c r="E2" s="1107" t="s">
        <v>1203</v>
      </c>
      <c r="F2" s="1107" t="s">
        <v>1139</v>
      </c>
      <c r="G2" s="1107" t="s">
        <v>1140</v>
      </c>
      <c r="H2" s="1107" t="s">
        <v>1141</v>
      </c>
      <c r="I2" s="1107" t="s">
        <v>1142</v>
      </c>
      <c r="J2" s="1097"/>
      <c r="K2" s="1097"/>
      <c r="L2" s="1096"/>
      <c r="M2" s="1096"/>
      <c r="N2" s="1096"/>
      <c r="O2" s="1096"/>
      <c r="P2" s="1096"/>
      <c r="Q2" s="1096"/>
      <c r="R2" s="1096"/>
      <c r="S2" s="1096"/>
      <c r="T2" s="1096"/>
      <c r="U2" s="1096"/>
      <c r="V2" s="1096"/>
      <c r="W2" s="1096"/>
      <c r="X2" s="1096"/>
      <c r="Y2" s="1096"/>
      <c r="Z2" s="1096"/>
      <c r="AA2" s="1096"/>
      <c r="AB2" s="1096"/>
      <c r="AC2" s="1096"/>
      <c r="AD2" s="1096"/>
      <c r="AE2" s="1096"/>
      <c r="AF2" s="1096"/>
      <c r="AG2" s="1096"/>
      <c r="AH2" s="1096"/>
      <c r="AI2" s="1096"/>
      <c r="AJ2" s="1096"/>
      <c r="AK2" s="1096"/>
      <c r="AL2" s="1096"/>
      <c r="AM2" s="1096"/>
      <c r="AN2" s="1096"/>
      <c r="AO2" s="1096"/>
      <c r="AP2" s="1096"/>
      <c r="AQ2" s="1096"/>
      <c r="AR2" s="1096"/>
      <c r="AS2" s="1096"/>
      <c r="AT2" s="1096"/>
      <c r="AU2" s="1096"/>
      <c r="AV2" s="1096"/>
      <c r="AW2" s="1096"/>
      <c r="AX2" s="1096"/>
      <c r="AY2" s="1096"/>
      <c r="AZ2" s="1096"/>
      <c r="BA2" s="1096"/>
      <c r="BB2" s="1096"/>
      <c r="BC2" s="1096"/>
      <c r="BD2" s="1096"/>
      <c r="BE2" s="1096"/>
      <c r="BF2" s="1096"/>
      <c r="BG2" s="1096"/>
      <c r="BH2" s="1096"/>
      <c r="BI2" s="1096"/>
      <c r="BJ2" s="1096"/>
      <c r="BK2" s="1096"/>
      <c r="BL2" s="1096"/>
      <c r="BM2" s="1096"/>
      <c r="BN2" s="1096"/>
      <c r="BO2" s="1096"/>
      <c r="BP2" s="1096"/>
      <c r="BQ2" s="1096"/>
      <c r="BR2" s="1096"/>
      <c r="BS2" s="1096"/>
      <c r="BT2" s="1096"/>
      <c r="BU2" s="1096"/>
    </row>
    <row r="3" spans="1:73" x14ac:dyDescent="0.25">
      <c r="A3" s="1096"/>
      <c r="B3" s="1099" t="s">
        <v>1176</v>
      </c>
      <c r="C3" s="1103">
        <f ca="1">+cap_factor</f>
        <v>0.9</v>
      </c>
      <c r="D3" s="1102">
        <v>0.05</v>
      </c>
      <c r="E3" s="1102">
        <v>0.05</v>
      </c>
      <c r="F3" s="1112">
        <f>1+D3</f>
        <v>1.05</v>
      </c>
      <c r="G3" s="1109">
        <f>1-E3</f>
        <v>0.95</v>
      </c>
      <c r="H3" s="1101">
        <f t="shared" ref="H3:H9" ca="1" si="0">+C3*F3</f>
        <v>0.94500000000000006</v>
      </c>
      <c r="I3" s="1101">
        <f t="shared" ref="I3:I9" ca="1" si="1">+C3*G3</f>
        <v>0.85499999999999998</v>
      </c>
      <c r="J3" s="1450"/>
      <c r="K3" s="1450"/>
      <c r="L3" s="1096"/>
      <c r="M3" s="1096"/>
      <c r="N3" s="1096"/>
      <c r="O3" s="1096"/>
      <c r="P3" s="1096"/>
      <c r="Q3" s="1096"/>
      <c r="R3" s="1096"/>
      <c r="S3" s="1096"/>
      <c r="T3" s="1096"/>
      <c r="U3" s="1096"/>
      <c r="V3" s="1096"/>
      <c r="W3" s="1096"/>
      <c r="X3" s="1096"/>
      <c r="Y3" s="1096"/>
      <c r="Z3" s="1096"/>
      <c r="AA3" s="1096"/>
      <c r="AB3" s="1096"/>
      <c r="AC3" s="1096"/>
      <c r="AD3" s="1096"/>
      <c r="AE3" s="1096"/>
      <c r="AF3" s="1096"/>
      <c r="AG3" s="1096"/>
      <c r="AH3" s="1096"/>
      <c r="AI3" s="1096"/>
      <c r="AJ3" s="1096"/>
      <c r="AK3" s="1096"/>
      <c r="AL3" s="1096"/>
      <c r="AM3" s="1096"/>
      <c r="AN3" s="1096"/>
      <c r="AO3" s="1096"/>
      <c r="AP3" s="1096"/>
      <c r="AQ3" s="1096"/>
      <c r="AR3" s="1096"/>
      <c r="AS3" s="1096"/>
      <c r="AT3" s="1096"/>
      <c r="AU3" s="1096"/>
      <c r="AV3" s="1096"/>
      <c r="AW3" s="1096"/>
      <c r="AX3" s="1096"/>
      <c r="AY3" s="1096"/>
      <c r="AZ3" s="1096"/>
      <c r="BA3" s="1096"/>
      <c r="BB3" s="1096"/>
      <c r="BC3" s="1096"/>
      <c r="BD3" s="1096"/>
      <c r="BE3" s="1096"/>
      <c r="BF3" s="1096"/>
      <c r="BG3" s="1096"/>
      <c r="BH3" s="1096"/>
      <c r="BI3" s="1096"/>
      <c r="BJ3" s="1096"/>
      <c r="BK3" s="1096"/>
      <c r="BL3" s="1096"/>
      <c r="BM3" s="1096"/>
      <c r="BN3" s="1096"/>
      <c r="BO3" s="1096"/>
      <c r="BP3" s="1096"/>
      <c r="BQ3" s="1096"/>
      <c r="BR3" s="1096"/>
      <c r="BS3" s="1096"/>
      <c r="BT3" s="1096"/>
      <c r="BU3" s="1096"/>
    </row>
    <row r="4" spans="1:73" x14ac:dyDescent="0.25">
      <c r="A4" s="1096"/>
      <c r="B4" s="1099" t="str">
        <f>+Input_Sheet_Template!B26</f>
        <v>Plant Design Capacity (kg of H2/day)</v>
      </c>
      <c r="C4" s="1104">
        <f ca="1">+design_cap</f>
        <v>154758.064516129</v>
      </c>
      <c r="D4" s="1102">
        <v>0.05</v>
      </c>
      <c r="E4" s="1102">
        <v>0.05</v>
      </c>
      <c r="F4" s="1112">
        <f>1+D4</f>
        <v>1.05</v>
      </c>
      <c r="G4" s="1109">
        <f>1-E4</f>
        <v>0.95</v>
      </c>
      <c r="H4" s="1106">
        <f t="shared" ca="1" si="0"/>
        <v>162495.96774193546</v>
      </c>
      <c r="I4" s="1106">
        <f t="shared" ca="1" si="1"/>
        <v>147020.16129032255</v>
      </c>
      <c r="J4" s="1450"/>
      <c r="K4" s="1450"/>
      <c r="L4" s="1096"/>
      <c r="M4" s="1096"/>
      <c r="N4" s="1096"/>
      <c r="O4" s="1096"/>
      <c r="P4" s="1096"/>
      <c r="Q4" s="1096"/>
      <c r="R4" s="1096"/>
      <c r="S4" s="1096"/>
      <c r="T4" s="1096"/>
      <c r="U4" s="1096"/>
      <c r="V4" s="1096"/>
      <c r="W4" s="1096"/>
      <c r="X4" s="1096"/>
      <c r="Y4" s="1096"/>
      <c r="Z4" s="1096"/>
      <c r="AA4" s="1096"/>
      <c r="AB4" s="1096"/>
      <c r="AC4" s="1096"/>
      <c r="AD4" s="1096"/>
      <c r="AE4" s="1096"/>
      <c r="AF4" s="1096"/>
      <c r="AG4" s="1096"/>
      <c r="AH4" s="1096"/>
      <c r="AI4" s="1096"/>
      <c r="AJ4" s="1096"/>
      <c r="AK4" s="1096"/>
      <c r="AL4" s="1096"/>
      <c r="AM4" s="1096"/>
      <c r="AN4" s="1096"/>
      <c r="AO4" s="1096"/>
      <c r="AP4" s="1096"/>
      <c r="AQ4" s="1096"/>
      <c r="AR4" s="1096"/>
      <c r="AS4" s="1096"/>
      <c r="AT4" s="1096"/>
      <c r="AU4" s="1096"/>
      <c r="AV4" s="1096"/>
      <c r="AW4" s="1096"/>
      <c r="AX4" s="1096"/>
      <c r="AY4" s="1096"/>
      <c r="AZ4" s="1096"/>
      <c r="BA4" s="1096"/>
      <c r="BB4" s="1096"/>
      <c r="BC4" s="1096"/>
      <c r="BD4" s="1096"/>
      <c r="BE4" s="1096"/>
      <c r="BF4" s="1096"/>
      <c r="BG4" s="1096"/>
      <c r="BH4" s="1096"/>
      <c r="BI4" s="1096"/>
      <c r="BJ4" s="1096"/>
      <c r="BK4" s="1096"/>
      <c r="BL4" s="1096"/>
      <c r="BM4" s="1096"/>
      <c r="BN4" s="1096"/>
      <c r="BO4" s="1096"/>
      <c r="BP4" s="1096"/>
      <c r="BQ4" s="1096"/>
      <c r="BR4" s="1096"/>
      <c r="BS4" s="1096"/>
      <c r="BT4" s="1096"/>
      <c r="BU4" s="1096"/>
    </row>
    <row r="5" spans="1:73" x14ac:dyDescent="0.25">
      <c r="A5" s="1096"/>
      <c r="B5" s="1099" t="s">
        <v>1177</v>
      </c>
      <c r="C5" s="1103">
        <f ca="1">+real_irr</f>
        <v>0.08</v>
      </c>
      <c r="D5" s="1102">
        <v>0.05</v>
      </c>
      <c r="E5" s="1102">
        <v>0.05</v>
      </c>
      <c r="F5" s="1112">
        <f>1-D5</f>
        <v>0.95</v>
      </c>
      <c r="G5" s="1109">
        <f>1+E5</f>
        <v>1.05</v>
      </c>
      <c r="H5" s="1101">
        <f t="shared" ca="1" si="0"/>
        <v>7.5999999999999998E-2</v>
      </c>
      <c r="I5" s="1101">
        <f t="shared" ca="1" si="1"/>
        <v>8.4000000000000005E-2</v>
      </c>
      <c r="J5" s="1450"/>
      <c r="K5" s="1450"/>
      <c r="L5" s="1096"/>
      <c r="M5" s="1096"/>
      <c r="N5" s="1096"/>
      <c r="O5" s="1096"/>
      <c r="P5" s="1096"/>
      <c r="Q5" s="1096"/>
      <c r="R5" s="1096"/>
      <c r="S5" s="1096"/>
      <c r="T5" s="1096"/>
      <c r="U5" s="1096"/>
      <c r="V5" s="1096"/>
      <c r="W5" s="1096"/>
      <c r="X5" s="1096"/>
      <c r="Y5" s="1096"/>
      <c r="Z5" s="1096"/>
      <c r="AA5" s="1096"/>
      <c r="AB5" s="1096"/>
      <c r="AC5" s="1096"/>
      <c r="AD5" s="1096"/>
      <c r="AE5" s="1096"/>
      <c r="AF5" s="1096"/>
      <c r="AG5" s="1096"/>
      <c r="AH5" s="1096"/>
      <c r="AI5" s="1096"/>
      <c r="AJ5" s="1096"/>
      <c r="AK5" s="1096"/>
      <c r="AL5" s="1096"/>
      <c r="AM5" s="1096"/>
      <c r="AN5" s="1096"/>
      <c r="AO5" s="1096"/>
      <c r="AP5" s="1096"/>
      <c r="AQ5" s="1096"/>
      <c r="AR5" s="1096"/>
      <c r="AS5" s="1096"/>
      <c r="AT5" s="1096"/>
      <c r="AU5" s="1096"/>
      <c r="AV5" s="1096"/>
      <c r="AW5" s="1096"/>
      <c r="AX5" s="1096"/>
      <c r="AY5" s="1096"/>
      <c r="AZ5" s="1096"/>
      <c r="BA5" s="1096"/>
      <c r="BB5" s="1096"/>
      <c r="BC5" s="1096"/>
      <c r="BD5" s="1096"/>
      <c r="BE5" s="1096"/>
      <c r="BF5" s="1096"/>
      <c r="BG5" s="1096"/>
      <c r="BH5" s="1096"/>
      <c r="BI5" s="1096"/>
      <c r="BJ5" s="1096"/>
      <c r="BK5" s="1096"/>
      <c r="BL5" s="1096"/>
      <c r="BM5" s="1096"/>
      <c r="BN5" s="1096"/>
      <c r="BO5" s="1096"/>
      <c r="BP5" s="1096"/>
      <c r="BQ5" s="1096"/>
      <c r="BR5" s="1096"/>
      <c r="BS5" s="1096"/>
      <c r="BT5" s="1096"/>
      <c r="BU5" s="1096"/>
    </row>
    <row r="6" spans="1:73" x14ac:dyDescent="0.25">
      <c r="A6" s="1096"/>
      <c r="B6" s="1099" t="s">
        <v>1186</v>
      </c>
      <c r="C6" s="1199">
        <v>1</v>
      </c>
      <c r="D6" s="1102">
        <v>0.05</v>
      </c>
      <c r="E6" s="1102">
        <v>0.05</v>
      </c>
      <c r="F6" s="1112">
        <f>1-D6</f>
        <v>0.95</v>
      </c>
      <c r="G6" s="1109">
        <f t="shared" ref="G6:G9" si="2">1+E6</f>
        <v>1.05</v>
      </c>
      <c r="H6" s="1195">
        <f t="shared" si="0"/>
        <v>0.95</v>
      </c>
      <c r="I6" s="1195">
        <f t="shared" si="1"/>
        <v>1.05</v>
      </c>
      <c r="J6" s="1450"/>
      <c r="K6" s="1450"/>
      <c r="L6" s="1096"/>
      <c r="M6" s="1096"/>
      <c r="N6" s="1096"/>
      <c r="O6" s="1096"/>
      <c r="P6" s="1096"/>
      <c r="Q6" s="1096"/>
      <c r="R6" s="1096"/>
      <c r="S6" s="1096"/>
      <c r="T6" s="1096"/>
      <c r="U6" s="1096"/>
      <c r="V6" s="1096"/>
      <c r="W6" s="1096"/>
      <c r="X6" s="1096"/>
      <c r="Y6" s="1096"/>
      <c r="Z6" s="1096"/>
      <c r="AA6" s="1096"/>
      <c r="AB6" s="1096"/>
      <c r="AC6" s="1096"/>
      <c r="AD6" s="1096"/>
      <c r="AE6" s="1096"/>
      <c r="AF6" s="1096"/>
      <c r="AG6" s="1096"/>
      <c r="AH6" s="1096"/>
      <c r="AI6" s="1096"/>
      <c r="AJ6" s="1096"/>
      <c r="AK6" s="1096"/>
      <c r="AL6" s="1096"/>
      <c r="AM6" s="1096"/>
      <c r="AN6" s="1096"/>
      <c r="AO6" s="1096"/>
      <c r="AP6" s="1096"/>
      <c r="AQ6" s="1096"/>
      <c r="AR6" s="1096"/>
      <c r="AS6" s="1096"/>
      <c r="AT6" s="1096"/>
      <c r="AU6" s="1096"/>
      <c r="AV6" s="1096"/>
      <c r="AW6" s="1096"/>
      <c r="AX6" s="1096"/>
      <c r="AY6" s="1096"/>
      <c r="AZ6" s="1096"/>
      <c r="BA6" s="1096"/>
      <c r="BB6" s="1096"/>
      <c r="BC6" s="1096"/>
      <c r="BD6" s="1096"/>
      <c r="BE6" s="1096"/>
      <c r="BF6" s="1096"/>
      <c r="BG6" s="1096"/>
      <c r="BH6" s="1096"/>
      <c r="BI6" s="1096"/>
      <c r="BJ6" s="1096"/>
      <c r="BK6" s="1096"/>
      <c r="BL6" s="1096"/>
      <c r="BM6" s="1096"/>
      <c r="BN6" s="1096"/>
      <c r="BO6" s="1096"/>
      <c r="BP6" s="1096"/>
      <c r="BQ6" s="1096"/>
      <c r="BR6" s="1096"/>
      <c r="BS6" s="1096"/>
      <c r="BT6" s="1096"/>
      <c r="BU6" s="1096"/>
    </row>
    <row r="7" spans="1:73" x14ac:dyDescent="0.25">
      <c r="A7" s="1096"/>
      <c r="B7" s="1099" t="s">
        <v>1187</v>
      </c>
      <c r="C7" s="1199">
        <v>1</v>
      </c>
      <c r="D7" s="1102">
        <v>0.05</v>
      </c>
      <c r="E7" s="1102">
        <v>0.05</v>
      </c>
      <c r="F7" s="1112">
        <f>1-D7</f>
        <v>0.95</v>
      </c>
      <c r="G7" s="1109">
        <f t="shared" si="2"/>
        <v>1.05</v>
      </c>
      <c r="H7" s="1195">
        <f t="shared" si="0"/>
        <v>0.95</v>
      </c>
      <c r="I7" s="1195">
        <f t="shared" si="1"/>
        <v>1.05</v>
      </c>
      <c r="J7" s="1450"/>
      <c r="K7" s="1450"/>
      <c r="L7" s="1096"/>
      <c r="M7" s="1096"/>
      <c r="N7" s="1096"/>
      <c r="O7" s="1096"/>
      <c r="P7" s="1096"/>
      <c r="Q7" s="1096"/>
      <c r="R7" s="1096"/>
      <c r="S7" s="1096"/>
      <c r="T7" s="1096"/>
      <c r="U7" s="1096"/>
      <c r="V7" s="1096"/>
      <c r="W7" s="1096"/>
      <c r="X7" s="1096"/>
      <c r="Y7" s="1096"/>
      <c r="Z7" s="1096"/>
      <c r="AA7" s="1096"/>
      <c r="AB7" s="1096"/>
      <c r="AC7" s="1096"/>
      <c r="AD7" s="1096"/>
      <c r="AE7" s="1096"/>
      <c r="AF7" s="1096"/>
      <c r="AG7" s="1096"/>
      <c r="AH7" s="1096"/>
      <c r="AI7" s="1096"/>
      <c r="AJ7" s="1096"/>
      <c r="AK7" s="1096"/>
      <c r="AL7" s="1096"/>
      <c r="AM7" s="1096"/>
      <c r="AN7" s="1096"/>
      <c r="AO7" s="1096"/>
      <c r="AP7" s="1096"/>
      <c r="AQ7" s="1096"/>
      <c r="AR7" s="1096"/>
      <c r="AS7" s="1096"/>
      <c r="AT7" s="1096"/>
      <c r="AU7" s="1096"/>
      <c r="AV7" s="1096"/>
      <c r="AW7" s="1096"/>
      <c r="AX7" s="1096"/>
      <c r="AY7" s="1096"/>
      <c r="AZ7" s="1096"/>
      <c r="BA7" s="1096"/>
      <c r="BB7" s="1096"/>
      <c r="BC7" s="1096"/>
      <c r="BD7" s="1096"/>
      <c r="BE7" s="1096"/>
      <c r="BF7" s="1096"/>
      <c r="BG7" s="1096"/>
      <c r="BH7" s="1096"/>
      <c r="BI7" s="1096"/>
      <c r="BJ7" s="1096"/>
      <c r="BK7" s="1096"/>
      <c r="BL7" s="1096"/>
      <c r="BM7" s="1096"/>
      <c r="BN7" s="1096"/>
      <c r="BO7" s="1096"/>
      <c r="BP7" s="1096"/>
      <c r="BQ7" s="1096"/>
      <c r="BR7" s="1096"/>
      <c r="BS7" s="1096"/>
      <c r="BT7" s="1096"/>
      <c r="BU7" s="1096"/>
    </row>
    <row r="8" spans="1:73" x14ac:dyDescent="0.25">
      <c r="A8" s="1096"/>
      <c r="B8" s="1099" t="s">
        <v>117</v>
      </c>
      <c r="C8" s="1104">
        <f ca="1">+total_cap</f>
        <v>195787310.81187424</v>
      </c>
      <c r="D8" s="1102">
        <v>0.05</v>
      </c>
      <c r="E8" s="1102">
        <v>0.05</v>
      </c>
      <c r="F8" s="1112">
        <f>1-D8</f>
        <v>0.95</v>
      </c>
      <c r="G8" s="1109">
        <f t="shared" si="2"/>
        <v>1.05</v>
      </c>
      <c r="H8" s="1106">
        <f t="shared" ca="1" si="0"/>
        <v>185997945.27128053</v>
      </c>
      <c r="I8" s="1106">
        <f t="shared" ca="1" si="1"/>
        <v>205576676.35246795</v>
      </c>
      <c r="J8" s="1450"/>
      <c r="K8" s="1450"/>
      <c r="L8" s="1096"/>
      <c r="M8" s="1096"/>
      <c r="N8" s="1096"/>
      <c r="O8" s="1096"/>
      <c r="P8" s="1096"/>
      <c r="Q8" s="1096"/>
      <c r="R8" s="1096"/>
      <c r="S8" s="1096"/>
      <c r="T8" s="1096"/>
      <c r="U8" s="1096"/>
      <c r="V8" s="1096"/>
      <c r="W8" s="1096"/>
      <c r="X8" s="1096"/>
      <c r="Y8" s="1096"/>
      <c r="Z8" s="1096"/>
      <c r="AA8" s="1096"/>
      <c r="AB8" s="1096"/>
      <c r="AC8" s="1096"/>
      <c r="AD8" s="1096"/>
      <c r="AE8" s="1096"/>
      <c r="AF8" s="1096"/>
      <c r="AG8" s="1096"/>
      <c r="AH8" s="1096"/>
      <c r="AI8" s="1096"/>
      <c r="AJ8" s="1096"/>
      <c r="AK8" s="1096"/>
      <c r="AL8" s="1096"/>
      <c r="AM8" s="1096"/>
      <c r="AN8" s="1096"/>
      <c r="AO8" s="1096"/>
      <c r="AP8" s="1096"/>
      <c r="AQ8" s="1096"/>
      <c r="AR8" s="1096"/>
      <c r="AS8" s="1096"/>
      <c r="AT8" s="1096"/>
      <c r="AU8" s="1096"/>
      <c r="AV8" s="1096"/>
      <c r="AW8" s="1096"/>
      <c r="AX8" s="1096"/>
      <c r="AY8" s="1096"/>
      <c r="AZ8" s="1096"/>
      <c r="BA8" s="1096"/>
      <c r="BB8" s="1096"/>
      <c r="BC8" s="1096"/>
      <c r="BD8" s="1096"/>
      <c r="BE8" s="1096"/>
      <c r="BF8" s="1096"/>
      <c r="BG8" s="1096"/>
      <c r="BH8" s="1096"/>
      <c r="BI8" s="1096"/>
      <c r="BJ8" s="1096"/>
      <c r="BK8" s="1096"/>
      <c r="BL8" s="1096"/>
      <c r="BM8" s="1096"/>
      <c r="BN8" s="1096"/>
      <c r="BO8" s="1096"/>
      <c r="BP8" s="1096"/>
      <c r="BQ8" s="1096"/>
      <c r="BR8" s="1096"/>
      <c r="BS8" s="1096"/>
      <c r="BT8" s="1096"/>
      <c r="BU8" s="1096"/>
    </row>
    <row r="9" spans="1:73" x14ac:dyDescent="0.25">
      <c r="A9" s="1096"/>
      <c r="B9" s="1099" t="s">
        <v>634</v>
      </c>
      <c r="C9" s="1104">
        <f ca="1">+fixed</f>
        <v>11801427.329928726</v>
      </c>
      <c r="D9" s="1102">
        <v>0.05</v>
      </c>
      <c r="E9" s="1102">
        <v>0.05</v>
      </c>
      <c r="F9" s="1112">
        <f>1-D9</f>
        <v>0.95</v>
      </c>
      <c r="G9" s="1109">
        <f t="shared" si="2"/>
        <v>1.05</v>
      </c>
      <c r="H9" s="1106">
        <f t="shared" ca="1" si="0"/>
        <v>11211355.96343229</v>
      </c>
      <c r="I9" s="1106">
        <f t="shared" ca="1" si="1"/>
        <v>12391498.696425162</v>
      </c>
      <c r="J9" s="1450"/>
      <c r="K9" s="1450"/>
      <c r="L9" s="1096"/>
      <c r="M9" s="1096"/>
      <c r="N9" s="1096"/>
      <c r="O9" s="1096"/>
      <c r="P9" s="1096"/>
      <c r="Q9" s="1096"/>
      <c r="R9" s="1096"/>
      <c r="S9" s="1096"/>
      <c r="T9" s="1096"/>
      <c r="U9" s="1096"/>
      <c r="V9" s="1096"/>
      <c r="W9" s="1096"/>
      <c r="X9" s="1096"/>
      <c r="Y9" s="1096"/>
      <c r="Z9" s="1096"/>
      <c r="AA9" s="1096"/>
      <c r="AB9" s="1096"/>
      <c r="AC9" s="1096"/>
      <c r="AD9" s="1096"/>
      <c r="AE9" s="1096"/>
      <c r="AF9" s="1096"/>
      <c r="AG9" s="1096"/>
      <c r="AH9" s="1096"/>
      <c r="AI9" s="1096"/>
      <c r="AJ9" s="1096"/>
      <c r="AK9" s="1096"/>
      <c r="AL9" s="1096"/>
      <c r="AM9" s="1096"/>
      <c r="AN9" s="1096"/>
      <c r="AO9" s="1096"/>
      <c r="AP9" s="1096"/>
      <c r="AQ9" s="1096"/>
      <c r="AR9" s="1096"/>
      <c r="AS9" s="1096"/>
      <c r="AT9" s="1096"/>
      <c r="AU9" s="1096"/>
      <c r="AV9" s="1096"/>
      <c r="AW9" s="1096"/>
      <c r="AX9" s="1096"/>
      <c r="AY9" s="1096"/>
      <c r="AZ9" s="1096"/>
      <c r="BA9" s="1096"/>
      <c r="BB9" s="1096"/>
      <c r="BC9" s="1096"/>
      <c r="BD9" s="1096"/>
      <c r="BE9" s="1096"/>
      <c r="BF9" s="1096"/>
      <c r="BG9" s="1096"/>
      <c r="BH9" s="1096"/>
      <c r="BI9" s="1096"/>
      <c r="BJ9" s="1096"/>
      <c r="BK9" s="1096"/>
      <c r="BL9" s="1096"/>
      <c r="BM9" s="1096"/>
      <c r="BN9" s="1096"/>
      <c r="BO9" s="1096"/>
      <c r="BP9" s="1096"/>
      <c r="BQ9" s="1096"/>
      <c r="BR9" s="1096"/>
      <c r="BS9" s="1096"/>
      <c r="BT9" s="1096"/>
      <c r="BU9" s="1096"/>
    </row>
    <row r="10" spans="1:73" x14ac:dyDescent="0.25">
      <c r="A10" s="1096"/>
      <c r="B10" s="1096"/>
      <c r="C10" s="1096"/>
      <c r="D10" s="1096"/>
      <c r="E10" s="1096"/>
      <c r="F10" s="1096"/>
      <c r="G10" s="1096"/>
      <c r="H10" s="1096"/>
      <c r="I10" s="1096"/>
      <c r="J10" s="1096"/>
      <c r="K10" s="1096"/>
      <c r="L10" s="1096"/>
      <c r="M10" s="1096"/>
      <c r="N10" s="1096"/>
      <c r="O10" s="1096"/>
      <c r="P10" s="1096"/>
      <c r="Q10" s="1096"/>
      <c r="R10" s="1096"/>
      <c r="S10" s="1096"/>
      <c r="T10" s="1096"/>
      <c r="U10" s="1096"/>
      <c r="V10" s="1096"/>
      <c r="W10" s="1096"/>
      <c r="X10" s="1096"/>
      <c r="Y10" s="1096"/>
      <c r="Z10" s="1096"/>
      <c r="AA10" s="1096"/>
      <c r="AB10" s="1096"/>
      <c r="AC10" s="1096"/>
      <c r="AD10" s="1096"/>
      <c r="AE10" s="1096"/>
      <c r="AF10" s="1096"/>
      <c r="AG10" s="1096"/>
      <c r="AH10" s="1096"/>
      <c r="AI10" s="1096"/>
      <c r="AJ10" s="1096"/>
      <c r="AK10" s="1096"/>
      <c r="AL10" s="1096"/>
      <c r="AM10" s="1096"/>
      <c r="AN10" s="1096"/>
      <c r="AO10" s="1096"/>
      <c r="AP10" s="1096"/>
      <c r="AQ10" s="1096"/>
      <c r="AR10" s="1096"/>
      <c r="AS10" s="1096"/>
      <c r="AT10" s="1096"/>
      <c r="AU10" s="1096"/>
      <c r="AV10" s="1096"/>
      <c r="AW10" s="1096"/>
      <c r="AX10" s="1096"/>
      <c r="AY10" s="1096"/>
      <c r="AZ10" s="1096"/>
      <c r="BA10" s="1096"/>
      <c r="BB10" s="1096"/>
      <c r="BC10" s="1096"/>
      <c r="BD10" s="1096"/>
      <c r="BE10" s="1096"/>
      <c r="BF10" s="1096"/>
      <c r="BG10" s="1096"/>
      <c r="BH10" s="1096"/>
      <c r="BI10" s="1096"/>
      <c r="BJ10" s="1096"/>
      <c r="BK10" s="1096"/>
      <c r="BL10" s="1096"/>
      <c r="BM10" s="1096"/>
      <c r="BN10" s="1096"/>
      <c r="BO10" s="1096"/>
      <c r="BP10" s="1096"/>
      <c r="BQ10" s="1096"/>
      <c r="BR10" s="1096"/>
      <c r="BS10" s="1096"/>
      <c r="BT10" s="1096"/>
      <c r="BU10" s="1096"/>
    </row>
    <row r="11" spans="1:73" x14ac:dyDescent="0.25">
      <c r="A11" s="1096"/>
      <c r="B11" s="1622" t="s">
        <v>1307</v>
      </c>
      <c r="C11" s="1622"/>
      <c r="D11" s="1102" t="s">
        <v>23</v>
      </c>
      <c r="E11" s="1462" t="str">
        <f>IF(RunRiskAnalysis="Yes","          Please click Update Charts and Risk Analysis button before using results below","")</f>
        <v xml:space="preserve">          Please click Update Charts and Risk Analysis button before using results below</v>
      </c>
      <c r="F11" s="1096"/>
      <c r="H11" s="1096"/>
      <c r="I11" s="1096"/>
      <c r="J11" s="1096"/>
      <c r="K11" s="1096"/>
      <c r="L11" s="1096"/>
      <c r="M11" s="1096"/>
      <c r="N11" s="1096"/>
      <c r="O11" s="1096"/>
      <c r="P11" s="1096"/>
      <c r="Q11" s="1096"/>
      <c r="R11" s="1096"/>
      <c r="S11" s="1096"/>
      <c r="T11" s="1096"/>
      <c r="U11" s="1096"/>
      <c r="V11" s="1096"/>
      <c r="W11" s="1096"/>
      <c r="X11" s="1096"/>
      <c r="Y11" s="1096"/>
      <c r="Z11" s="1096"/>
      <c r="AA11" s="1096"/>
      <c r="AB11" s="1096"/>
      <c r="AC11" s="1096"/>
      <c r="AD11" s="1096"/>
      <c r="AE11" s="1096"/>
      <c r="AF11" s="1096"/>
      <c r="AG11" s="1096"/>
      <c r="AH11" s="1096"/>
      <c r="AI11" s="1096"/>
      <c r="AJ11" s="1096"/>
      <c r="AK11" s="1096"/>
      <c r="AL11" s="1096"/>
      <c r="AM11" s="1096"/>
      <c r="AN11" s="1096"/>
      <c r="AO11" s="1096"/>
      <c r="AP11" s="1096"/>
      <c r="AQ11" s="1096"/>
      <c r="AR11" s="1096"/>
      <c r="AS11" s="1096"/>
      <c r="AT11" s="1096"/>
      <c r="AU11" s="1096"/>
      <c r="AV11" s="1096"/>
      <c r="AW11" s="1096"/>
      <c r="AX11" s="1096"/>
      <c r="AY11" s="1096"/>
      <c r="AZ11" s="1096"/>
      <c r="BA11" s="1096"/>
      <c r="BB11" s="1096"/>
      <c r="BC11" s="1096"/>
      <c r="BD11" s="1096"/>
      <c r="BE11" s="1096"/>
      <c r="BF11" s="1096"/>
      <c r="BG11" s="1096"/>
      <c r="BH11" s="1096"/>
      <c r="BI11" s="1096"/>
      <c r="BJ11" s="1096"/>
      <c r="BK11" s="1096"/>
      <c r="BL11" s="1096"/>
      <c r="BM11" s="1096"/>
      <c r="BN11" s="1096"/>
      <c r="BO11" s="1096"/>
      <c r="BP11" s="1096"/>
      <c r="BQ11" s="1096"/>
      <c r="BR11" s="1096"/>
      <c r="BS11" s="1096"/>
      <c r="BT11" s="1096"/>
      <c r="BU11" s="1096"/>
    </row>
    <row r="12" spans="1:73" ht="12.75" customHeight="1" x14ac:dyDescent="0.25">
      <c r="A12" s="1096"/>
      <c r="B12" s="1096"/>
      <c r="C12" s="1096"/>
      <c r="D12" s="1096"/>
      <c r="E12" s="1096"/>
      <c r="F12" s="1096"/>
      <c r="G12" s="1096"/>
      <c r="H12" s="1096"/>
      <c r="I12" s="1096"/>
      <c r="J12" s="1096"/>
      <c r="K12" s="1096"/>
      <c r="L12" s="1096"/>
      <c r="M12" s="1096"/>
      <c r="N12" s="1096"/>
      <c r="P12" s="1622" t="s">
        <v>1325</v>
      </c>
      <c r="Q12" s="1622"/>
      <c r="R12" s="1623" t="s">
        <v>1348</v>
      </c>
      <c r="S12" s="1623"/>
      <c r="T12" s="1623"/>
      <c r="U12" s="1623"/>
      <c r="V12" s="1096"/>
      <c r="W12" s="1096"/>
      <c r="X12" s="1096"/>
      <c r="Y12" s="1096"/>
      <c r="Z12" s="1096"/>
      <c r="AA12" s="1096"/>
      <c r="AB12" s="1096"/>
      <c r="AC12" s="1096"/>
      <c r="AD12" s="1096"/>
      <c r="AE12" s="1096"/>
      <c r="AF12" s="1096"/>
      <c r="AG12" s="1096"/>
      <c r="AH12" s="1096"/>
      <c r="AI12" s="1096"/>
      <c r="AJ12" s="1096"/>
      <c r="AK12" s="1096"/>
      <c r="AL12" s="1096"/>
      <c r="AM12" s="1096"/>
      <c r="AN12" s="1096"/>
      <c r="AO12" s="1096"/>
      <c r="AP12" s="1096"/>
      <c r="AQ12" s="1096"/>
      <c r="AR12" s="1096"/>
      <c r="AS12" s="1096"/>
      <c r="AT12" s="1096"/>
      <c r="AU12" s="1096"/>
      <c r="AV12" s="1096"/>
      <c r="AW12" s="1096"/>
      <c r="AX12" s="1096"/>
      <c r="AY12" s="1096"/>
      <c r="AZ12" s="1096"/>
      <c r="BA12" s="1096"/>
      <c r="BB12" s="1096"/>
      <c r="BC12" s="1096"/>
      <c r="BD12" s="1096"/>
      <c r="BE12" s="1096"/>
      <c r="BF12" s="1096"/>
      <c r="BG12" s="1096"/>
      <c r="BH12" s="1096"/>
      <c r="BI12" s="1096"/>
      <c r="BJ12" s="1096"/>
      <c r="BK12" s="1096"/>
      <c r="BL12" s="1096"/>
      <c r="BM12" s="1096"/>
      <c r="BN12" s="1096"/>
      <c r="BO12" s="1096"/>
      <c r="BP12" s="1096"/>
      <c r="BQ12" s="1096"/>
      <c r="BR12" s="1096"/>
      <c r="BS12" s="1096"/>
      <c r="BT12" s="1096"/>
      <c r="BU12" s="1096"/>
    </row>
    <row r="13" spans="1:73" ht="13" x14ac:dyDescent="0.3">
      <c r="A13" s="1096"/>
      <c r="B13" s="1096"/>
      <c r="C13" s="1096"/>
      <c r="D13" s="1096"/>
      <c r="E13" s="1096"/>
      <c r="F13" s="1096"/>
      <c r="G13" s="1096"/>
      <c r="H13" s="1096"/>
      <c r="I13" s="1096"/>
      <c r="J13" s="1096"/>
      <c r="K13" s="1096"/>
      <c r="L13" s="1096"/>
      <c r="M13" s="1096"/>
      <c r="N13" s="1096"/>
      <c r="O13" s="1096"/>
      <c r="P13" s="1096"/>
      <c r="Q13" s="1096"/>
      <c r="R13" s="1096"/>
      <c r="S13" s="1096"/>
      <c r="T13" s="1096"/>
      <c r="U13" s="1096"/>
      <c r="V13" s="1107" t="s">
        <v>1311</v>
      </c>
      <c r="W13" s="1107" t="s">
        <v>1092</v>
      </c>
      <c r="X13" s="1096"/>
      <c r="Y13" s="1096"/>
      <c r="Z13" s="1096"/>
      <c r="AA13" s="1096"/>
      <c r="AB13" s="1096"/>
      <c r="AC13" s="1096"/>
      <c r="AD13" s="1096"/>
      <c r="AE13" s="1096"/>
      <c r="AF13" s="1096"/>
      <c r="AG13" s="1096"/>
      <c r="AH13" s="1096"/>
      <c r="AI13" s="1096"/>
      <c r="AJ13" s="1096"/>
      <c r="AK13" s="1096"/>
      <c r="AL13" s="1096"/>
      <c r="AM13" s="1096"/>
      <c r="AN13" s="1096"/>
      <c r="AO13" s="1096"/>
      <c r="AP13" s="1096"/>
      <c r="AQ13" s="1096"/>
      <c r="AR13" s="1096"/>
      <c r="AS13" s="1096"/>
      <c r="AT13" s="1096"/>
      <c r="AU13" s="1096"/>
      <c r="AV13" s="1096"/>
      <c r="AW13" s="1096"/>
      <c r="AX13" s="1096"/>
      <c r="AY13" s="1096"/>
      <c r="AZ13" s="1096"/>
      <c r="BA13" s="1096"/>
      <c r="BB13" s="1096"/>
      <c r="BC13" s="1096"/>
      <c r="BD13" s="1096"/>
      <c r="BE13" s="1096"/>
      <c r="BF13" s="1096"/>
      <c r="BG13" s="1096"/>
      <c r="BH13" s="1096"/>
      <c r="BI13" s="1096"/>
      <c r="BJ13" s="1096"/>
      <c r="BK13" s="1096"/>
      <c r="BL13" s="1096"/>
      <c r="BM13" s="1096"/>
      <c r="BN13" s="1096"/>
      <c r="BO13" s="1096"/>
      <c r="BP13" s="1096"/>
      <c r="BQ13" s="1096"/>
      <c r="BR13" s="1096"/>
      <c r="BS13" s="1096"/>
      <c r="BT13" s="1096"/>
      <c r="BU13" s="1096"/>
    </row>
    <row r="14" spans="1:73" x14ac:dyDescent="0.25">
      <c r="A14" s="1096"/>
      <c r="B14" s="1096"/>
      <c r="C14" s="1096"/>
      <c r="D14" s="1096"/>
      <c r="E14" s="1096"/>
      <c r="F14" s="1096"/>
      <c r="G14" s="1096"/>
      <c r="H14" s="1096"/>
      <c r="I14" s="1096"/>
      <c r="J14" s="1096"/>
      <c r="K14" s="1096"/>
      <c r="L14" s="1096"/>
      <c r="M14" s="1096"/>
      <c r="N14" s="1096"/>
      <c r="O14" s="1096"/>
      <c r="P14" s="1096"/>
      <c r="Q14" s="1096"/>
      <c r="R14" s="1096"/>
      <c r="S14" s="1096"/>
      <c r="T14" s="1096"/>
      <c r="U14" s="1096"/>
      <c r="V14" s="1109">
        <v>0</v>
      </c>
      <c r="W14" s="1110">
        <f ca="1">+MIN(OFFSET($B$251:$B$2250,0,$C$194))*$C$198</f>
        <v>2.1226786839973983</v>
      </c>
      <c r="X14" s="1096"/>
      <c r="Y14" s="1096"/>
      <c r="Z14" s="1096"/>
      <c r="AA14" s="1096"/>
      <c r="AB14" s="1096"/>
      <c r="AC14" s="1096"/>
      <c r="AD14" s="1096"/>
      <c r="AE14" s="1096"/>
      <c r="AF14" s="1096"/>
      <c r="AG14" s="1096"/>
      <c r="AH14" s="1096"/>
      <c r="AI14" s="1096"/>
      <c r="AJ14" s="1096"/>
      <c r="AK14" s="1096"/>
      <c r="AL14" s="1096"/>
      <c r="AM14" s="1096"/>
      <c r="AN14" s="1096"/>
      <c r="AO14" s="1096"/>
      <c r="AP14" s="1096"/>
      <c r="AQ14" s="1096"/>
      <c r="AR14" s="1096"/>
      <c r="AS14" s="1096"/>
      <c r="AT14" s="1096"/>
      <c r="AU14" s="1096"/>
      <c r="AV14" s="1096"/>
      <c r="AW14" s="1096"/>
      <c r="AX14" s="1096"/>
      <c r="AY14" s="1096"/>
      <c r="AZ14" s="1096"/>
      <c r="BA14" s="1096"/>
      <c r="BB14" s="1096"/>
      <c r="BC14" s="1096"/>
      <c r="BD14" s="1096"/>
      <c r="BE14" s="1096"/>
      <c r="BF14" s="1096"/>
      <c r="BG14" s="1096"/>
      <c r="BH14" s="1096"/>
      <c r="BI14" s="1096"/>
      <c r="BJ14" s="1096"/>
      <c r="BK14" s="1096"/>
      <c r="BL14" s="1096"/>
      <c r="BM14" s="1096"/>
      <c r="BN14" s="1096"/>
      <c r="BO14" s="1096"/>
      <c r="BP14" s="1096"/>
      <c r="BQ14" s="1096"/>
      <c r="BR14" s="1096"/>
      <c r="BS14" s="1096"/>
      <c r="BT14" s="1096"/>
      <c r="BU14" s="1096"/>
    </row>
    <row r="15" spans="1:73" x14ac:dyDescent="0.25">
      <c r="A15" s="1096"/>
      <c r="B15" s="1096"/>
      <c r="C15" s="1096"/>
      <c r="D15" s="1096"/>
      <c r="E15" s="1096"/>
      <c r="F15" s="1096"/>
      <c r="G15" s="1096"/>
      <c r="H15" s="1096"/>
      <c r="I15" s="1096"/>
      <c r="J15" s="1096"/>
      <c r="K15" s="1096"/>
      <c r="L15" s="1096"/>
      <c r="M15" s="1096"/>
      <c r="N15" s="1096"/>
      <c r="O15" s="1096"/>
      <c r="P15" s="1096"/>
      <c r="Q15" s="1096"/>
      <c r="R15" s="1096"/>
      <c r="S15" s="1096"/>
      <c r="T15" s="1096"/>
      <c r="U15" s="1096"/>
      <c r="V15" s="1460">
        <v>0.05</v>
      </c>
      <c r="W15" s="1461">
        <f t="shared" ref="W15:W33" ca="1" si="3">+PERCENTILE(OFFSET($B$251:$B$2250,0,$C$194),V15)*$C$198</f>
        <v>2.1647910312851328</v>
      </c>
      <c r="X15" s="1096"/>
      <c r="Y15" s="1096"/>
      <c r="Z15" s="1096"/>
      <c r="AA15" s="1096"/>
      <c r="AB15" s="1096"/>
      <c r="AC15" s="1096"/>
      <c r="AD15" s="1096"/>
      <c r="AE15" s="1096"/>
      <c r="AF15" s="1096"/>
      <c r="AG15" s="1096"/>
      <c r="AH15" s="1096"/>
      <c r="AI15" s="1096"/>
      <c r="AJ15" s="1096"/>
      <c r="AK15" s="1096"/>
      <c r="AL15" s="1096"/>
      <c r="AM15" s="1096"/>
      <c r="AN15" s="1096"/>
      <c r="AO15" s="1096"/>
      <c r="AP15" s="1096"/>
      <c r="AQ15" s="1096"/>
      <c r="AR15" s="1096"/>
      <c r="AS15" s="1096"/>
      <c r="AT15" s="1096"/>
      <c r="AU15" s="1096"/>
      <c r="AV15" s="1096"/>
      <c r="AW15" s="1096"/>
      <c r="AX15" s="1096"/>
      <c r="AY15" s="1096"/>
      <c r="AZ15" s="1096"/>
      <c r="BA15" s="1096"/>
      <c r="BB15" s="1096"/>
      <c r="BC15" s="1096"/>
      <c r="BD15" s="1096"/>
      <c r="BE15" s="1096"/>
      <c r="BF15" s="1096"/>
      <c r="BG15" s="1096"/>
      <c r="BH15" s="1096"/>
      <c r="BI15" s="1096"/>
      <c r="BJ15" s="1096"/>
      <c r="BK15" s="1096"/>
      <c r="BL15" s="1096"/>
      <c r="BM15" s="1096"/>
      <c r="BN15" s="1096"/>
      <c r="BO15" s="1096"/>
      <c r="BP15" s="1096"/>
      <c r="BQ15" s="1096"/>
      <c r="BR15" s="1096"/>
      <c r="BS15" s="1096"/>
      <c r="BT15" s="1096"/>
      <c r="BU15" s="1096"/>
    </row>
    <row r="16" spans="1:73" x14ac:dyDescent="0.25">
      <c r="A16" s="1096"/>
      <c r="B16" s="1097"/>
      <c r="C16" s="1096"/>
      <c r="D16" s="1096"/>
      <c r="E16" s="1096"/>
      <c r="F16" s="1096"/>
      <c r="G16" s="1096"/>
      <c r="H16" s="1096"/>
      <c r="I16" s="1096"/>
      <c r="J16" s="1096"/>
      <c r="K16" s="1096"/>
      <c r="L16" s="1096"/>
      <c r="M16" s="1096"/>
      <c r="N16" s="1096"/>
      <c r="O16" s="1096"/>
      <c r="P16" s="1096"/>
      <c r="Q16" s="1096"/>
      <c r="R16" s="1096"/>
      <c r="S16" s="1096"/>
      <c r="T16" s="1096"/>
      <c r="U16" s="1096"/>
      <c r="V16" s="1459">
        <f t="shared" ref="V16:V33" si="4">+V15+0.05</f>
        <v>0.1</v>
      </c>
      <c r="W16" s="1110">
        <f t="shared" ca="1" si="3"/>
        <v>2.1742293556312497</v>
      </c>
      <c r="X16" s="1096"/>
      <c r="Y16" s="1096"/>
      <c r="Z16" s="1096"/>
      <c r="AA16" s="1096"/>
      <c r="AB16" s="1096"/>
      <c r="AC16" s="1096"/>
      <c r="AD16" s="1096"/>
      <c r="AE16" s="1096"/>
      <c r="AF16" s="1096"/>
      <c r="AG16" s="1096"/>
      <c r="AH16" s="1096"/>
      <c r="AI16" s="1096"/>
      <c r="AJ16" s="1096"/>
      <c r="AK16" s="1096"/>
      <c r="AL16" s="1096"/>
      <c r="AM16" s="1096"/>
      <c r="AN16" s="1096"/>
      <c r="AO16" s="1096"/>
      <c r="AP16" s="1096"/>
      <c r="AQ16" s="1096"/>
      <c r="AR16" s="1096"/>
      <c r="AS16" s="1096"/>
      <c r="AT16" s="1096"/>
      <c r="AU16" s="1096"/>
      <c r="AV16" s="1096"/>
      <c r="AW16" s="1096"/>
      <c r="AX16" s="1096"/>
      <c r="AY16" s="1096"/>
      <c r="AZ16" s="1096"/>
      <c r="BA16" s="1096"/>
      <c r="BB16" s="1096"/>
      <c r="BC16" s="1096"/>
      <c r="BD16" s="1096"/>
      <c r="BE16" s="1096"/>
      <c r="BF16" s="1096"/>
      <c r="BG16" s="1096"/>
      <c r="BH16" s="1096"/>
      <c r="BI16" s="1096"/>
      <c r="BJ16" s="1096"/>
      <c r="BK16" s="1096"/>
      <c r="BL16" s="1096"/>
      <c r="BM16" s="1096"/>
      <c r="BN16" s="1096"/>
      <c r="BO16" s="1096"/>
      <c r="BP16" s="1096"/>
      <c r="BQ16" s="1096"/>
      <c r="BR16" s="1096"/>
      <c r="BS16" s="1096"/>
      <c r="BT16" s="1096"/>
      <c r="BU16" s="1096"/>
    </row>
    <row r="17" spans="1:73" x14ac:dyDescent="0.25">
      <c r="A17" s="1096"/>
      <c r="B17" s="1096"/>
      <c r="C17" s="1096"/>
      <c r="D17" s="1096"/>
      <c r="E17" s="1096"/>
      <c r="F17" s="1096"/>
      <c r="G17" s="1096"/>
      <c r="H17" s="1096"/>
      <c r="I17" s="1096"/>
      <c r="J17" s="1096"/>
      <c r="K17" s="1096"/>
      <c r="L17" s="1096"/>
      <c r="M17" s="1096"/>
      <c r="N17" s="1096"/>
      <c r="O17" s="1096"/>
      <c r="P17" s="1096"/>
      <c r="Q17" s="1096"/>
      <c r="R17" s="1096"/>
      <c r="S17" s="1096"/>
      <c r="T17" s="1096"/>
      <c r="U17" s="1096"/>
      <c r="V17" s="1459">
        <f t="shared" si="4"/>
        <v>0.15000000000000002</v>
      </c>
      <c r="W17" s="1110">
        <f t="shared" ca="1" si="3"/>
        <v>2.1813807588366081</v>
      </c>
      <c r="X17" s="1096"/>
      <c r="Y17" s="1096"/>
      <c r="Z17" s="1096"/>
      <c r="AA17" s="1096"/>
      <c r="AB17" s="1096"/>
      <c r="AC17" s="1096"/>
      <c r="AD17" s="1096"/>
      <c r="AE17" s="1096"/>
      <c r="AF17" s="1096"/>
      <c r="AG17" s="1096"/>
      <c r="AH17" s="1096"/>
      <c r="AI17" s="1096"/>
      <c r="AJ17" s="1096"/>
      <c r="AK17" s="1096"/>
      <c r="AL17" s="1096"/>
      <c r="AM17" s="1096"/>
      <c r="AN17" s="1096"/>
      <c r="AO17" s="1096"/>
      <c r="AP17" s="1096"/>
      <c r="AQ17" s="1096"/>
      <c r="AR17" s="1096"/>
      <c r="AS17" s="1096"/>
      <c r="AT17" s="1096"/>
      <c r="AU17" s="1096"/>
      <c r="AV17" s="1096"/>
      <c r="AW17" s="1096"/>
      <c r="AX17" s="1096"/>
      <c r="AY17" s="1096"/>
      <c r="AZ17" s="1096"/>
      <c r="BA17" s="1096"/>
      <c r="BB17" s="1096"/>
      <c r="BC17" s="1096"/>
      <c r="BD17" s="1096"/>
      <c r="BE17" s="1096"/>
      <c r="BF17" s="1096"/>
      <c r="BG17" s="1096"/>
      <c r="BH17" s="1096"/>
      <c r="BI17" s="1096"/>
      <c r="BJ17" s="1096"/>
      <c r="BK17" s="1096"/>
      <c r="BL17" s="1096"/>
      <c r="BM17" s="1096"/>
      <c r="BN17" s="1096"/>
      <c r="BO17" s="1096"/>
      <c r="BP17" s="1096"/>
      <c r="BQ17" s="1096"/>
      <c r="BR17" s="1096"/>
      <c r="BS17" s="1096"/>
      <c r="BT17" s="1096"/>
      <c r="BU17" s="1096"/>
    </row>
    <row r="18" spans="1:73" x14ac:dyDescent="0.25">
      <c r="A18" s="1096"/>
      <c r="B18" s="1096"/>
      <c r="C18" s="1096"/>
      <c r="D18" s="1096"/>
      <c r="E18" s="1096"/>
      <c r="F18" s="1096"/>
      <c r="G18" s="1096"/>
      <c r="H18" s="1096"/>
      <c r="I18" s="1096"/>
      <c r="J18" s="1096"/>
      <c r="K18" s="1096"/>
      <c r="L18" s="1096"/>
      <c r="M18" s="1096"/>
      <c r="N18" s="1096"/>
      <c r="O18" s="1096"/>
      <c r="P18" s="1096"/>
      <c r="Q18" s="1096"/>
      <c r="R18" s="1096"/>
      <c r="S18" s="1096"/>
      <c r="T18" s="1096"/>
      <c r="U18" s="1096"/>
      <c r="V18" s="1459">
        <f t="shared" si="4"/>
        <v>0.2</v>
      </c>
      <c r="W18" s="1110">
        <f t="shared" ca="1" si="3"/>
        <v>2.1888001475392582</v>
      </c>
      <c r="X18" s="1096"/>
      <c r="Y18" s="1096"/>
      <c r="Z18" s="1096"/>
      <c r="AA18" s="1096"/>
      <c r="AB18" s="1096"/>
      <c r="AC18" s="1096"/>
      <c r="AD18" s="1096"/>
      <c r="AE18" s="1096"/>
      <c r="AF18" s="1096"/>
      <c r="AG18" s="1096"/>
      <c r="AH18" s="1096"/>
      <c r="AI18" s="1096"/>
      <c r="AJ18" s="1096"/>
      <c r="AK18" s="1096"/>
      <c r="AL18" s="1096"/>
      <c r="AM18" s="1096"/>
      <c r="AN18" s="1096"/>
      <c r="AO18" s="1096"/>
      <c r="AP18" s="1096"/>
      <c r="AQ18" s="1096"/>
      <c r="AR18" s="1096"/>
      <c r="AS18" s="1096"/>
      <c r="AT18" s="1096"/>
      <c r="AU18" s="1096"/>
      <c r="AV18" s="1096"/>
      <c r="AW18" s="1096"/>
      <c r="AX18" s="1096"/>
      <c r="AY18" s="1096"/>
      <c r="AZ18" s="1096"/>
      <c r="BA18" s="1096"/>
      <c r="BB18" s="1096"/>
      <c r="BC18" s="1096"/>
      <c r="BD18" s="1096"/>
      <c r="BE18" s="1096"/>
      <c r="BF18" s="1096"/>
      <c r="BG18" s="1096"/>
      <c r="BH18" s="1096"/>
      <c r="BI18" s="1096"/>
      <c r="BJ18" s="1096"/>
      <c r="BK18" s="1096"/>
      <c r="BL18" s="1096"/>
      <c r="BM18" s="1096"/>
      <c r="BN18" s="1096"/>
      <c r="BO18" s="1096"/>
      <c r="BP18" s="1096"/>
      <c r="BQ18" s="1096"/>
      <c r="BR18" s="1096"/>
      <c r="BS18" s="1096"/>
      <c r="BT18" s="1096"/>
      <c r="BU18" s="1096"/>
    </row>
    <row r="19" spans="1:73" x14ac:dyDescent="0.25">
      <c r="A19" s="1096"/>
      <c r="B19" s="1096"/>
      <c r="C19" s="1096"/>
      <c r="D19" s="1096"/>
      <c r="E19" s="1096"/>
      <c r="F19" s="1096"/>
      <c r="G19" s="1096"/>
      <c r="H19" s="1096"/>
      <c r="I19" s="1096"/>
      <c r="J19" s="1096"/>
      <c r="K19" s="1096"/>
      <c r="L19" s="1096"/>
      <c r="M19" s="1096"/>
      <c r="N19" s="1096"/>
      <c r="O19" s="1096"/>
      <c r="P19" s="1096"/>
      <c r="Q19" s="1096"/>
      <c r="R19" s="1096"/>
      <c r="S19" s="1096"/>
      <c r="T19" s="1096"/>
      <c r="U19" s="1096"/>
      <c r="V19" s="1459">
        <f t="shared" si="4"/>
        <v>0.25</v>
      </c>
      <c r="W19" s="1110">
        <f t="shared" ca="1" si="3"/>
        <v>2.1948226499946419</v>
      </c>
      <c r="X19" s="1096"/>
      <c r="Y19" s="1096"/>
      <c r="Z19" s="1096"/>
      <c r="AA19" s="1096"/>
      <c r="AB19" s="1096"/>
      <c r="AC19" s="1096"/>
      <c r="AD19" s="1096"/>
      <c r="AE19" s="1096"/>
      <c r="AF19" s="1096"/>
      <c r="AG19" s="1096"/>
      <c r="AH19" s="1096"/>
      <c r="AI19" s="1096"/>
      <c r="AJ19" s="1096"/>
      <c r="AK19" s="1096"/>
      <c r="AL19" s="1096"/>
      <c r="AM19" s="1096"/>
      <c r="AN19" s="1096"/>
      <c r="AO19" s="1096"/>
      <c r="AP19" s="1096"/>
      <c r="AQ19" s="1096"/>
      <c r="AR19" s="1096"/>
      <c r="AS19" s="1096"/>
      <c r="AT19" s="1096"/>
      <c r="AU19" s="1096"/>
      <c r="AV19" s="1096"/>
      <c r="AW19" s="1096"/>
      <c r="AX19" s="1096"/>
      <c r="AY19" s="1096"/>
      <c r="AZ19" s="1096"/>
      <c r="BA19" s="1096"/>
      <c r="BB19" s="1096"/>
      <c r="BC19" s="1096"/>
      <c r="BD19" s="1096"/>
      <c r="BE19" s="1096"/>
      <c r="BF19" s="1096"/>
      <c r="BG19" s="1096"/>
      <c r="BH19" s="1096"/>
      <c r="BI19" s="1096"/>
      <c r="BJ19" s="1096"/>
      <c r="BK19" s="1096"/>
      <c r="BL19" s="1096"/>
      <c r="BM19" s="1096"/>
      <c r="BN19" s="1096"/>
      <c r="BO19" s="1096"/>
      <c r="BP19" s="1096"/>
      <c r="BQ19" s="1096"/>
      <c r="BR19" s="1096"/>
      <c r="BS19" s="1096"/>
      <c r="BT19" s="1096"/>
      <c r="BU19" s="1096"/>
    </row>
    <row r="20" spans="1:73" x14ac:dyDescent="0.25">
      <c r="A20" s="1096"/>
      <c r="B20" s="1096"/>
      <c r="C20" s="1096"/>
      <c r="D20" s="1096"/>
      <c r="E20" s="1096"/>
      <c r="F20" s="1096"/>
      <c r="G20" s="1096"/>
      <c r="H20" s="1096"/>
      <c r="I20" s="1096"/>
      <c r="J20" s="1096"/>
      <c r="K20" s="1096"/>
      <c r="L20" s="1096"/>
      <c r="M20" s="1096"/>
      <c r="N20" s="1096"/>
      <c r="O20" s="1096"/>
      <c r="P20" s="1096"/>
      <c r="Q20" s="1096"/>
      <c r="R20" s="1096"/>
      <c r="S20" s="1096"/>
      <c r="T20" s="1096"/>
      <c r="U20" s="1096"/>
      <c r="V20" s="1459">
        <f t="shared" si="4"/>
        <v>0.3</v>
      </c>
      <c r="W20" s="1110">
        <f t="shared" ca="1" si="3"/>
        <v>2.1995766242597354</v>
      </c>
      <c r="X20" s="1096"/>
      <c r="Y20" s="1096"/>
      <c r="Z20" s="1096"/>
      <c r="AA20" s="1096"/>
      <c r="AB20" s="1096"/>
      <c r="AC20" s="1096"/>
      <c r="AD20" s="1096"/>
      <c r="AE20" s="1096"/>
      <c r="AF20" s="1096"/>
      <c r="AG20" s="1096"/>
      <c r="AH20" s="1096"/>
      <c r="AI20" s="1096"/>
      <c r="AJ20" s="1096"/>
      <c r="AK20" s="1096"/>
      <c r="AL20" s="1096"/>
      <c r="AM20" s="1096"/>
      <c r="AN20" s="1096"/>
      <c r="AO20" s="1096"/>
      <c r="AP20" s="1096"/>
      <c r="AQ20" s="1096"/>
      <c r="AR20" s="1096"/>
      <c r="AS20" s="1096"/>
      <c r="AT20" s="1096"/>
      <c r="AU20" s="1096"/>
      <c r="AV20" s="1096"/>
      <c r="AW20" s="1096"/>
      <c r="AX20" s="1096"/>
      <c r="AY20" s="1096"/>
      <c r="AZ20" s="1096"/>
      <c r="BA20" s="1096"/>
      <c r="BB20" s="1096"/>
      <c r="BC20" s="1096"/>
      <c r="BD20" s="1096"/>
      <c r="BE20" s="1096"/>
      <c r="BF20" s="1096"/>
      <c r="BG20" s="1096"/>
      <c r="BH20" s="1096"/>
      <c r="BI20" s="1096"/>
      <c r="BJ20" s="1096"/>
      <c r="BK20" s="1096"/>
      <c r="BL20" s="1096"/>
      <c r="BM20" s="1096"/>
      <c r="BN20" s="1096"/>
      <c r="BO20" s="1096"/>
      <c r="BP20" s="1096"/>
      <c r="BQ20" s="1096"/>
      <c r="BR20" s="1096"/>
      <c r="BS20" s="1096"/>
      <c r="BT20" s="1096"/>
      <c r="BU20" s="1096"/>
    </row>
    <row r="21" spans="1:73" x14ac:dyDescent="0.25">
      <c r="A21" s="1096"/>
      <c r="B21" s="1096"/>
      <c r="C21" s="1096"/>
      <c r="D21" s="1096"/>
      <c r="E21" s="1096"/>
      <c r="F21" s="1096"/>
      <c r="G21" s="1096"/>
      <c r="H21" s="1096"/>
      <c r="I21" s="1096"/>
      <c r="J21" s="1096"/>
      <c r="K21" s="1096"/>
      <c r="L21" s="1096"/>
      <c r="M21" s="1096"/>
      <c r="N21" s="1096"/>
      <c r="O21" s="1096"/>
      <c r="P21" s="1096"/>
      <c r="Q21" s="1096"/>
      <c r="R21" s="1096"/>
      <c r="S21" s="1096"/>
      <c r="T21" s="1096"/>
      <c r="U21" s="1096"/>
      <c r="V21" s="1459">
        <f t="shared" si="4"/>
        <v>0.35</v>
      </c>
      <c r="W21" s="1110">
        <f t="shared" ca="1" si="3"/>
        <v>2.2048980587312856</v>
      </c>
      <c r="X21" s="1096"/>
      <c r="Y21" s="1096"/>
      <c r="Z21" s="1096"/>
      <c r="AA21" s="1096"/>
      <c r="AB21" s="1096"/>
      <c r="AC21" s="1096"/>
      <c r="AD21" s="1096"/>
      <c r="AE21" s="1096"/>
      <c r="AF21" s="1096"/>
      <c r="AG21" s="1096"/>
      <c r="AH21" s="1096"/>
      <c r="AI21" s="1096"/>
      <c r="AJ21" s="1096"/>
      <c r="AK21" s="1096"/>
      <c r="AL21" s="1096"/>
      <c r="AM21" s="1096"/>
      <c r="AN21" s="1096"/>
      <c r="AO21" s="1096"/>
      <c r="AP21" s="1096"/>
      <c r="AQ21" s="1096"/>
      <c r="AR21" s="1096"/>
      <c r="AS21" s="1096"/>
      <c r="AT21" s="1096"/>
      <c r="AU21" s="1096"/>
      <c r="AV21" s="1096"/>
      <c r="AW21" s="1096"/>
      <c r="AX21" s="1096"/>
      <c r="AY21" s="1096"/>
      <c r="AZ21" s="1096"/>
      <c r="BA21" s="1096"/>
      <c r="BB21" s="1096"/>
      <c r="BC21" s="1096"/>
      <c r="BD21" s="1096"/>
      <c r="BE21" s="1096"/>
      <c r="BF21" s="1096"/>
      <c r="BG21" s="1096"/>
      <c r="BH21" s="1096"/>
      <c r="BI21" s="1096"/>
      <c r="BJ21" s="1096"/>
      <c r="BK21" s="1096"/>
      <c r="BL21" s="1096"/>
      <c r="BM21" s="1096"/>
      <c r="BN21" s="1096"/>
      <c r="BO21" s="1096"/>
      <c r="BP21" s="1096"/>
      <c r="BQ21" s="1096"/>
      <c r="BR21" s="1096"/>
      <c r="BS21" s="1096"/>
      <c r="BT21" s="1096"/>
      <c r="BU21" s="1096"/>
    </row>
    <row r="22" spans="1:73" x14ac:dyDescent="0.25">
      <c r="A22" s="1096"/>
      <c r="B22" s="1096"/>
      <c r="C22" s="1096"/>
      <c r="D22" s="1096"/>
      <c r="E22" s="1096"/>
      <c r="F22" s="1096"/>
      <c r="G22" s="1096"/>
      <c r="H22" s="1096"/>
      <c r="I22" s="1096"/>
      <c r="J22" s="1096"/>
      <c r="K22" s="1096"/>
      <c r="L22" s="1096"/>
      <c r="M22" s="1096"/>
      <c r="N22" s="1096"/>
      <c r="O22" s="1096"/>
      <c r="P22" s="1096"/>
      <c r="Q22" s="1096"/>
      <c r="R22" s="1096"/>
      <c r="S22" s="1096"/>
      <c r="T22" s="1096"/>
      <c r="U22" s="1096"/>
      <c r="V22" s="1459">
        <f t="shared" si="4"/>
        <v>0.39999999999999997</v>
      </c>
      <c r="W22" s="1110">
        <f t="shared" ca="1" si="3"/>
        <v>2.2089563440165234</v>
      </c>
      <c r="X22" s="1096"/>
      <c r="Y22" s="1096"/>
      <c r="Z22" s="1096"/>
      <c r="AA22" s="1096"/>
      <c r="AB22" s="1096"/>
      <c r="AC22" s="1096"/>
      <c r="AD22" s="1096"/>
      <c r="AE22" s="1096"/>
      <c r="AF22" s="1096"/>
      <c r="AG22" s="1096"/>
      <c r="AH22" s="1096"/>
      <c r="AI22" s="1096"/>
      <c r="AJ22" s="1096"/>
      <c r="AK22" s="1096"/>
      <c r="AL22" s="1096"/>
      <c r="AM22" s="1096"/>
      <c r="AN22" s="1096"/>
      <c r="AO22" s="1096"/>
      <c r="AP22" s="1096"/>
      <c r="AQ22" s="1096"/>
      <c r="AR22" s="1096"/>
      <c r="AS22" s="1096"/>
      <c r="AT22" s="1096"/>
      <c r="AU22" s="1096"/>
      <c r="AV22" s="1096"/>
      <c r="AW22" s="1096"/>
      <c r="AX22" s="1096"/>
      <c r="AY22" s="1096"/>
      <c r="AZ22" s="1096"/>
      <c r="BA22" s="1096"/>
      <c r="BB22" s="1096"/>
      <c r="BC22" s="1096"/>
      <c r="BD22" s="1096"/>
      <c r="BE22" s="1096"/>
      <c r="BF22" s="1096"/>
      <c r="BG22" s="1096"/>
      <c r="BH22" s="1096"/>
      <c r="BI22" s="1096"/>
      <c r="BJ22" s="1096"/>
      <c r="BK22" s="1096"/>
      <c r="BL22" s="1096"/>
      <c r="BM22" s="1096"/>
      <c r="BN22" s="1096"/>
      <c r="BO22" s="1096"/>
      <c r="BP22" s="1096"/>
      <c r="BQ22" s="1096"/>
      <c r="BR22" s="1096"/>
      <c r="BS22" s="1096"/>
      <c r="BT22" s="1096"/>
      <c r="BU22" s="1096"/>
    </row>
    <row r="23" spans="1:73" x14ac:dyDescent="0.25">
      <c r="A23" s="1096"/>
      <c r="B23" s="1096"/>
      <c r="C23" s="1096"/>
      <c r="D23" s="1096"/>
      <c r="E23" s="1096"/>
      <c r="F23" s="1096"/>
      <c r="G23" s="1096"/>
      <c r="H23" s="1096"/>
      <c r="I23" s="1096"/>
      <c r="J23" s="1096"/>
      <c r="K23" s="1096"/>
      <c r="L23" s="1096"/>
      <c r="M23" s="1096"/>
      <c r="N23" s="1096"/>
      <c r="O23" s="1096"/>
      <c r="P23" s="1096"/>
      <c r="Q23" s="1096"/>
      <c r="R23" s="1096"/>
      <c r="S23" s="1096"/>
      <c r="T23" s="1096"/>
      <c r="U23" s="1096"/>
      <c r="V23" s="1459">
        <f t="shared" si="4"/>
        <v>0.44999999999999996</v>
      </c>
      <c r="W23" s="1110">
        <f t="shared" ca="1" si="3"/>
        <v>2.2133274735308923</v>
      </c>
      <c r="X23" s="1096"/>
      <c r="Y23" s="1096"/>
      <c r="Z23" s="1096"/>
      <c r="AA23" s="1096"/>
      <c r="AB23" s="1096"/>
      <c r="AC23" s="1096"/>
      <c r="AD23" s="1096"/>
      <c r="AE23" s="1096"/>
      <c r="AF23" s="1096"/>
      <c r="AG23" s="1096"/>
      <c r="AH23" s="1096"/>
      <c r="AI23" s="1096"/>
      <c r="AJ23" s="1096"/>
      <c r="AK23" s="1096"/>
      <c r="AL23" s="1096"/>
      <c r="AM23" s="1096"/>
      <c r="AN23" s="1096"/>
      <c r="AO23" s="1096"/>
      <c r="AP23" s="1096"/>
      <c r="AQ23" s="1096"/>
      <c r="AR23" s="1096"/>
      <c r="AS23" s="1096"/>
      <c r="AT23" s="1096"/>
      <c r="AU23" s="1096"/>
      <c r="AV23" s="1096"/>
      <c r="AW23" s="1096"/>
      <c r="AX23" s="1096"/>
      <c r="AY23" s="1096"/>
      <c r="AZ23" s="1096"/>
      <c r="BA23" s="1096"/>
      <c r="BB23" s="1096"/>
      <c r="BC23" s="1096"/>
      <c r="BD23" s="1096"/>
      <c r="BE23" s="1096"/>
      <c r="BF23" s="1096"/>
      <c r="BG23" s="1096"/>
      <c r="BH23" s="1096"/>
      <c r="BI23" s="1096"/>
      <c r="BJ23" s="1096"/>
      <c r="BK23" s="1096"/>
      <c r="BL23" s="1096"/>
      <c r="BM23" s="1096"/>
      <c r="BN23" s="1096"/>
      <c r="BO23" s="1096"/>
      <c r="BP23" s="1096"/>
      <c r="BQ23" s="1096"/>
      <c r="BR23" s="1096"/>
      <c r="BS23" s="1096"/>
      <c r="BT23" s="1096"/>
      <c r="BU23" s="1096"/>
    </row>
    <row r="24" spans="1:73" x14ac:dyDescent="0.25">
      <c r="A24" s="1096"/>
      <c r="B24" s="1096"/>
      <c r="C24" s="1096"/>
      <c r="D24" s="1096"/>
      <c r="E24" s="1096"/>
      <c r="F24" s="1096"/>
      <c r="G24" s="1096"/>
      <c r="H24" s="1096"/>
      <c r="I24" s="1096"/>
      <c r="J24" s="1096"/>
      <c r="K24" s="1096"/>
      <c r="L24" s="1096"/>
      <c r="M24" s="1096"/>
      <c r="N24" s="1096"/>
      <c r="O24" s="1096"/>
      <c r="P24" s="1096"/>
      <c r="Q24" s="1096"/>
      <c r="R24" s="1096"/>
      <c r="S24" s="1096"/>
      <c r="T24" s="1096"/>
      <c r="U24" s="1096"/>
      <c r="V24" s="1460">
        <f t="shared" si="4"/>
        <v>0.49999999999999994</v>
      </c>
      <c r="W24" s="1461">
        <f t="shared" ca="1" si="3"/>
        <v>2.2178603824044774</v>
      </c>
      <c r="X24" s="1096"/>
      <c r="Y24" s="1096"/>
      <c r="Z24" s="1096"/>
      <c r="AA24" s="1096"/>
      <c r="AB24" s="1096"/>
      <c r="AC24" s="1096"/>
      <c r="AD24" s="1096"/>
      <c r="AE24" s="1096"/>
      <c r="AF24" s="1096"/>
      <c r="AG24" s="1096"/>
      <c r="AH24" s="1096"/>
      <c r="AI24" s="1096"/>
      <c r="AJ24" s="1096"/>
      <c r="AK24" s="1096"/>
      <c r="AL24" s="1096"/>
      <c r="AM24" s="1096"/>
      <c r="AN24" s="1096"/>
      <c r="AO24" s="1096"/>
      <c r="AP24" s="1096"/>
      <c r="AQ24" s="1096"/>
      <c r="AR24" s="1096"/>
      <c r="AS24" s="1096"/>
      <c r="AT24" s="1096"/>
      <c r="AU24" s="1096"/>
      <c r="AV24" s="1096"/>
      <c r="AW24" s="1096"/>
      <c r="AX24" s="1096"/>
      <c r="AY24" s="1096"/>
      <c r="AZ24" s="1096"/>
      <c r="BA24" s="1096"/>
      <c r="BB24" s="1096"/>
      <c r="BC24" s="1096"/>
      <c r="BD24" s="1096"/>
      <c r="BE24" s="1096"/>
      <c r="BF24" s="1096"/>
      <c r="BG24" s="1096"/>
      <c r="BH24" s="1096"/>
      <c r="BI24" s="1096"/>
      <c r="BJ24" s="1096"/>
      <c r="BK24" s="1096"/>
      <c r="BL24" s="1096"/>
      <c r="BM24" s="1096"/>
      <c r="BN24" s="1096"/>
      <c r="BO24" s="1096"/>
      <c r="BP24" s="1096"/>
      <c r="BQ24" s="1096"/>
      <c r="BR24" s="1096"/>
      <c r="BS24" s="1096"/>
      <c r="BT24" s="1096"/>
      <c r="BU24" s="1096"/>
    </row>
    <row r="25" spans="1:73" x14ac:dyDescent="0.25">
      <c r="A25" s="1096"/>
      <c r="B25" s="1096"/>
      <c r="C25" s="1096"/>
      <c r="D25" s="1096"/>
      <c r="E25" s="1096"/>
      <c r="F25" s="1096"/>
      <c r="G25" s="1096"/>
      <c r="H25" s="1096"/>
      <c r="I25" s="1096"/>
      <c r="J25" s="1096"/>
      <c r="K25" s="1096"/>
      <c r="L25" s="1096"/>
      <c r="M25" s="1096"/>
      <c r="N25" s="1096"/>
      <c r="O25" s="1096"/>
      <c r="P25" s="1096"/>
      <c r="Q25" s="1096"/>
      <c r="R25" s="1096"/>
      <c r="S25" s="1096"/>
      <c r="T25" s="1096"/>
      <c r="U25" s="1096"/>
      <c r="V25" s="1459">
        <f t="shared" si="4"/>
        <v>0.54999999999999993</v>
      </c>
      <c r="W25" s="1110">
        <f t="shared" ca="1" si="3"/>
        <v>2.2221254690756225</v>
      </c>
      <c r="X25" s="1096"/>
      <c r="Y25" s="1096"/>
      <c r="Z25" s="1096"/>
      <c r="AA25" s="1096"/>
      <c r="AB25" s="1096"/>
      <c r="AC25" s="1096"/>
      <c r="AD25" s="1096"/>
      <c r="AE25" s="1096"/>
      <c r="AF25" s="1096"/>
      <c r="AG25" s="1096"/>
      <c r="AH25" s="1096"/>
      <c r="AI25" s="1096"/>
      <c r="AJ25" s="1096"/>
      <c r="AK25" s="1096"/>
      <c r="AL25" s="1096"/>
      <c r="AM25" s="1096"/>
      <c r="AN25" s="1096"/>
      <c r="AO25" s="1096"/>
      <c r="AP25" s="1096"/>
      <c r="AQ25" s="1096"/>
      <c r="AR25" s="1096"/>
      <c r="AS25" s="1096"/>
      <c r="AT25" s="1096"/>
      <c r="AU25" s="1096"/>
      <c r="AV25" s="1096"/>
      <c r="AW25" s="1096"/>
      <c r="AX25" s="1096"/>
      <c r="AY25" s="1096"/>
      <c r="AZ25" s="1096"/>
      <c r="BA25" s="1096"/>
      <c r="BB25" s="1096"/>
      <c r="BC25" s="1096"/>
      <c r="BD25" s="1096"/>
      <c r="BE25" s="1096"/>
      <c r="BF25" s="1096"/>
      <c r="BG25" s="1096"/>
      <c r="BH25" s="1096"/>
      <c r="BI25" s="1096"/>
      <c r="BJ25" s="1096"/>
      <c r="BK25" s="1096"/>
      <c r="BL25" s="1096"/>
      <c r="BM25" s="1096"/>
      <c r="BN25" s="1096"/>
      <c r="BO25" s="1096"/>
      <c r="BP25" s="1096"/>
      <c r="BQ25" s="1096"/>
      <c r="BR25" s="1096"/>
      <c r="BS25" s="1096"/>
      <c r="BT25" s="1096"/>
      <c r="BU25" s="1096"/>
    </row>
    <row r="26" spans="1:73" x14ac:dyDescent="0.25">
      <c r="A26" s="1096"/>
      <c r="B26" s="1096"/>
      <c r="C26" s="1096"/>
      <c r="D26" s="1096"/>
      <c r="E26" s="1096"/>
      <c r="F26" s="1096"/>
      <c r="G26" s="1096"/>
      <c r="H26" s="1096"/>
      <c r="I26" s="1096"/>
      <c r="J26" s="1096"/>
      <c r="K26" s="1096"/>
      <c r="L26" s="1096"/>
      <c r="M26" s="1096"/>
      <c r="N26" s="1096"/>
      <c r="O26" s="1096"/>
      <c r="P26" s="1096"/>
      <c r="Q26" s="1096"/>
      <c r="R26" s="1096"/>
      <c r="S26" s="1096"/>
      <c r="T26" s="1096"/>
      <c r="U26" s="1096"/>
      <c r="V26" s="1459">
        <f t="shared" si="4"/>
        <v>0.6</v>
      </c>
      <c r="W26" s="1110">
        <f t="shared" ca="1" si="3"/>
        <v>2.2267678626591381</v>
      </c>
      <c r="X26" s="1096"/>
      <c r="Y26" s="1096"/>
      <c r="Z26" s="1096"/>
      <c r="AA26" s="1096"/>
      <c r="AB26" s="1096"/>
      <c r="AC26" s="1096"/>
      <c r="AD26" s="1096"/>
      <c r="AE26" s="1096"/>
      <c r="AF26" s="1096"/>
      <c r="AG26" s="1096"/>
      <c r="AH26" s="1096"/>
      <c r="AI26" s="1096"/>
      <c r="AJ26" s="1096"/>
      <c r="AK26" s="1096"/>
      <c r="AL26" s="1096"/>
      <c r="AM26" s="1096"/>
      <c r="AN26" s="1096"/>
      <c r="AO26" s="1096"/>
      <c r="AP26" s="1096"/>
      <c r="AQ26" s="1096"/>
      <c r="AR26" s="1096"/>
      <c r="AS26" s="1096"/>
      <c r="AT26" s="1096"/>
      <c r="AU26" s="1096"/>
      <c r="AV26" s="1096"/>
      <c r="AW26" s="1096"/>
      <c r="AX26" s="1096"/>
      <c r="AY26" s="1096"/>
      <c r="AZ26" s="1096"/>
      <c r="BA26" s="1096"/>
      <c r="BB26" s="1096"/>
      <c r="BC26" s="1096"/>
      <c r="BD26" s="1096"/>
      <c r="BE26" s="1096"/>
      <c r="BF26" s="1096"/>
      <c r="BG26" s="1096"/>
      <c r="BH26" s="1096"/>
      <c r="BI26" s="1096"/>
      <c r="BJ26" s="1096"/>
      <c r="BK26" s="1096"/>
      <c r="BL26" s="1096"/>
      <c r="BM26" s="1096"/>
      <c r="BN26" s="1096"/>
      <c r="BO26" s="1096"/>
      <c r="BP26" s="1096"/>
      <c r="BQ26" s="1096"/>
      <c r="BR26" s="1096"/>
      <c r="BS26" s="1096"/>
      <c r="BT26" s="1096"/>
      <c r="BU26" s="1096"/>
    </row>
    <row r="27" spans="1:73" x14ac:dyDescent="0.25">
      <c r="A27" s="1096"/>
      <c r="B27" s="1096"/>
      <c r="C27" s="1096"/>
      <c r="D27" s="1096"/>
      <c r="E27" s="1096"/>
      <c r="F27" s="1096"/>
      <c r="G27" s="1096"/>
      <c r="H27" s="1096"/>
      <c r="I27" s="1096"/>
      <c r="J27" s="1096"/>
      <c r="K27" s="1096"/>
      <c r="L27" s="1096"/>
      <c r="M27" s="1096"/>
      <c r="N27" s="1096"/>
      <c r="O27" s="1096"/>
      <c r="P27" s="1096"/>
      <c r="Q27" s="1096"/>
      <c r="R27" s="1096"/>
      <c r="S27" s="1096"/>
      <c r="T27" s="1096"/>
      <c r="U27" s="1096"/>
      <c r="V27" s="1459">
        <f t="shared" si="4"/>
        <v>0.65</v>
      </c>
      <c r="W27" s="1110">
        <f t="shared" ca="1" si="3"/>
        <v>2.2303743056360483</v>
      </c>
      <c r="X27" s="1096"/>
      <c r="Y27" s="1096"/>
      <c r="Z27" s="1096"/>
      <c r="AA27" s="1096"/>
      <c r="AB27" s="1096"/>
      <c r="AC27" s="1096"/>
      <c r="AD27" s="1096"/>
      <c r="AE27" s="1096"/>
      <c r="AF27" s="1096"/>
      <c r="AG27" s="1096"/>
      <c r="AH27" s="1096"/>
      <c r="AI27" s="1096"/>
      <c r="AJ27" s="1096"/>
      <c r="AK27" s="1096"/>
      <c r="AL27" s="1096"/>
      <c r="AM27" s="1096"/>
      <c r="AN27" s="1096"/>
      <c r="AO27" s="1096"/>
      <c r="AP27" s="1096"/>
      <c r="AQ27" s="1096"/>
      <c r="AR27" s="1096"/>
      <c r="AS27" s="1096"/>
      <c r="AT27" s="1096"/>
      <c r="AU27" s="1096"/>
      <c r="AV27" s="1096"/>
      <c r="AW27" s="1096"/>
      <c r="AX27" s="1096"/>
      <c r="AY27" s="1096"/>
      <c r="AZ27" s="1096"/>
      <c r="BA27" s="1096"/>
      <c r="BB27" s="1096"/>
      <c r="BC27" s="1096"/>
      <c r="BD27" s="1096"/>
      <c r="BE27" s="1096"/>
      <c r="BF27" s="1096"/>
      <c r="BG27" s="1096"/>
      <c r="BH27" s="1096"/>
      <c r="BI27" s="1096"/>
      <c r="BJ27" s="1096"/>
      <c r="BK27" s="1096"/>
      <c r="BL27" s="1096"/>
      <c r="BM27" s="1096"/>
      <c r="BN27" s="1096"/>
      <c r="BO27" s="1096"/>
      <c r="BP27" s="1096"/>
      <c r="BQ27" s="1096"/>
      <c r="BR27" s="1096"/>
      <c r="BS27" s="1096"/>
      <c r="BT27" s="1096"/>
      <c r="BU27" s="1096"/>
    </row>
    <row r="28" spans="1:73" x14ac:dyDescent="0.25">
      <c r="A28" s="1096"/>
      <c r="B28" s="1096"/>
      <c r="C28" s="1096"/>
      <c r="D28" s="1096"/>
      <c r="E28" s="1096"/>
      <c r="F28" s="1096"/>
      <c r="G28" s="1096"/>
      <c r="H28" s="1096"/>
      <c r="I28" s="1096"/>
      <c r="J28" s="1096"/>
      <c r="K28" s="1096"/>
      <c r="L28" s="1096"/>
      <c r="M28" s="1096"/>
      <c r="N28" s="1096"/>
      <c r="O28" s="1096"/>
      <c r="P28" s="1096"/>
      <c r="Q28" s="1096"/>
      <c r="R28" s="1096"/>
      <c r="S28" s="1096"/>
      <c r="T28" s="1096"/>
      <c r="U28" s="1096"/>
      <c r="V28" s="1459">
        <f t="shared" si="4"/>
        <v>0.70000000000000007</v>
      </c>
      <c r="W28" s="1110">
        <f t="shared" ca="1" si="3"/>
        <v>2.235327232442049</v>
      </c>
      <c r="X28" s="1096"/>
      <c r="Y28" s="1096"/>
      <c r="Z28" s="1096"/>
      <c r="AA28" s="1096"/>
      <c r="AB28" s="1096"/>
      <c r="AC28" s="1096"/>
      <c r="AD28" s="1096"/>
      <c r="AE28" s="1096"/>
      <c r="AF28" s="1096"/>
      <c r="AG28" s="1096"/>
      <c r="AH28" s="1096"/>
      <c r="AI28" s="1096"/>
      <c r="AJ28" s="1096"/>
      <c r="AK28" s="1096"/>
      <c r="AL28" s="1096"/>
      <c r="AM28" s="1096"/>
      <c r="AN28" s="1096"/>
      <c r="AO28" s="1096"/>
      <c r="AP28" s="1096"/>
      <c r="AQ28" s="1096"/>
      <c r="AR28" s="1096"/>
      <c r="AS28" s="1096"/>
      <c r="AT28" s="1096"/>
      <c r="AU28" s="1096"/>
      <c r="AV28" s="1096"/>
      <c r="AW28" s="1096"/>
      <c r="AX28" s="1096"/>
      <c r="AY28" s="1096"/>
      <c r="AZ28" s="1096"/>
      <c r="BA28" s="1096"/>
      <c r="BB28" s="1096"/>
      <c r="BC28" s="1096"/>
      <c r="BD28" s="1096"/>
      <c r="BE28" s="1096"/>
      <c r="BF28" s="1096"/>
      <c r="BG28" s="1096"/>
      <c r="BH28" s="1096"/>
      <c r="BI28" s="1096"/>
      <c r="BJ28" s="1096"/>
      <c r="BK28" s="1096"/>
      <c r="BL28" s="1096"/>
      <c r="BM28" s="1096"/>
      <c r="BN28" s="1096"/>
      <c r="BO28" s="1096"/>
      <c r="BP28" s="1096"/>
      <c r="BQ28" s="1096"/>
      <c r="BR28" s="1096"/>
      <c r="BS28" s="1096"/>
      <c r="BT28" s="1096"/>
      <c r="BU28" s="1096"/>
    </row>
    <row r="29" spans="1:73" x14ac:dyDescent="0.25">
      <c r="A29" s="1096"/>
      <c r="B29" s="1096"/>
      <c r="C29" s="1096"/>
      <c r="D29" s="1096"/>
      <c r="E29" s="1096"/>
      <c r="F29" s="1096"/>
      <c r="G29" s="1096"/>
      <c r="H29" s="1096"/>
      <c r="I29" s="1096"/>
      <c r="J29" s="1096"/>
      <c r="K29" s="1096"/>
      <c r="L29" s="1096"/>
      <c r="M29" s="1096"/>
      <c r="N29" s="1096"/>
      <c r="O29" s="1096"/>
      <c r="P29" s="1096"/>
      <c r="Q29" s="1096"/>
      <c r="R29" s="1096"/>
      <c r="S29" s="1096"/>
      <c r="T29" s="1096"/>
      <c r="U29" s="1096"/>
      <c r="V29" s="1459">
        <f t="shared" si="4"/>
        <v>0.75000000000000011</v>
      </c>
      <c r="W29" s="1110">
        <f t="shared" ca="1" si="3"/>
        <v>2.2402385628511836</v>
      </c>
      <c r="X29" s="1096"/>
      <c r="Y29" s="1096"/>
      <c r="Z29" s="1096"/>
      <c r="AA29" s="1096"/>
      <c r="AB29" s="1096"/>
      <c r="AC29" s="1096"/>
      <c r="AD29" s="1096"/>
      <c r="AE29" s="1096"/>
      <c r="AF29" s="1096"/>
      <c r="AG29" s="1096"/>
      <c r="AH29" s="1096"/>
      <c r="AI29" s="1096"/>
      <c r="AJ29" s="1096"/>
      <c r="AK29" s="1096"/>
      <c r="AL29" s="1096"/>
      <c r="AM29" s="1096"/>
      <c r="AN29" s="1096"/>
      <c r="AO29" s="1096"/>
      <c r="AP29" s="1096"/>
      <c r="AQ29" s="1096"/>
      <c r="AR29" s="1096"/>
      <c r="AS29" s="1096"/>
      <c r="AT29" s="1096"/>
      <c r="AU29" s="1096"/>
      <c r="AV29" s="1096"/>
      <c r="AW29" s="1096"/>
      <c r="AX29" s="1096"/>
      <c r="AY29" s="1096"/>
      <c r="AZ29" s="1096"/>
      <c r="BA29" s="1096"/>
      <c r="BB29" s="1096"/>
      <c r="BC29" s="1096"/>
      <c r="BD29" s="1096"/>
      <c r="BE29" s="1096"/>
      <c r="BF29" s="1096"/>
      <c r="BG29" s="1096"/>
      <c r="BH29" s="1096"/>
      <c r="BI29" s="1096"/>
      <c r="BJ29" s="1096"/>
      <c r="BK29" s="1096"/>
      <c r="BL29" s="1096"/>
      <c r="BM29" s="1096"/>
      <c r="BN29" s="1096"/>
      <c r="BO29" s="1096"/>
      <c r="BP29" s="1096"/>
      <c r="BQ29" s="1096"/>
      <c r="BR29" s="1096"/>
      <c r="BS29" s="1096"/>
      <c r="BT29" s="1096"/>
      <c r="BU29" s="1096"/>
    </row>
    <row r="30" spans="1:73" x14ac:dyDescent="0.25">
      <c r="A30" s="1096"/>
      <c r="B30" s="1096"/>
      <c r="C30" s="1096"/>
      <c r="D30" s="1096"/>
      <c r="E30" s="1096"/>
      <c r="F30" s="1097"/>
      <c r="G30" s="1096"/>
      <c r="H30" s="1096"/>
      <c r="I30" s="1096"/>
      <c r="J30" s="1096"/>
      <c r="K30" s="1096"/>
      <c r="L30" s="1096"/>
      <c r="M30" s="1096"/>
      <c r="N30" s="1096"/>
      <c r="O30" s="1096"/>
      <c r="P30" s="1096"/>
      <c r="Q30" s="1096"/>
      <c r="R30" s="1096"/>
      <c r="S30" s="1096"/>
      <c r="T30" s="1096"/>
      <c r="U30" s="1096"/>
      <c r="V30" s="1459">
        <f t="shared" si="4"/>
        <v>0.80000000000000016</v>
      </c>
      <c r="W30" s="1110">
        <f t="shared" ca="1" si="3"/>
        <v>2.2456688752087279</v>
      </c>
      <c r="X30" s="1096"/>
      <c r="Y30" s="1096"/>
      <c r="Z30" s="1096"/>
      <c r="AA30" s="1096"/>
      <c r="AB30" s="1096"/>
      <c r="AC30" s="1096"/>
      <c r="AD30" s="1096"/>
      <c r="AE30" s="1096"/>
      <c r="AF30" s="1096"/>
      <c r="AG30" s="1096"/>
      <c r="AH30" s="1096"/>
      <c r="AI30" s="1096"/>
      <c r="AJ30" s="1096"/>
      <c r="AK30" s="1096"/>
      <c r="AL30" s="1096"/>
      <c r="AM30" s="1096"/>
      <c r="AN30" s="1096"/>
      <c r="AO30" s="1096"/>
      <c r="AP30" s="1096"/>
      <c r="AQ30" s="1096"/>
      <c r="AR30" s="1096"/>
      <c r="AS30" s="1096"/>
      <c r="AT30" s="1096"/>
      <c r="AU30" s="1096"/>
      <c r="AV30" s="1096"/>
      <c r="AW30" s="1096"/>
      <c r="AX30" s="1096"/>
      <c r="AY30" s="1096"/>
      <c r="AZ30" s="1096"/>
      <c r="BA30" s="1096"/>
      <c r="BB30" s="1096"/>
      <c r="BC30" s="1096"/>
      <c r="BD30" s="1096"/>
      <c r="BE30" s="1096"/>
      <c r="BF30" s="1096"/>
      <c r="BG30" s="1096"/>
      <c r="BH30" s="1096"/>
      <c r="BI30" s="1096"/>
      <c r="BJ30" s="1096"/>
      <c r="BK30" s="1096"/>
      <c r="BL30" s="1096"/>
      <c r="BM30" s="1096"/>
      <c r="BN30" s="1096"/>
      <c r="BO30" s="1096"/>
      <c r="BP30" s="1096"/>
      <c r="BQ30" s="1096"/>
      <c r="BR30" s="1096"/>
      <c r="BS30" s="1096"/>
      <c r="BT30" s="1096"/>
      <c r="BU30" s="1096"/>
    </row>
    <row r="31" spans="1:73" x14ac:dyDescent="0.25">
      <c r="A31" s="1096"/>
      <c r="B31" s="1096"/>
      <c r="C31" s="1096"/>
      <c r="D31" s="1096"/>
      <c r="E31" s="1096"/>
      <c r="F31" s="1096"/>
      <c r="G31" s="1096"/>
      <c r="H31" s="1096"/>
      <c r="I31" s="1096"/>
      <c r="J31" s="1096"/>
      <c r="K31" s="1096"/>
      <c r="L31" s="1096"/>
      <c r="M31" s="1096"/>
      <c r="N31" s="1096"/>
      <c r="O31" s="1096"/>
      <c r="P31" s="1096"/>
      <c r="Q31" s="1096"/>
      <c r="R31" s="1096"/>
      <c r="S31" s="1096"/>
      <c r="T31" s="1096"/>
      <c r="U31" s="1096"/>
      <c r="V31" s="1459">
        <f t="shared" si="4"/>
        <v>0.8500000000000002</v>
      </c>
      <c r="W31" s="1110">
        <f t="shared" ca="1" si="3"/>
        <v>2.2530491126225232</v>
      </c>
      <c r="X31" s="1096"/>
      <c r="Y31" s="1096"/>
      <c r="Z31" s="1096"/>
      <c r="AA31" s="1096"/>
      <c r="AB31" s="1096"/>
      <c r="AC31" s="1096"/>
      <c r="AD31" s="1096"/>
      <c r="AE31" s="1096"/>
      <c r="AF31" s="1096"/>
      <c r="AG31" s="1096"/>
      <c r="AH31" s="1096"/>
      <c r="AI31" s="1096"/>
      <c r="AJ31" s="1096"/>
      <c r="AK31" s="1096"/>
      <c r="AL31" s="1096"/>
      <c r="AM31" s="1096"/>
      <c r="AN31" s="1096"/>
      <c r="AO31" s="1096"/>
      <c r="AP31" s="1096"/>
      <c r="AQ31" s="1096"/>
      <c r="AR31" s="1096"/>
      <c r="AS31" s="1096"/>
      <c r="AT31" s="1096"/>
      <c r="AU31" s="1096"/>
      <c r="AV31" s="1096"/>
      <c r="AW31" s="1096"/>
      <c r="AX31" s="1096"/>
      <c r="AY31" s="1096"/>
      <c r="AZ31" s="1096"/>
      <c r="BA31" s="1096"/>
      <c r="BB31" s="1096"/>
      <c r="BC31" s="1096"/>
      <c r="BD31" s="1096"/>
      <c r="BE31" s="1096"/>
      <c r="BF31" s="1096"/>
      <c r="BG31" s="1096"/>
      <c r="BH31" s="1096"/>
      <c r="BI31" s="1096"/>
      <c r="BJ31" s="1096"/>
      <c r="BK31" s="1096"/>
      <c r="BL31" s="1096"/>
      <c r="BM31" s="1096"/>
      <c r="BN31" s="1096"/>
      <c r="BO31" s="1096"/>
      <c r="BP31" s="1096"/>
      <c r="BQ31" s="1096"/>
      <c r="BR31" s="1096"/>
      <c r="BS31" s="1096"/>
      <c r="BT31" s="1096"/>
      <c r="BU31" s="1096"/>
    </row>
    <row r="32" spans="1:73" x14ac:dyDescent="0.25">
      <c r="A32" s="1096"/>
      <c r="B32" s="1096"/>
      <c r="C32" s="1096"/>
      <c r="D32" s="1096"/>
      <c r="E32" s="1096"/>
      <c r="F32" s="1096"/>
      <c r="G32" s="1096"/>
      <c r="H32" s="1096"/>
      <c r="I32" s="1096"/>
      <c r="J32" s="1096"/>
      <c r="K32" s="1096"/>
      <c r="L32" s="1096"/>
      <c r="M32" s="1096"/>
      <c r="N32" s="1096"/>
      <c r="O32" s="1096"/>
      <c r="P32" s="1096"/>
      <c r="Q32" s="1096"/>
      <c r="R32" s="1096"/>
      <c r="S32" s="1096"/>
      <c r="T32" s="1096"/>
      <c r="U32" s="1096"/>
      <c r="V32" s="1459">
        <f t="shared" si="4"/>
        <v>0.90000000000000024</v>
      </c>
      <c r="W32" s="1110">
        <f t="shared" ca="1" si="3"/>
        <v>2.2623220705059368</v>
      </c>
      <c r="X32" s="1096"/>
      <c r="Y32" s="1096"/>
      <c r="Z32" s="1096"/>
      <c r="AA32" s="1096"/>
      <c r="AB32" s="1096"/>
      <c r="AC32" s="1096"/>
      <c r="AD32" s="1096"/>
      <c r="AE32" s="1096"/>
      <c r="AF32" s="1096"/>
      <c r="AG32" s="1096"/>
      <c r="AH32" s="1096"/>
      <c r="AI32" s="1096"/>
      <c r="AJ32" s="1096"/>
      <c r="AK32" s="1096"/>
      <c r="AL32" s="1096"/>
      <c r="AM32" s="1096"/>
      <c r="AN32" s="1096"/>
      <c r="AO32" s="1096"/>
      <c r="AP32" s="1096"/>
      <c r="AQ32" s="1096"/>
      <c r="AR32" s="1096"/>
      <c r="AS32" s="1096"/>
      <c r="AT32" s="1096"/>
      <c r="AU32" s="1096"/>
      <c r="AV32" s="1096"/>
      <c r="AW32" s="1096"/>
      <c r="AX32" s="1096"/>
      <c r="AY32" s="1096"/>
      <c r="AZ32" s="1096"/>
      <c r="BA32" s="1096"/>
      <c r="BB32" s="1096"/>
      <c r="BC32" s="1096"/>
      <c r="BD32" s="1096"/>
      <c r="BE32" s="1096"/>
      <c r="BF32" s="1096"/>
      <c r="BG32" s="1096"/>
      <c r="BH32" s="1096"/>
      <c r="BI32" s="1096"/>
      <c r="BJ32" s="1096"/>
      <c r="BK32" s="1096"/>
      <c r="BL32" s="1096"/>
      <c r="BM32" s="1096"/>
      <c r="BN32" s="1096"/>
      <c r="BO32" s="1096"/>
      <c r="BP32" s="1096"/>
      <c r="BQ32" s="1096"/>
      <c r="BR32" s="1096"/>
      <c r="BS32" s="1096"/>
      <c r="BT32" s="1096"/>
      <c r="BU32" s="1096"/>
    </row>
    <row r="33" spans="1:73" x14ac:dyDescent="0.25">
      <c r="A33" s="1096"/>
      <c r="B33" s="1096"/>
      <c r="C33" s="1096"/>
      <c r="D33" s="1096"/>
      <c r="E33" s="1096"/>
      <c r="F33" s="1096"/>
      <c r="G33" s="1096"/>
      <c r="H33" s="1096"/>
      <c r="I33" s="1096"/>
      <c r="J33" s="1096"/>
      <c r="K33" s="1096"/>
      <c r="L33" s="1096"/>
      <c r="M33" s="1096"/>
      <c r="N33" s="1096"/>
      <c r="O33" s="1096"/>
      <c r="P33" s="1096"/>
      <c r="Q33" s="1096"/>
      <c r="R33" s="1096"/>
      <c r="S33" s="1096"/>
      <c r="T33" s="1096"/>
      <c r="U33" s="1096"/>
      <c r="V33" s="1460">
        <f t="shared" si="4"/>
        <v>0.95000000000000029</v>
      </c>
      <c r="W33" s="1461">
        <f t="shared" ca="1" si="3"/>
        <v>2.2726727920118943</v>
      </c>
      <c r="X33" s="1096"/>
      <c r="Y33" s="1096"/>
      <c r="Z33" s="1096"/>
      <c r="AA33" s="1096"/>
      <c r="AB33" s="1096"/>
      <c r="AC33" s="1096"/>
      <c r="AD33" s="1096"/>
      <c r="AE33" s="1096"/>
      <c r="AF33" s="1096"/>
      <c r="AG33" s="1096"/>
      <c r="AH33" s="1096"/>
      <c r="AI33" s="1096"/>
      <c r="AJ33" s="1096"/>
      <c r="AK33" s="1096"/>
      <c r="AL33" s="1096"/>
      <c r="AM33" s="1096"/>
      <c r="AN33" s="1096"/>
      <c r="AO33" s="1096"/>
      <c r="AP33" s="1096"/>
      <c r="AQ33" s="1096"/>
      <c r="AR33" s="1096"/>
      <c r="AS33" s="1096"/>
      <c r="AT33" s="1096"/>
      <c r="AU33" s="1096"/>
      <c r="AV33" s="1096"/>
      <c r="AW33" s="1096"/>
      <c r="AX33" s="1096"/>
      <c r="AY33" s="1096"/>
      <c r="AZ33" s="1096"/>
      <c r="BA33" s="1096"/>
      <c r="BB33" s="1096"/>
      <c r="BC33" s="1096"/>
      <c r="BD33" s="1096"/>
      <c r="BE33" s="1096"/>
      <c r="BF33" s="1096"/>
      <c r="BG33" s="1096"/>
      <c r="BH33" s="1096"/>
      <c r="BI33" s="1096"/>
      <c r="BJ33" s="1096"/>
      <c r="BK33" s="1096"/>
      <c r="BL33" s="1096"/>
      <c r="BM33" s="1096"/>
      <c r="BN33" s="1096"/>
      <c r="BO33" s="1096"/>
      <c r="BP33" s="1096"/>
      <c r="BQ33" s="1096"/>
      <c r="BR33" s="1096"/>
      <c r="BS33" s="1096"/>
      <c r="BT33" s="1096"/>
      <c r="BU33" s="1096"/>
    </row>
    <row r="34" spans="1:73" x14ac:dyDescent="0.25">
      <c r="A34" s="1096"/>
      <c r="B34" s="1096"/>
      <c r="C34" s="1096"/>
      <c r="D34" s="1096"/>
      <c r="E34" s="1096"/>
      <c r="F34" s="1096"/>
      <c r="G34" s="1096"/>
      <c r="H34" s="1096"/>
      <c r="I34" s="1096"/>
      <c r="J34" s="1096"/>
      <c r="K34" s="1096"/>
      <c r="L34" s="1096"/>
      <c r="M34" s="1096"/>
      <c r="N34" s="1096"/>
      <c r="O34" s="1096"/>
      <c r="P34" s="1096"/>
      <c r="Q34" s="1096"/>
      <c r="R34" s="1096"/>
      <c r="S34" s="1096"/>
      <c r="T34" s="1096"/>
      <c r="U34" s="1096"/>
      <c r="V34" s="1459">
        <v>1</v>
      </c>
      <c r="W34" s="1110">
        <f ca="1">+MAX(OFFSET($B$251:$B$2250,0,$C$194))*$C$198</f>
        <v>2.3187838731438877</v>
      </c>
      <c r="X34" s="1096"/>
      <c r="Y34" s="1096"/>
      <c r="Z34" s="1096"/>
      <c r="AA34" s="1096"/>
      <c r="AB34" s="1096"/>
      <c r="AC34" s="1096"/>
      <c r="AD34" s="1096"/>
      <c r="AE34" s="1096"/>
      <c r="AF34" s="1096"/>
      <c r="AG34" s="1096"/>
      <c r="AH34" s="1096"/>
      <c r="AI34" s="1096"/>
      <c r="AJ34" s="1096"/>
      <c r="AK34" s="1096"/>
      <c r="AL34" s="1096"/>
      <c r="AM34" s="1096"/>
      <c r="AN34" s="1096"/>
      <c r="AO34" s="1096"/>
      <c r="AP34" s="1096"/>
      <c r="AQ34" s="1096"/>
      <c r="AR34" s="1096"/>
      <c r="AS34" s="1096"/>
      <c r="AT34" s="1096"/>
      <c r="AU34" s="1096"/>
      <c r="AV34" s="1096"/>
      <c r="AW34" s="1096"/>
      <c r="AX34" s="1096"/>
      <c r="AY34" s="1096"/>
      <c r="AZ34" s="1096"/>
      <c r="BA34" s="1096"/>
      <c r="BB34" s="1096"/>
      <c r="BC34" s="1096"/>
      <c r="BD34" s="1096"/>
      <c r="BE34" s="1096"/>
      <c r="BF34" s="1096"/>
      <c r="BG34" s="1096"/>
      <c r="BH34" s="1096"/>
      <c r="BI34" s="1096"/>
      <c r="BJ34" s="1096"/>
      <c r="BK34" s="1096"/>
      <c r="BL34" s="1096"/>
      <c r="BM34" s="1096"/>
      <c r="BN34" s="1096"/>
      <c r="BO34" s="1096"/>
      <c r="BP34" s="1096"/>
      <c r="BQ34" s="1096"/>
      <c r="BR34" s="1096"/>
      <c r="BS34" s="1096"/>
      <c r="BT34" s="1096"/>
      <c r="BU34" s="1096"/>
    </row>
    <row r="35" spans="1:73" ht="13" x14ac:dyDescent="0.3">
      <c r="A35" s="1096"/>
      <c r="B35" s="1096"/>
      <c r="C35" s="1096"/>
      <c r="D35" s="1096"/>
      <c r="E35" s="1096"/>
      <c r="F35" s="1096"/>
      <c r="G35" s="1096"/>
      <c r="H35" s="1096"/>
      <c r="I35" s="1096"/>
      <c r="J35" s="1096"/>
      <c r="K35" s="1096"/>
      <c r="L35" s="1096"/>
      <c r="M35" s="1231"/>
      <c r="N35" s="1096"/>
      <c r="O35" s="1096"/>
      <c r="P35" s="1096"/>
      <c r="Q35" s="1096"/>
      <c r="R35" s="1096"/>
      <c r="S35" s="1096"/>
      <c r="T35" s="1096"/>
      <c r="U35" s="1096"/>
      <c r="V35" s="1096"/>
      <c r="W35" s="1096"/>
      <c r="X35" s="1096"/>
      <c r="Y35" s="1096"/>
      <c r="Z35" s="1096"/>
      <c r="AA35" s="1096"/>
      <c r="AB35" s="1096"/>
      <c r="AC35" s="1096"/>
      <c r="AD35" s="1096"/>
      <c r="AE35" s="1096"/>
      <c r="AF35" s="1096"/>
      <c r="AG35" s="1096"/>
      <c r="AH35" s="1096"/>
      <c r="AI35" s="1096"/>
      <c r="AJ35" s="1096"/>
      <c r="AK35" s="1096"/>
      <c r="AL35" s="1096"/>
      <c r="AM35" s="1096"/>
      <c r="AN35" s="1096"/>
      <c r="AO35" s="1096"/>
      <c r="AP35" s="1096"/>
      <c r="AQ35" s="1096"/>
      <c r="AR35" s="1096"/>
      <c r="AS35" s="1096"/>
      <c r="AT35" s="1096"/>
      <c r="AU35" s="1096"/>
      <c r="AV35" s="1096"/>
      <c r="AW35" s="1096"/>
      <c r="AX35" s="1096"/>
      <c r="AY35" s="1096"/>
      <c r="AZ35" s="1096"/>
      <c r="BA35" s="1096"/>
      <c r="BB35" s="1096"/>
      <c r="BC35" s="1096"/>
      <c r="BD35" s="1096"/>
      <c r="BE35" s="1096"/>
      <c r="BF35" s="1096"/>
      <c r="BG35" s="1096"/>
      <c r="BH35" s="1096"/>
      <c r="BI35" s="1096"/>
      <c r="BJ35" s="1096"/>
      <c r="BK35" s="1096"/>
      <c r="BL35" s="1096"/>
      <c r="BM35" s="1096"/>
      <c r="BN35" s="1096"/>
      <c r="BO35" s="1096"/>
      <c r="BP35" s="1096"/>
      <c r="BQ35" s="1096"/>
      <c r="BR35" s="1096"/>
      <c r="BS35" s="1096"/>
      <c r="BT35" s="1096"/>
      <c r="BU35" s="1096"/>
    </row>
    <row r="36" spans="1:73" x14ac:dyDescent="0.25">
      <c r="A36" s="1096"/>
      <c r="B36" s="1096"/>
      <c r="C36" s="1096"/>
      <c r="D36" s="1096"/>
      <c r="E36" s="1096"/>
      <c r="F36" s="1096"/>
      <c r="G36" s="1096"/>
      <c r="H36" s="1096"/>
      <c r="I36" s="1096"/>
      <c r="J36" s="1096"/>
      <c r="K36" s="1096"/>
      <c r="L36" s="1096"/>
      <c r="M36" s="1096"/>
      <c r="N36" s="1096"/>
      <c r="O36" s="1096"/>
      <c r="P36" s="1096"/>
      <c r="Q36" s="1096"/>
      <c r="R36" s="1096"/>
      <c r="S36" s="1096"/>
      <c r="T36" s="1096"/>
      <c r="U36" s="1096"/>
      <c r="V36" s="1096"/>
      <c r="W36" s="1096"/>
      <c r="X36" s="1096"/>
      <c r="Y36" s="1096"/>
      <c r="Z36" s="1096"/>
      <c r="AA36" s="1096"/>
      <c r="AB36" s="1096"/>
      <c r="AC36" s="1096"/>
      <c r="AD36" s="1096"/>
      <c r="AE36" s="1096"/>
      <c r="AF36" s="1096"/>
      <c r="AG36" s="1096"/>
      <c r="AH36" s="1096"/>
      <c r="AI36" s="1096"/>
      <c r="AJ36" s="1096"/>
      <c r="AK36" s="1096"/>
      <c r="AL36" s="1096"/>
      <c r="AM36" s="1096"/>
      <c r="AN36" s="1096"/>
      <c r="AO36" s="1096"/>
      <c r="AP36" s="1096"/>
      <c r="AQ36" s="1096"/>
      <c r="AR36" s="1096"/>
      <c r="AS36" s="1096"/>
      <c r="AT36" s="1096"/>
      <c r="AU36" s="1096"/>
      <c r="AV36" s="1096"/>
      <c r="AW36" s="1096"/>
      <c r="AX36" s="1096"/>
      <c r="AY36" s="1096"/>
      <c r="AZ36" s="1096"/>
      <c r="BA36" s="1096"/>
      <c r="BB36" s="1096"/>
      <c r="BC36" s="1096"/>
      <c r="BD36" s="1096"/>
      <c r="BE36" s="1096"/>
      <c r="BF36" s="1096"/>
      <c r="BG36" s="1096"/>
      <c r="BH36" s="1096"/>
      <c r="BI36" s="1096"/>
      <c r="BJ36" s="1096"/>
      <c r="BK36" s="1096"/>
      <c r="BL36" s="1096"/>
      <c r="BM36" s="1096"/>
      <c r="BN36" s="1096"/>
      <c r="BO36" s="1096"/>
      <c r="BP36" s="1096"/>
      <c r="BQ36" s="1096"/>
      <c r="BR36" s="1096"/>
      <c r="BS36" s="1096"/>
      <c r="BT36" s="1096"/>
      <c r="BU36" s="1096"/>
    </row>
    <row r="37" spans="1:73" x14ac:dyDescent="0.25">
      <c r="A37" s="1096"/>
      <c r="B37" s="1096"/>
      <c r="C37" s="1096"/>
      <c r="D37" s="1096"/>
      <c r="E37" s="1096"/>
      <c r="F37" s="1096"/>
      <c r="G37" s="1096"/>
      <c r="H37" s="1096"/>
      <c r="I37" s="1096"/>
      <c r="J37" s="1096"/>
      <c r="K37" s="1096"/>
      <c r="L37" s="1096"/>
      <c r="M37" s="1096"/>
      <c r="N37" s="1096"/>
      <c r="O37" s="1096"/>
      <c r="P37" s="1096"/>
      <c r="Q37" s="1096"/>
      <c r="R37" s="1096"/>
      <c r="S37" s="1096"/>
      <c r="T37" s="1096"/>
      <c r="U37" s="1096"/>
      <c r="V37" s="1096"/>
      <c r="W37" s="1096"/>
      <c r="X37" s="1096"/>
      <c r="Y37" s="1096"/>
      <c r="Z37" s="1096"/>
      <c r="AA37" s="1096"/>
      <c r="AB37" s="1096"/>
      <c r="AC37" s="1096"/>
      <c r="AD37" s="1096"/>
      <c r="AE37" s="1096"/>
      <c r="AF37" s="1096"/>
      <c r="AG37" s="1096"/>
      <c r="AH37" s="1096"/>
      <c r="AI37" s="1096"/>
      <c r="AJ37" s="1096"/>
      <c r="AK37" s="1096"/>
      <c r="AL37" s="1096"/>
      <c r="AM37" s="1096"/>
      <c r="AN37" s="1096"/>
      <c r="AO37" s="1096"/>
      <c r="AP37" s="1096"/>
      <c r="AQ37" s="1096"/>
      <c r="AR37" s="1096"/>
      <c r="AS37" s="1096"/>
      <c r="AT37" s="1096"/>
      <c r="AU37" s="1096"/>
      <c r="AV37" s="1096"/>
      <c r="AW37" s="1096"/>
      <c r="AX37" s="1096"/>
      <c r="AY37" s="1096"/>
      <c r="AZ37" s="1096"/>
      <c r="BA37" s="1096"/>
      <c r="BB37" s="1096"/>
      <c r="BC37" s="1096"/>
      <c r="BD37" s="1096"/>
      <c r="BE37" s="1096"/>
      <c r="BF37" s="1096"/>
      <c r="BG37" s="1096"/>
      <c r="BH37" s="1096"/>
      <c r="BI37" s="1096"/>
      <c r="BJ37" s="1096"/>
      <c r="BK37" s="1096"/>
      <c r="BL37" s="1096"/>
      <c r="BM37" s="1096"/>
      <c r="BN37" s="1096"/>
      <c r="BO37" s="1096"/>
      <c r="BP37" s="1096"/>
      <c r="BQ37" s="1096"/>
      <c r="BR37" s="1096"/>
      <c r="BS37" s="1096"/>
      <c r="BT37" s="1096"/>
      <c r="BU37" s="1096"/>
    </row>
    <row r="38" spans="1:73" x14ac:dyDescent="0.25">
      <c r="A38" s="1096"/>
      <c r="B38" s="1096"/>
      <c r="C38" s="1096"/>
      <c r="D38" s="1096"/>
      <c r="E38" s="1096"/>
      <c r="F38" s="1096"/>
      <c r="G38" s="1096"/>
      <c r="H38" s="1096"/>
      <c r="I38" s="1096"/>
      <c r="J38" s="1096"/>
      <c r="K38" s="1096"/>
      <c r="L38" s="1096"/>
      <c r="M38" s="1096"/>
      <c r="N38" s="1096"/>
      <c r="O38" s="1096"/>
      <c r="P38" s="1096"/>
      <c r="Q38" s="1096"/>
      <c r="R38" s="1096"/>
      <c r="S38" s="1096"/>
      <c r="T38" s="1096"/>
      <c r="U38" s="1096"/>
      <c r="V38" s="1096"/>
      <c r="W38" s="1096"/>
      <c r="X38" s="1096"/>
      <c r="Y38" s="1096"/>
      <c r="Z38" s="1096"/>
      <c r="AA38" s="1096"/>
      <c r="AB38" s="1096"/>
      <c r="AC38" s="1096"/>
      <c r="AD38" s="1096"/>
      <c r="AE38" s="1096"/>
      <c r="AF38" s="1096"/>
      <c r="AG38" s="1096"/>
      <c r="AH38" s="1096"/>
      <c r="AI38" s="1096"/>
      <c r="AJ38" s="1096"/>
      <c r="AK38" s="1096"/>
      <c r="AL38" s="1096"/>
      <c r="AM38" s="1096"/>
      <c r="AN38" s="1096"/>
      <c r="AO38" s="1096"/>
      <c r="AP38" s="1096"/>
      <c r="AQ38" s="1096"/>
      <c r="AR38" s="1096"/>
      <c r="AS38" s="1096"/>
      <c r="AT38" s="1096"/>
      <c r="AU38" s="1096"/>
      <c r="AV38" s="1096"/>
      <c r="AW38" s="1096"/>
      <c r="AX38" s="1096"/>
      <c r="AY38" s="1096"/>
      <c r="AZ38" s="1096"/>
      <c r="BA38" s="1096"/>
      <c r="BB38" s="1096"/>
      <c r="BC38" s="1096"/>
      <c r="BD38" s="1096"/>
      <c r="BE38" s="1096"/>
      <c r="BF38" s="1096"/>
      <c r="BG38" s="1096"/>
      <c r="BH38" s="1096"/>
      <c r="BI38" s="1096"/>
      <c r="BJ38" s="1096"/>
      <c r="BK38" s="1096"/>
      <c r="BL38" s="1096"/>
      <c r="BM38" s="1096"/>
      <c r="BN38" s="1096"/>
      <c r="BO38" s="1096"/>
      <c r="BP38" s="1096"/>
      <c r="BQ38" s="1096"/>
      <c r="BR38" s="1096"/>
      <c r="BS38" s="1096"/>
      <c r="BT38" s="1096"/>
      <c r="BU38" s="1096"/>
    </row>
    <row r="39" spans="1:73" x14ac:dyDescent="0.25">
      <c r="A39" s="1096"/>
      <c r="B39" s="1096"/>
      <c r="C39" s="1096"/>
      <c r="D39" s="1096"/>
      <c r="E39" s="1096"/>
      <c r="F39" s="1096"/>
      <c r="G39" s="1096"/>
      <c r="H39" s="1096"/>
      <c r="I39" s="1096"/>
      <c r="J39" s="1096"/>
      <c r="K39" s="1096"/>
      <c r="L39" s="1096"/>
      <c r="M39" s="1096"/>
      <c r="N39" s="1096"/>
      <c r="O39" s="1096"/>
      <c r="P39" s="1096"/>
      <c r="Q39" s="1096"/>
      <c r="R39" s="1096"/>
      <c r="S39" s="1096"/>
      <c r="T39" s="1096"/>
      <c r="U39" s="1096"/>
      <c r="V39" s="1096"/>
      <c r="W39" s="1096"/>
      <c r="X39" s="1096"/>
      <c r="Y39" s="1096"/>
      <c r="Z39" s="1096"/>
      <c r="AA39" s="1096"/>
      <c r="AB39" s="1096"/>
      <c r="AC39" s="1096"/>
      <c r="AD39" s="1096"/>
      <c r="AE39" s="1096"/>
      <c r="AF39" s="1096"/>
      <c r="AG39" s="1096"/>
      <c r="AH39" s="1096"/>
      <c r="AI39" s="1096"/>
      <c r="AJ39" s="1096"/>
      <c r="AK39" s="1096"/>
      <c r="AL39" s="1096"/>
      <c r="AM39" s="1096"/>
      <c r="AN39" s="1096"/>
      <c r="AO39" s="1096"/>
      <c r="AP39" s="1096"/>
      <c r="AQ39" s="1096"/>
      <c r="AR39" s="1096"/>
      <c r="AS39" s="1096"/>
      <c r="AT39" s="1096"/>
      <c r="AU39" s="1096"/>
      <c r="AV39" s="1096"/>
      <c r="AW39" s="1096"/>
      <c r="AX39" s="1096"/>
      <c r="AY39" s="1096"/>
      <c r="AZ39" s="1096"/>
      <c r="BA39" s="1096"/>
      <c r="BB39" s="1096"/>
      <c r="BC39" s="1096"/>
      <c r="BD39" s="1096"/>
      <c r="BE39" s="1096"/>
      <c r="BF39" s="1096"/>
      <c r="BG39" s="1096"/>
      <c r="BH39" s="1096"/>
      <c r="BI39" s="1096"/>
      <c r="BJ39" s="1096"/>
      <c r="BK39" s="1096"/>
      <c r="BL39" s="1096"/>
      <c r="BM39" s="1096"/>
      <c r="BN39" s="1096"/>
      <c r="BO39" s="1096"/>
      <c r="BP39" s="1096"/>
      <c r="BQ39" s="1096"/>
      <c r="BR39" s="1096"/>
      <c r="BS39" s="1096"/>
      <c r="BT39" s="1096"/>
      <c r="BU39" s="1096"/>
    </row>
    <row r="40" spans="1:73" x14ac:dyDescent="0.25">
      <c r="A40" s="1096"/>
      <c r="B40" s="1096"/>
      <c r="C40" s="1096"/>
      <c r="D40" s="1096"/>
      <c r="E40" s="1096"/>
      <c r="F40" s="1096"/>
      <c r="G40" s="1096"/>
      <c r="H40" s="1096"/>
      <c r="I40" s="1096"/>
      <c r="J40" s="1096"/>
      <c r="K40" s="1096"/>
      <c r="L40" s="1096"/>
      <c r="M40" s="1096"/>
      <c r="N40" s="1096"/>
      <c r="O40" s="1096"/>
      <c r="P40" s="1096"/>
      <c r="Q40" s="1096"/>
      <c r="R40" s="1096"/>
      <c r="S40" s="1096"/>
      <c r="T40" s="1096"/>
      <c r="U40" s="1096"/>
      <c r="V40" s="1096"/>
      <c r="W40" s="1096"/>
      <c r="X40" s="1096"/>
      <c r="Y40" s="1096"/>
      <c r="Z40" s="1096"/>
      <c r="AA40" s="1096"/>
      <c r="AB40" s="1096"/>
      <c r="AC40" s="1096"/>
      <c r="AD40" s="1096"/>
      <c r="AE40" s="1096"/>
      <c r="AF40" s="1096"/>
      <c r="AG40" s="1096"/>
      <c r="AH40" s="1096"/>
      <c r="AI40" s="1096"/>
      <c r="AJ40" s="1096"/>
      <c r="AK40" s="1096"/>
      <c r="AL40" s="1096"/>
      <c r="AM40" s="1096"/>
      <c r="AN40" s="1096"/>
      <c r="AO40" s="1096"/>
      <c r="AP40" s="1096"/>
      <c r="AQ40" s="1096"/>
      <c r="AR40" s="1096"/>
      <c r="AS40" s="1096"/>
      <c r="AT40" s="1096"/>
      <c r="AU40" s="1096"/>
      <c r="AV40" s="1096"/>
      <c r="AW40" s="1096"/>
      <c r="AX40" s="1096"/>
      <c r="AY40" s="1096"/>
      <c r="AZ40" s="1096"/>
      <c r="BA40" s="1096"/>
      <c r="BB40" s="1096"/>
      <c r="BC40" s="1096"/>
      <c r="BD40" s="1096"/>
      <c r="BE40" s="1096"/>
      <c r="BF40" s="1096"/>
      <c r="BG40" s="1096"/>
      <c r="BH40" s="1096"/>
      <c r="BI40" s="1096"/>
      <c r="BJ40" s="1096"/>
      <c r="BK40" s="1096"/>
      <c r="BL40" s="1096"/>
      <c r="BM40" s="1096"/>
      <c r="BN40" s="1096"/>
      <c r="BO40" s="1096"/>
      <c r="BP40" s="1096"/>
      <c r="BQ40" s="1096"/>
      <c r="BR40" s="1096"/>
      <c r="BS40" s="1096"/>
      <c r="BT40" s="1096"/>
      <c r="BU40" s="1096"/>
    </row>
    <row r="41" spans="1:73" x14ac:dyDescent="0.25">
      <c r="A41" s="1096"/>
      <c r="B41" s="1096"/>
      <c r="C41" s="1096"/>
      <c r="D41" s="1096"/>
      <c r="E41" s="1096"/>
      <c r="F41" s="1096"/>
      <c r="G41" s="1096"/>
      <c r="H41" s="1096"/>
      <c r="I41" s="1096"/>
      <c r="J41" s="1096"/>
      <c r="K41" s="1096"/>
      <c r="L41" s="1096"/>
      <c r="M41" s="1096"/>
      <c r="N41" s="1096"/>
      <c r="O41" s="1096"/>
      <c r="P41" s="1096"/>
      <c r="Q41" s="1096"/>
      <c r="R41" s="1096"/>
      <c r="S41" s="1096"/>
      <c r="T41" s="1096"/>
      <c r="U41" s="1096"/>
      <c r="V41" s="1096"/>
      <c r="W41" s="1096"/>
      <c r="X41" s="1096"/>
      <c r="Y41" s="1096"/>
      <c r="Z41" s="1096"/>
      <c r="AA41" s="1096"/>
      <c r="AB41" s="1096"/>
      <c r="AC41" s="1096"/>
      <c r="AD41" s="1096"/>
      <c r="AE41" s="1096"/>
      <c r="AF41" s="1096"/>
      <c r="AG41" s="1096"/>
      <c r="AH41" s="1096"/>
      <c r="AI41" s="1096"/>
      <c r="AJ41" s="1096"/>
      <c r="AK41" s="1096"/>
      <c r="AL41" s="1096"/>
      <c r="AM41" s="1096"/>
      <c r="AN41" s="1096"/>
      <c r="AO41" s="1096"/>
      <c r="AP41" s="1096"/>
      <c r="AQ41" s="1096"/>
      <c r="AR41" s="1096"/>
      <c r="AS41" s="1096"/>
      <c r="AT41" s="1096"/>
      <c r="AU41" s="1096"/>
      <c r="AV41" s="1096"/>
      <c r="AW41" s="1096"/>
      <c r="AX41" s="1096"/>
      <c r="AY41" s="1096"/>
      <c r="AZ41" s="1096"/>
      <c r="BA41" s="1096"/>
      <c r="BB41" s="1096"/>
      <c r="BC41" s="1096"/>
      <c r="BD41" s="1096"/>
      <c r="BE41" s="1096"/>
      <c r="BF41" s="1096"/>
      <c r="BG41" s="1096"/>
      <c r="BH41" s="1096"/>
      <c r="BI41" s="1096"/>
      <c r="BJ41" s="1096"/>
      <c r="BK41" s="1096"/>
      <c r="BL41" s="1096"/>
      <c r="BM41" s="1096"/>
      <c r="BN41" s="1096"/>
      <c r="BO41" s="1096"/>
      <c r="BP41" s="1096"/>
      <c r="BQ41" s="1096"/>
      <c r="BR41" s="1096"/>
      <c r="BS41" s="1096"/>
      <c r="BT41" s="1096"/>
      <c r="BU41" s="1096"/>
    </row>
    <row r="42" spans="1:73" x14ac:dyDescent="0.25">
      <c r="A42" s="1096"/>
      <c r="B42" s="1096"/>
      <c r="C42" s="1096"/>
      <c r="D42" s="1096"/>
      <c r="E42" s="1096"/>
      <c r="F42" s="1096"/>
      <c r="G42" s="1096"/>
      <c r="H42" s="1096"/>
      <c r="I42" s="1096"/>
      <c r="J42" s="1096"/>
      <c r="K42" s="1096"/>
      <c r="L42" s="1096"/>
      <c r="M42" s="1096"/>
      <c r="N42" s="1096"/>
      <c r="O42" s="1096"/>
      <c r="P42" s="1096"/>
      <c r="Q42" s="1096"/>
      <c r="R42" s="1096"/>
      <c r="S42" s="1096"/>
      <c r="T42" s="1096"/>
      <c r="U42" s="1096"/>
      <c r="V42" s="1096"/>
      <c r="W42" s="1096"/>
      <c r="X42" s="1096"/>
      <c r="Y42" s="1096"/>
      <c r="Z42" s="1096"/>
      <c r="AA42" s="1096"/>
      <c r="AB42" s="1096"/>
      <c r="AC42" s="1096"/>
      <c r="AD42" s="1096"/>
      <c r="AE42" s="1096"/>
      <c r="AF42" s="1096"/>
      <c r="AG42" s="1096"/>
      <c r="AH42" s="1096"/>
      <c r="AI42" s="1096"/>
      <c r="AJ42" s="1096"/>
      <c r="AK42" s="1096"/>
      <c r="AL42" s="1096"/>
      <c r="AM42" s="1096"/>
      <c r="AN42" s="1096"/>
      <c r="AO42" s="1096"/>
      <c r="AP42" s="1096"/>
      <c r="AQ42" s="1096"/>
      <c r="AR42" s="1096"/>
      <c r="AS42" s="1096"/>
      <c r="AT42" s="1096"/>
      <c r="AU42" s="1096"/>
      <c r="AV42" s="1096"/>
      <c r="AW42" s="1096"/>
      <c r="AX42" s="1096"/>
      <c r="AY42" s="1096"/>
      <c r="AZ42" s="1096"/>
      <c r="BA42" s="1096"/>
      <c r="BB42" s="1096"/>
      <c r="BC42" s="1096"/>
      <c r="BD42" s="1096"/>
      <c r="BE42" s="1096"/>
      <c r="BF42" s="1096"/>
      <c r="BG42" s="1096"/>
      <c r="BH42" s="1096"/>
      <c r="BI42" s="1096"/>
      <c r="BJ42" s="1096"/>
      <c r="BK42" s="1096"/>
      <c r="BL42" s="1096"/>
      <c r="BM42" s="1096"/>
      <c r="BN42" s="1096"/>
      <c r="BO42" s="1096"/>
      <c r="BP42" s="1096"/>
      <c r="BQ42" s="1096"/>
      <c r="BR42" s="1096"/>
      <c r="BS42" s="1096"/>
      <c r="BT42" s="1096"/>
      <c r="BU42" s="1096"/>
    </row>
    <row r="43" spans="1:73" x14ac:dyDescent="0.25">
      <c r="A43" s="1096"/>
      <c r="B43" s="1096"/>
      <c r="C43" s="1096"/>
      <c r="D43" s="1096"/>
      <c r="E43" s="1096"/>
      <c r="F43" s="1096"/>
      <c r="G43" s="1096"/>
      <c r="H43" s="1096"/>
      <c r="I43" s="1096"/>
      <c r="J43" s="1096"/>
      <c r="K43" s="1096"/>
      <c r="L43" s="1096"/>
      <c r="M43" s="1096"/>
      <c r="N43" s="1096"/>
      <c r="O43" s="1096"/>
      <c r="P43" s="1096"/>
      <c r="Q43" s="1096"/>
      <c r="R43" s="1096"/>
      <c r="S43" s="1096"/>
      <c r="T43" s="1096"/>
      <c r="U43" s="1096"/>
      <c r="V43" s="1096"/>
      <c r="W43" s="1096"/>
      <c r="X43" s="1096"/>
      <c r="Y43" s="1096"/>
      <c r="Z43" s="1096"/>
      <c r="AA43" s="1096"/>
      <c r="AB43" s="1096"/>
      <c r="AC43" s="1096"/>
      <c r="AD43" s="1096"/>
      <c r="AE43" s="1096"/>
      <c r="AF43" s="1096"/>
      <c r="AG43" s="1096"/>
      <c r="AH43" s="1096"/>
      <c r="AI43" s="1096"/>
      <c r="AJ43" s="1096"/>
      <c r="AK43" s="1096"/>
      <c r="AL43" s="1096"/>
      <c r="AM43" s="1096"/>
      <c r="AN43" s="1096"/>
      <c r="AO43" s="1096"/>
      <c r="AP43" s="1096"/>
      <c r="AQ43" s="1096"/>
      <c r="AR43" s="1096"/>
      <c r="AS43" s="1096"/>
      <c r="AT43" s="1096"/>
      <c r="AU43" s="1096"/>
      <c r="AV43" s="1096"/>
      <c r="AW43" s="1096"/>
      <c r="AX43" s="1096"/>
      <c r="AY43" s="1096"/>
      <c r="AZ43" s="1096"/>
      <c r="BA43" s="1096"/>
      <c r="BB43" s="1096"/>
      <c r="BC43" s="1096"/>
      <c r="BD43" s="1096"/>
      <c r="BE43" s="1096"/>
      <c r="BF43" s="1096"/>
      <c r="BG43" s="1096"/>
      <c r="BH43" s="1096"/>
      <c r="BI43" s="1096"/>
      <c r="BJ43" s="1096"/>
      <c r="BK43" s="1096"/>
      <c r="BL43" s="1096"/>
      <c r="BM43" s="1096"/>
      <c r="BN43" s="1096"/>
      <c r="BO43" s="1096"/>
      <c r="BP43" s="1096"/>
      <c r="BQ43" s="1096"/>
      <c r="BR43" s="1096"/>
      <c r="BS43" s="1096"/>
      <c r="BT43" s="1096"/>
      <c r="BU43" s="1096"/>
    </row>
    <row r="44" spans="1:73" x14ac:dyDescent="0.25">
      <c r="A44" s="1096"/>
      <c r="B44" s="1096"/>
      <c r="C44" s="1096"/>
      <c r="D44" s="1096"/>
      <c r="E44" s="1096"/>
      <c r="F44" s="1096"/>
      <c r="G44" s="1096"/>
      <c r="H44" s="1096"/>
      <c r="I44" s="1096"/>
      <c r="J44" s="1096"/>
      <c r="K44" s="1096"/>
      <c r="L44" s="1096"/>
      <c r="M44" s="1096"/>
      <c r="N44" s="1096"/>
      <c r="O44" s="1096"/>
      <c r="P44" s="1096"/>
      <c r="Q44" s="1096"/>
      <c r="R44" s="1096"/>
      <c r="S44" s="1096"/>
      <c r="T44" s="1096"/>
      <c r="U44" s="1096"/>
      <c r="V44" s="1096"/>
      <c r="W44" s="1096"/>
      <c r="X44" s="1096"/>
      <c r="Y44" s="1096"/>
      <c r="Z44" s="1096"/>
      <c r="AA44" s="1096"/>
      <c r="AB44" s="1096"/>
      <c r="AC44" s="1096"/>
      <c r="AD44" s="1096"/>
      <c r="AE44" s="1096"/>
      <c r="AF44" s="1096"/>
      <c r="AG44" s="1096"/>
      <c r="AH44" s="1096"/>
      <c r="AI44" s="1096"/>
      <c r="AJ44" s="1096"/>
      <c r="AK44" s="1096"/>
      <c r="AL44" s="1096"/>
      <c r="AM44" s="1096"/>
      <c r="AN44" s="1096"/>
      <c r="AO44" s="1096"/>
      <c r="AP44" s="1096"/>
      <c r="AQ44" s="1096"/>
      <c r="AR44" s="1096"/>
      <c r="AS44" s="1096"/>
      <c r="AT44" s="1096"/>
      <c r="AU44" s="1096"/>
      <c r="AV44" s="1096"/>
      <c r="AW44" s="1096"/>
      <c r="AX44" s="1096"/>
      <c r="AY44" s="1096"/>
      <c r="AZ44" s="1096"/>
      <c r="BA44" s="1096"/>
      <c r="BB44" s="1096"/>
      <c r="BC44" s="1096"/>
      <c r="BD44" s="1096"/>
      <c r="BE44" s="1096"/>
      <c r="BF44" s="1096"/>
      <c r="BG44" s="1096"/>
      <c r="BH44" s="1096"/>
      <c r="BI44" s="1096"/>
      <c r="BJ44" s="1096"/>
      <c r="BK44" s="1096"/>
      <c r="BL44" s="1096"/>
      <c r="BM44" s="1096"/>
      <c r="BN44" s="1096"/>
      <c r="BO44" s="1096"/>
      <c r="BP44" s="1096"/>
      <c r="BQ44" s="1096"/>
      <c r="BR44" s="1096"/>
      <c r="BS44" s="1096"/>
      <c r="BT44" s="1096"/>
      <c r="BU44" s="1096"/>
    </row>
    <row r="45" spans="1:73" ht="13.5" thickBot="1" x14ac:dyDescent="0.35">
      <c r="A45" s="1096"/>
      <c r="B45" s="1194" t="s">
        <v>1326</v>
      </c>
      <c r="C45" s="1194"/>
      <c r="D45" s="1194"/>
      <c r="E45" s="1194"/>
      <c r="F45" s="1194"/>
      <c r="G45" s="1194"/>
      <c r="H45" s="1194"/>
      <c r="I45" s="1194"/>
      <c r="J45" s="1194"/>
      <c r="K45" s="1194"/>
      <c r="L45" s="1194"/>
      <c r="M45" s="1194"/>
      <c r="N45" s="1194"/>
      <c r="O45" s="1194"/>
      <c r="P45" s="1194"/>
      <c r="Q45" s="1194"/>
      <c r="R45" s="1194"/>
      <c r="S45" s="1194"/>
      <c r="T45" s="1194"/>
      <c r="U45" s="1194"/>
      <c r="V45" s="1194"/>
      <c r="W45" s="1194"/>
      <c r="X45" s="1194"/>
      <c r="Y45" s="1096"/>
      <c r="Z45" s="1096"/>
      <c r="AA45" s="1096"/>
      <c r="AB45" s="1096"/>
      <c r="AC45" s="1096"/>
      <c r="AD45" s="1096"/>
      <c r="AE45" s="1096"/>
      <c r="AF45" s="1096"/>
      <c r="AG45" s="1096"/>
      <c r="AH45" s="1096"/>
      <c r="AI45" s="1096"/>
      <c r="AJ45" s="1096"/>
      <c r="AK45" s="1096"/>
      <c r="AL45" s="1096"/>
      <c r="AM45" s="1096"/>
      <c r="AN45" s="1096"/>
      <c r="AO45" s="1096"/>
      <c r="AP45" s="1096"/>
      <c r="AQ45" s="1096"/>
      <c r="AR45" s="1096"/>
      <c r="AS45" s="1096"/>
      <c r="AT45" s="1096"/>
      <c r="AU45" s="1096"/>
      <c r="AV45" s="1096"/>
      <c r="AW45" s="1096"/>
      <c r="AX45" s="1096"/>
      <c r="AY45" s="1096"/>
      <c r="AZ45" s="1096"/>
      <c r="BA45" s="1096"/>
      <c r="BB45" s="1096"/>
      <c r="BC45" s="1096"/>
      <c r="BD45" s="1096"/>
      <c r="BE45" s="1096"/>
      <c r="BF45" s="1096"/>
      <c r="BG45" s="1096"/>
      <c r="BH45" s="1096"/>
      <c r="BI45" s="1096"/>
      <c r="BJ45" s="1096"/>
      <c r="BK45" s="1096"/>
      <c r="BL45" s="1096"/>
      <c r="BM45" s="1096"/>
      <c r="BN45" s="1096"/>
      <c r="BO45" s="1096"/>
      <c r="BP45" s="1096"/>
      <c r="BQ45" s="1096"/>
      <c r="BR45" s="1096"/>
      <c r="BS45" s="1096"/>
      <c r="BT45" s="1096"/>
      <c r="BU45" s="1096"/>
    </row>
    <row r="46" spans="1:73" ht="13" thickTop="1" x14ac:dyDescent="0.25">
      <c r="A46" s="1096"/>
      <c r="B46" s="1096"/>
      <c r="C46" s="1096"/>
      <c r="D46" s="1096"/>
      <c r="E46" s="1096"/>
      <c r="F46" s="1096"/>
      <c r="G46" s="1096"/>
      <c r="H46" s="1096"/>
      <c r="I46" s="1096"/>
      <c r="J46" s="1096"/>
      <c r="K46" s="1096"/>
      <c r="L46" s="1096"/>
      <c r="M46" s="1096"/>
      <c r="N46" s="1096"/>
      <c r="O46" s="1096"/>
      <c r="P46" s="1096"/>
      <c r="Q46" s="1096"/>
      <c r="R46" s="1096"/>
      <c r="S46" s="1096"/>
      <c r="T46" s="1096"/>
      <c r="U46" s="1096"/>
      <c r="V46" s="1096"/>
      <c r="W46" s="1096"/>
      <c r="X46" s="1096"/>
      <c r="Y46" s="1096"/>
      <c r="Z46" s="1096"/>
      <c r="AA46" s="1096"/>
      <c r="AB46" s="1096"/>
      <c r="AC46" s="1096"/>
      <c r="AD46" s="1096"/>
      <c r="AE46" s="1096"/>
      <c r="AF46" s="1096"/>
      <c r="AG46" s="1096"/>
      <c r="AH46" s="1096"/>
      <c r="AI46" s="1096"/>
      <c r="AJ46" s="1096"/>
      <c r="AK46" s="1096"/>
      <c r="AL46" s="1096"/>
      <c r="AM46" s="1096"/>
      <c r="AN46" s="1096"/>
      <c r="AO46" s="1096"/>
      <c r="AP46" s="1096"/>
      <c r="AQ46" s="1096"/>
      <c r="AR46" s="1096"/>
      <c r="AS46" s="1096"/>
      <c r="AT46" s="1096"/>
      <c r="AU46" s="1096"/>
      <c r="AV46" s="1096"/>
      <c r="AW46" s="1096"/>
      <c r="AX46" s="1096"/>
      <c r="AY46" s="1096"/>
      <c r="AZ46" s="1096"/>
      <c r="BA46" s="1096"/>
      <c r="BB46" s="1096"/>
      <c r="BC46" s="1096"/>
      <c r="BD46" s="1096"/>
      <c r="BE46" s="1096"/>
      <c r="BF46" s="1096"/>
      <c r="BG46" s="1096"/>
      <c r="BH46" s="1096"/>
      <c r="BI46" s="1096"/>
      <c r="BJ46" s="1096"/>
      <c r="BK46" s="1096"/>
      <c r="BL46" s="1096"/>
      <c r="BM46" s="1096"/>
      <c r="BN46" s="1096"/>
      <c r="BO46" s="1096"/>
      <c r="BP46" s="1096"/>
      <c r="BQ46" s="1096"/>
      <c r="BR46" s="1096"/>
      <c r="BS46" s="1096"/>
      <c r="BT46" s="1096"/>
      <c r="BU46" s="1096"/>
    </row>
    <row r="47" spans="1:73" x14ac:dyDescent="0.25">
      <c r="A47" s="1096"/>
      <c r="B47" s="1111" t="s">
        <v>1153</v>
      </c>
      <c r="C47" s="1096"/>
      <c r="D47" s="1096"/>
      <c r="E47" s="1096"/>
      <c r="F47" s="1096"/>
      <c r="G47" s="1096"/>
      <c r="H47" s="1096"/>
      <c r="I47" s="1096"/>
      <c r="J47" s="1096"/>
      <c r="K47" s="1096"/>
      <c r="L47" s="1096"/>
      <c r="M47" s="1096"/>
      <c r="N47" s="1096"/>
      <c r="O47" s="1096"/>
      <c r="P47" s="1096"/>
      <c r="Q47" s="1096"/>
      <c r="R47" s="1096"/>
      <c r="S47" s="1096"/>
      <c r="T47" s="1096"/>
      <c r="U47" s="1096"/>
      <c r="V47" s="1096"/>
      <c r="W47" s="1096"/>
      <c r="X47" s="1096"/>
      <c r="Y47" s="1096"/>
      <c r="Z47" s="1096"/>
      <c r="AA47" s="1096"/>
      <c r="AB47" s="1096"/>
      <c r="AC47" s="1096"/>
      <c r="AD47" s="1096"/>
      <c r="AE47" s="1096"/>
      <c r="AF47" s="1096"/>
      <c r="AG47" s="1096"/>
      <c r="AH47" s="1096"/>
      <c r="AI47" s="1096"/>
      <c r="AJ47" s="1096"/>
      <c r="AK47" s="1096"/>
      <c r="AL47" s="1096"/>
      <c r="AM47" s="1096"/>
      <c r="AN47" s="1096"/>
      <c r="AO47" s="1096"/>
      <c r="AP47" s="1096"/>
      <c r="AQ47" s="1096"/>
      <c r="AR47" s="1096"/>
      <c r="AS47" s="1096"/>
      <c r="AT47" s="1096"/>
      <c r="AU47" s="1096"/>
      <c r="AV47" s="1096"/>
      <c r="AW47" s="1096"/>
      <c r="AX47" s="1096"/>
      <c r="AY47" s="1096"/>
      <c r="AZ47" s="1096"/>
      <c r="BA47" s="1096"/>
      <c r="BB47" s="1096"/>
      <c r="BC47" s="1096"/>
      <c r="BD47" s="1096"/>
      <c r="BE47" s="1096"/>
      <c r="BF47" s="1096"/>
      <c r="BG47" s="1096"/>
      <c r="BH47" s="1096"/>
      <c r="BI47" s="1096"/>
      <c r="BJ47" s="1096"/>
      <c r="BK47" s="1096"/>
      <c r="BL47" s="1096"/>
      <c r="BM47" s="1096"/>
      <c r="BN47" s="1096"/>
      <c r="BO47" s="1096"/>
      <c r="BP47" s="1096"/>
      <c r="BQ47" s="1096"/>
      <c r="BR47" s="1096"/>
      <c r="BS47" s="1096"/>
      <c r="BT47" s="1096"/>
      <c r="BU47" s="1096"/>
    </row>
    <row r="48" spans="1:73" x14ac:dyDescent="0.25">
      <c r="A48" s="1096"/>
      <c r="B48" s="1099">
        <v>1</v>
      </c>
      <c r="C48" s="1101">
        <f t="shared" ref="C48:E48" ca="1" si="5">+OFFSET(C50,$B$48,0)</f>
        <v>1</v>
      </c>
      <c r="D48" s="1101">
        <f t="shared" ca="1" si="5"/>
        <v>1</v>
      </c>
      <c r="E48" s="1101">
        <f t="shared" ca="1" si="5"/>
        <v>1</v>
      </c>
      <c r="F48" s="1101">
        <f ca="1">+OFFSET(F50,$B$48,0)</f>
        <v>1</v>
      </c>
      <c r="G48" s="1101">
        <f ca="1">+OFFSET(G50,$B$48,0)</f>
        <v>1</v>
      </c>
      <c r="H48" s="1101">
        <f ca="1">+OFFSET(H50,$B$48,0)</f>
        <v>1</v>
      </c>
      <c r="I48" s="1101">
        <f ca="1">+OFFSET(I50,$B$48,0)</f>
        <v>1</v>
      </c>
      <c r="J48" s="1096"/>
      <c r="K48" s="1113">
        <f ca="1">+'Cash Flow Analysis'!F118</f>
        <v>2.2167386276561176</v>
      </c>
      <c r="L48" s="1113">
        <f ca="1">+'Cash Flow Analysis'!Q118</f>
        <v>0</v>
      </c>
      <c r="M48" s="1113">
        <f ca="1">+'Cash Flow Analysis'!L118</f>
        <v>1.5466729916409979E-3</v>
      </c>
      <c r="N48" s="1113">
        <f ca="1">+'Cash Flow Analysis'!H117</f>
        <v>0.14063856670484737</v>
      </c>
      <c r="O48" s="1113">
        <f ca="1">+'Cash Flow Analysis'!I117</f>
        <v>1.9752209149708037E-2</v>
      </c>
      <c r="P48" s="1113">
        <f ca="1">+'Cash Flow Analysis'!J117</f>
        <v>2.6099437030722344E-2</v>
      </c>
      <c r="Q48" s="1113">
        <f ca="1">+'Cash Flow Analysis'!K117</f>
        <v>5.5084601150012609E-3</v>
      </c>
      <c r="R48" s="1113">
        <f ca="1">+'Cash Flow Analysis'!M117</f>
        <v>1.5249343462242497E-3</v>
      </c>
      <c r="S48" s="1113">
        <f ca="1">+'Cash Flow Analysis'!N117</f>
        <v>0.24151439550643775</v>
      </c>
      <c r="T48" s="1113">
        <f ca="1">+'Cash Flow Analysis'!O117</f>
        <v>1.3438636580768006</v>
      </c>
      <c r="U48" s="1113">
        <f ca="1">+'Cash Flow Analysis'!P117</f>
        <v>0.14277252538404067</v>
      </c>
      <c r="V48" s="1113">
        <f ca="1">+'Cash Flow Analysis'!R117</f>
        <v>0.18472633156029178</v>
      </c>
      <c r="W48" s="1113">
        <f ca="1">+'Cash Flow Analysis'!S117</f>
        <v>9.2389977839911513E-2</v>
      </c>
      <c r="X48" s="1113">
        <f ca="1">+'Cash Flow Analysis'!X117</f>
        <v>1.5344436337820982E-2</v>
      </c>
      <c r="Y48" s="1113">
        <f ca="1">+'Cash Flow Analysis'!Z117</f>
        <v>4.1503685959502759E-3</v>
      </c>
      <c r="Z48" s="1096"/>
      <c r="AA48" s="1096"/>
      <c r="AB48" s="1096"/>
      <c r="AC48" s="1096"/>
      <c r="AD48" s="1096"/>
      <c r="AE48" s="1096"/>
      <c r="AF48" s="1096"/>
      <c r="AG48" s="1096"/>
      <c r="AH48" s="1096"/>
      <c r="AI48" s="1096"/>
      <c r="AJ48" s="1096"/>
      <c r="AK48" s="1096"/>
      <c r="AL48" s="1096"/>
      <c r="AM48" s="1096"/>
      <c r="AN48" s="1096"/>
      <c r="AO48" s="1096"/>
      <c r="AP48" s="1096"/>
      <c r="AQ48" s="1096"/>
      <c r="AR48" s="1096"/>
      <c r="AS48" s="1096"/>
      <c r="AT48" s="1096"/>
      <c r="AU48" s="1096"/>
      <c r="AV48" s="1096"/>
      <c r="AW48" s="1096"/>
      <c r="AX48" s="1096"/>
      <c r="AY48" s="1096"/>
      <c r="AZ48" s="1096"/>
      <c r="BA48" s="1096"/>
      <c r="BB48" s="1096"/>
      <c r="BC48" s="1096"/>
      <c r="BD48" s="1096"/>
      <c r="BE48" s="1096"/>
      <c r="BF48" s="1096"/>
      <c r="BG48" s="1096"/>
      <c r="BH48" s="1096"/>
      <c r="BI48" s="1096"/>
      <c r="BJ48" s="1096"/>
      <c r="BK48" s="1096"/>
      <c r="BL48" s="1096"/>
      <c r="BM48" s="1096"/>
      <c r="BN48" s="1096"/>
      <c r="BO48" s="1096"/>
      <c r="BP48" s="1096"/>
      <c r="BQ48" s="1096"/>
      <c r="BR48" s="1096"/>
      <c r="BS48" s="1096"/>
      <c r="BT48" s="1096"/>
      <c r="BU48" s="1096"/>
    </row>
    <row r="49" spans="1:73" ht="13" x14ac:dyDescent="0.3">
      <c r="A49" s="1096"/>
      <c r="B49" s="1098"/>
      <c r="C49" s="1098"/>
      <c r="D49" s="1098"/>
      <c r="E49" s="1098"/>
      <c r="F49" s="1098"/>
      <c r="G49" s="1098"/>
      <c r="H49" s="1098"/>
      <c r="I49" s="1098"/>
      <c r="J49" s="1098"/>
      <c r="K49" s="1098"/>
      <c r="L49" s="1098"/>
      <c r="M49" s="1098"/>
      <c r="N49" s="1096"/>
      <c r="O49" s="1096"/>
      <c r="P49" s="1096"/>
      <c r="Q49" s="1096"/>
      <c r="R49" s="1096"/>
      <c r="S49" s="1096"/>
      <c r="T49" s="1096"/>
      <c r="U49" s="1096"/>
      <c r="V49" s="1096"/>
      <c r="W49" s="1096"/>
      <c r="X49" s="1096"/>
      <c r="Y49" s="1096"/>
      <c r="Z49" s="1096"/>
      <c r="AA49" s="1096"/>
      <c r="AB49" s="1096"/>
      <c r="AC49" s="1096"/>
      <c r="AD49" s="1096"/>
      <c r="AE49" s="1096"/>
      <c r="AF49" s="1096"/>
      <c r="AG49" s="1096"/>
      <c r="AH49" s="1096"/>
      <c r="AI49" s="1096"/>
      <c r="AJ49" s="1096"/>
      <c r="AK49" s="1096"/>
      <c r="AL49" s="1096"/>
      <c r="AM49" s="1096"/>
      <c r="AN49" s="1096"/>
      <c r="AO49" s="1096"/>
      <c r="AP49" s="1096"/>
      <c r="AQ49" s="1096"/>
      <c r="AR49" s="1096"/>
      <c r="AS49" s="1096"/>
      <c r="AT49" s="1096"/>
      <c r="AU49" s="1096"/>
      <c r="AV49" s="1096"/>
      <c r="AW49" s="1096"/>
      <c r="AX49" s="1096"/>
      <c r="AY49" s="1096"/>
      <c r="AZ49" s="1096"/>
      <c r="BA49" s="1096"/>
      <c r="BB49" s="1096"/>
      <c r="BC49" s="1096"/>
      <c r="BD49" s="1096"/>
      <c r="BE49" s="1096"/>
      <c r="BF49" s="1096"/>
      <c r="BG49" s="1096"/>
      <c r="BH49" s="1096"/>
      <c r="BI49" s="1096"/>
      <c r="BJ49" s="1096"/>
      <c r="BK49" s="1096"/>
      <c r="BL49" s="1096"/>
      <c r="BM49" s="1096"/>
      <c r="BN49" s="1096"/>
      <c r="BO49" s="1096"/>
      <c r="BP49" s="1096"/>
      <c r="BQ49" s="1096"/>
      <c r="BR49" s="1096"/>
      <c r="BS49" s="1096"/>
      <c r="BT49" s="1096"/>
      <c r="BU49" s="1096"/>
    </row>
    <row r="50" spans="1:73" ht="52" x14ac:dyDescent="0.3">
      <c r="A50" s="1096"/>
      <c r="B50" s="1107" t="s">
        <v>1137</v>
      </c>
      <c r="C50" s="1107" t="s">
        <v>1327</v>
      </c>
      <c r="D50" s="1107" t="s">
        <v>1328</v>
      </c>
      <c r="E50" s="1107" t="s">
        <v>1329</v>
      </c>
      <c r="F50" s="1107" t="s">
        <v>1330</v>
      </c>
      <c r="G50" s="1107" t="s">
        <v>1331</v>
      </c>
      <c r="H50" s="1107" t="s">
        <v>1347</v>
      </c>
      <c r="I50" s="1107" t="s">
        <v>1346</v>
      </c>
      <c r="J50" s="1096"/>
      <c r="K50" s="1107" t="s">
        <v>1348</v>
      </c>
      <c r="L50" s="1107" t="s">
        <v>1332</v>
      </c>
      <c r="M50" s="1107" t="s">
        <v>1333</v>
      </c>
      <c r="N50" s="1107" t="s">
        <v>1334</v>
      </c>
      <c r="O50" s="1107" t="s">
        <v>1335</v>
      </c>
      <c r="P50" s="1107" t="s">
        <v>1336</v>
      </c>
      <c r="Q50" s="1107" t="s">
        <v>1337</v>
      </c>
      <c r="R50" s="1107" t="s">
        <v>1338</v>
      </c>
      <c r="S50" s="1107" t="s">
        <v>1339</v>
      </c>
      <c r="T50" s="1107" t="s">
        <v>1340</v>
      </c>
      <c r="U50" s="1107" t="s">
        <v>1341</v>
      </c>
      <c r="V50" s="1107" t="s">
        <v>1342</v>
      </c>
      <c r="W50" s="1107" t="s">
        <v>1343</v>
      </c>
      <c r="X50" s="1107" t="s">
        <v>1344</v>
      </c>
      <c r="Y50" s="1107" t="s">
        <v>1345</v>
      </c>
      <c r="Z50" s="1096"/>
      <c r="AA50" s="1096"/>
      <c r="AB50" s="1096"/>
      <c r="AC50" s="1096"/>
      <c r="AD50" s="1096"/>
      <c r="AE50" s="1096"/>
      <c r="AF50" s="1096"/>
      <c r="AG50" s="1096"/>
      <c r="AH50" s="1096"/>
      <c r="AI50" s="1096"/>
      <c r="AJ50" s="1096"/>
      <c r="AK50" s="1096"/>
      <c r="AL50" s="1096"/>
      <c r="AM50" s="1096"/>
      <c r="AN50" s="1096"/>
      <c r="AO50" s="1096"/>
      <c r="AP50" s="1096"/>
      <c r="AQ50" s="1096"/>
      <c r="AR50" s="1096"/>
      <c r="AS50" s="1096"/>
      <c r="AT50" s="1096"/>
      <c r="AU50" s="1096"/>
      <c r="AV50" s="1096"/>
      <c r="AW50" s="1096"/>
      <c r="AX50" s="1096"/>
      <c r="AY50" s="1096"/>
      <c r="AZ50" s="1096"/>
      <c r="BA50" s="1096"/>
      <c r="BB50" s="1096"/>
      <c r="BC50" s="1096"/>
      <c r="BD50" s="1096"/>
      <c r="BE50" s="1096"/>
      <c r="BF50" s="1096"/>
      <c r="BG50" s="1096"/>
      <c r="BH50" s="1096"/>
      <c r="BI50" s="1096"/>
      <c r="BJ50" s="1096"/>
      <c r="BK50" s="1096"/>
      <c r="BL50" s="1096"/>
      <c r="BM50" s="1096"/>
      <c r="BN50" s="1096"/>
      <c r="BO50" s="1096"/>
      <c r="BP50" s="1096"/>
      <c r="BQ50" s="1096"/>
      <c r="BR50" s="1096"/>
      <c r="BS50" s="1096"/>
      <c r="BT50" s="1096"/>
      <c r="BU50" s="1096"/>
    </row>
    <row r="51" spans="1:73" x14ac:dyDescent="0.25">
      <c r="A51" s="1096"/>
      <c r="B51" s="1108">
        <v>1</v>
      </c>
      <c r="C51" s="1101">
        <v>1</v>
      </c>
      <c r="D51" s="1101">
        <v>1</v>
      </c>
      <c r="E51" s="1101">
        <v>1</v>
      </c>
      <c r="F51" s="1101">
        <v>1</v>
      </c>
      <c r="G51" s="1101">
        <v>1</v>
      </c>
      <c r="H51" s="1101">
        <v>1</v>
      </c>
      <c r="I51" s="1101">
        <v>1</v>
      </c>
      <c r="J51" s="1096"/>
      <c r="K51" s="1114">
        <v>2.2167386276561176</v>
      </c>
      <c r="L51" s="1115">
        <v>0</v>
      </c>
      <c r="M51" s="1115">
        <v>1.5466729916409979E-3</v>
      </c>
      <c r="N51" s="1115">
        <v>0.14063856670484737</v>
      </c>
      <c r="O51" s="1115">
        <v>1.9752209149708037E-2</v>
      </c>
      <c r="P51" s="1115">
        <v>2.6099437030722344E-2</v>
      </c>
      <c r="Q51" s="1115">
        <v>5.5084601150012609E-3</v>
      </c>
      <c r="R51" s="1115">
        <v>1.5249343462242497E-3</v>
      </c>
      <c r="S51" s="1115">
        <v>0.24151439550643775</v>
      </c>
      <c r="T51" s="1115">
        <v>1.3438636580768006</v>
      </c>
      <c r="U51" s="1115">
        <v>0.14277252538404067</v>
      </c>
      <c r="V51" s="1115">
        <v>0.18472633156029178</v>
      </c>
      <c r="W51" s="1115">
        <v>9.2389977839911513E-2</v>
      </c>
      <c r="X51" s="1115">
        <v>1.5344436337820982E-2</v>
      </c>
      <c r="Y51" s="1115">
        <v>4.1503685959502759E-3</v>
      </c>
      <c r="Z51" s="1230"/>
      <c r="AA51" s="1096"/>
      <c r="AB51" s="1096"/>
      <c r="AC51" s="1096"/>
      <c r="AD51" s="1096"/>
      <c r="AE51" s="1096"/>
      <c r="AF51" s="1096"/>
      <c r="AG51" s="1096"/>
      <c r="AH51" s="1096"/>
      <c r="AI51" s="1096"/>
      <c r="AJ51" s="1096"/>
      <c r="AK51" s="1096"/>
      <c r="AL51" s="1096"/>
      <c r="AM51" s="1096"/>
      <c r="AN51" s="1096"/>
      <c r="AO51" s="1096"/>
      <c r="AP51" s="1096"/>
      <c r="AQ51" s="1096"/>
      <c r="AR51" s="1096"/>
      <c r="AS51" s="1096"/>
      <c r="AT51" s="1096"/>
      <c r="AU51" s="1096"/>
      <c r="AV51" s="1096"/>
      <c r="AW51" s="1096"/>
      <c r="AX51" s="1096"/>
      <c r="AY51" s="1096"/>
      <c r="AZ51" s="1096"/>
      <c r="BA51" s="1096"/>
      <c r="BB51" s="1096"/>
      <c r="BC51" s="1096"/>
      <c r="BD51" s="1096"/>
      <c r="BE51" s="1096"/>
      <c r="BF51" s="1096"/>
      <c r="BG51" s="1096"/>
      <c r="BH51" s="1096"/>
      <c r="BI51" s="1096"/>
      <c r="BJ51" s="1096"/>
      <c r="BK51" s="1096"/>
      <c r="BL51" s="1096"/>
      <c r="BM51" s="1096"/>
      <c r="BN51" s="1096"/>
      <c r="BO51" s="1096"/>
      <c r="BP51" s="1096"/>
      <c r="BQ51" s="1096"/>
      <c r="BR51" s="1096"/>
      <c r="BS51" s="1096"/>
      <c r="BT51" s="1096"/>
      <c r="BU51" s="1096"/>
    </row>
    <row r="52" spans="1:73" x14ac:dyDescent="0.25">
      <c r="A52" s="1096"/>
      <c r="B52" s="1116">
        <f>+B51+1</f>
        <v>2</v>
      </c>
      <c r="C52" s="1117">
        <f>+F3</f>
        <v>1.05</v>
      </c>
      <c r="D52" s="1117">
        <v>1</v>
      </c>
      <c r="E52" s="1117">
        <v>1</v>
      </c>
      <c r="F52" s="1117">
        <v>1</v>
      </c>
      <c r="G52" s="1117">
        <v>1</v>
      </c>
      <c r="H52" s="1117">
        <v>1</v>
      </c>
      <c r="I52" s="1117">
        <v>1</v>
      </c>
      <c r="J52" s="1096"/>
      <c r="K52" s="1114">
        <v>2.1824300916819852</v>
      </c>
      <c r="L52" s="1115">
        <v>0</v>
      </c>
      <c r="M52" s="1115">
        <v>1.4730218968009509E-3</v>
      </c>
      <c r="N52" s="1115">
        <v>0.13394149209985468</v>
      </c>
      <c r="O52" s="1115">
        <v>1.8811627761626707E-2</v>
      </c>
      <c r="P52" s="1115">
        <v>2.5811144183943691E-2</v>
      </c>
      <c r="Q52" s="1115">
        <v>5.2461524904773927E-3</v>
      </c>
      <c r="R52" s="1115">
        <v>1.4523184249754762E-3</v>
      </c>
      <c r="S52" s="1115">
        <v>0.23001371000613122</v>
      </c>
      <c r="T52" s="1115">
        <v>1.3438636580768006</v>
      </c>
      <c r="U52" s="1115">
        <v>0.13597383369908642</v>
      </c>
      <c r="V52" s="1115">
        <v>0.18190137909228016</v>
      </c>
      <c r="W52" s="1115">
        <v>8.7990455085630012E-2</v>
      </c>
      <c r="X52" s="1115">
        <v>1.494461066183474E-2</v>
      </c>
      <c r="Y52" s="1115">
        <v>3.9527319961431212E-3</v>
      </c>
      <c r="Z52" s="1230"/>
      <c r="AA52" s="1096"/>
      <c r="AB52" s="1096"/>
      <c r="AC52" s="1096"/>
      <c r="AD52" s="1096"/>
      <c r="AE52" s="1096"/>
      <c r="AF52" s="1096"/>
      <c r="AG52" s="1096"/>
      <c r="AH52" s="1096"/>
      <c r="AI52" s="1096"/>
      <c r="AJ52" s="1096"/>
      <c r="AK52" s="1096"/>
      <c r="AL52" s="1096"/>
      <c r="AM52" s="1096"/>
      <c r="AN52" s="1096"/>
      <c r="AO52" s="1096"/>
      <c r="AP52" s="1096"/>
      <c r="AQ52" s="1096"/>
      <c r="AR52" s="1096"/>
      <c r="AS52" s="1096"/>
      <c r="AT52" s="1096"/>
      <c r="AU52" s="1096"/>
      <c r="AV52" s="1096"/>
      <c r="AW52" s="1096"/>
      <c r="AX52" s="1096"/>
      <c r="AY52" s="1096"/>
      <c r="AZ52" s="1096"/>
      <c r="BA52" s="1096"/>
      <c r="BB52" s="1096"/>
      <c r="BC52" s="1096"/>
      <c r="BD52" s="1096"/>
      <c r="BE52" s="1096"/>
      <c r="BF52" s="1096"/>
      <c r="BG52" s="1096"/>
      <c r="BH52" s="1096"/>
      <c r="BI52" s="1096"/>
      <c r="BJ52" s="1096"/>
      <c r="BK52" s="1096"/>
      <c r="BL52" s="1096"/>
      <c r="BM52" s="1096"/>
      <c r="BN52" s="1096"/>
      <c r="BO52" s="1096"/>
      <c r="BP52" s="1096"/>
      <c r="BQ52" s="1096"/>
      <c r="BR52" s="1096"/>
      <c r="BS52" s="1096"/>
      <c r="BT52" s="1096"/>
      <c r="BU52" s="1096"/>
    </row>
    <row r="53" spans="1:73" x14ac:dyDescent="0.25">
      <c r="A53" s="1096"/>
      <c r="B53" s="1116">
        <f t="shared" ref="B53:B70" si="6">+B52+1</f>
        <v>3</v>
      </c>
      <c r="C53" s="1117">
        <f>+G3</f>
        <v>0.95</v>
      </c>
      <c r="D53" s="1117">
        <v>1</v>
      </c>
      <c r="E53" s="1117">
        <v>1</v>
      </c>
      <c r="F53" s="1117">
        <v>1</v>
      </c>
      <c r="G53" s="1117">
        <v>1</v>
      </c>
      <c r="H53" s="1117">
        <v>1</v>
      </c>
      <c r="I53" s="1117">
        <v>1</v>
      </c>
      <c r="J53" s="1096"/>
      <c r="K53" s="1114">
        <v>2.2546585884696331</v>
      </c>
      <c r="L53" s="1115">
        <v>0</v>
      </c>
      <c r="M53" s="1115">
        <v>1.6280768333063137E-3</v>
      </c>
      <c r="N53" s="1115">
        <v>0.14804059653141827</v>
      </c>
      <c r="O53" s="1115">
        <v>2.0791799104955828E-2</v>
      </c>
      <c r="P53" s="1115">
        <v>2.641807649295138E-2</v>
      </c>
      <c r="Q53" s="1115">
        <v>5.7983790684223791E-3</v>
      </c>
      <c r="R53" s="1115">
        <v>1.6051940486571049E-3</v>
      </c>
      <c r="S53" s="1115">
        <v>0.25422567948046076</v>
      </c>
      <c r="T53" s="1115">
        <v>1.3438636580768006</v>
      </c>
      <c r="U53" s="1115">
        <v>0.15028686882530598</v>
      </c>
      <c r="V53" s="1115">
        <v>0.18784864744598892</v>
      </c>
      <c r="W53" s="1115">
        <v>9.7252608252538439E-2</v>
      </c>
      <c r="X53" s="1115">
        <v>1.5786348927068879E-2</v>
      </c>
      <c r="Y53" s="1115">
        <v>4.3688090483687114E-3</v>
      </c>
      <c r="Z53" s="1230"/>
      <c r="AA53" s="1096"/>
      <c r="AB53" s="1096"/>
      <c r="AC53" s="1096"/>
      <c r="AD53" s="1096"/>
      <c r="AE53" s="1096"/>
      <c r="AF53" s="1096"/>
      <c r="AG53" s="1096"/>
      <c r="AH53" s="1096"/>
      <c r="AI53" s="1096"/>
      <c r="AJ53" s="1096"/>
      <c r="AK53" s="1096"/>
      <c r="AL53" s="1096"/>
      <c r="AM53" s="1096"/>
      <c r="AN53" s="1096"/>
      <c r="AO53" s="1096"/>
      <c r="AP53" s="1096"/>
      <c r="AQ53" s="1096"/>
      <c r="AR53" s="1096"/>
      <c r="AS53" s="1096"/>
      <c r="AT53" s="1096"/>
      <c r="AU53" s="1096"/>
      <c r="AV53" s="1096"/>
      <c r="AW53" s="1096"/>
      <c r="AX53" s="1096"/>
      <c r="AY53" s="1096"/>
      <c r="AZ53" s="1096"/>
      <c r="BA53" s="1096"/>
      <c r="BB53" s="1096"/>
      <c r="BC53" s="1096"/>
      <c r="BD53" s="1096"/>
      <c r="BE53" s="1096"/>
      <c r="BF53" s="1096"/>
      <c r="BG53" s="1096"/>
      <c r="BH53" s="1096"/>
      <c r="BI53" s="1096"/>
      <c r="BJ53" s="1096"/>
      <c r="BK53" s="1096"/>
      <c r="BL53" s="1096"/>
      <c r="BM53" s="1096"/>
      <c r="BN53" s="1096"/>
      <c r="BO53" s="1096"/>
      <c r="BP53" s="1096"/>
      <c r="BQ53" s="1096"/>
      <c r="BR53" s="1096"/>
      <c r="BS53" s="1096"/>
      <c r="BT53" s="1096"/>
      <c r="BU53" s="1096"/>
    </row>
    <row r="54" spans="1:73" x14ac:dyDescent="0.25">
      <c r="A54" s="1096"/>
      <c r="B54" s="1108">
        <f t="shared" si="6"/>
        <v>4</v>
      </c>
      <c r="C54" s="1101">
        <v>1</v>
      </c>
      <c r="D54" s="1101">
        <f>+F4</f>
        <v>1.05</v>
      </c>
      <c r="E54" s="1101">
        <v>1</v>
      </c>
      <c r="F54" s="1101">
        <v>1</v>
      </c>
      <c r="G54" s="1101">
        <v>1</v>
      </c>
      <c r="H54" s="1101">
        <v>1</v>
      </c>
      <c r="I54" s="1101">
        <v>1</v>
      </c>
      <c r="J54" s="1096"/>
      <c r="K54" s="1114">
        <v>2.2079946666505683</v>
      </c>
      <c r="L54" s="1115">
        <v>0</v>
      </c>
      <c r="M54" s="1115">
        <v>1.5301600394281465E-3</v>
      </c>
      <c r="N54" s="1115">
        <v>0.1391370483206561</v>
      </c>
      <c r="O54" s="1115">
        <v>1.9541325991115268E-2</v>
      </c>
      <c r="P54" s="1115">
        <v>2.6020702114283225E-2</v>
      </c>
      <c r="Q54" s="1115">
        <v>5.4496494037927423E-3</v>
      </c>
      <c r="R54" s="1115">
        <v>1.5086534852258168E-3</v>
      </c>
      <c r="S54" s="1115">
        <v>0.23574538589790345</v>
      </c>
      <c r="T54" s="1115">
        <v>1.3438636580768006</v>
      </c>
      <c r="U54" s="1115">
        <v>0.14277252538404078</v>
      </c>
      <c r="V54" s="1115">
        <v>0.18472633156029181</v>
      </c>
      <c r="W54" s="1115">
        <v>9.1403582333387398E-2</v>
      </c>
      <c r="X54" s="1115">
        <v>1.5249906663201503E-2</v>
      </c>
      <c r="Y54" s="1115">
        <v>4.1060574592969284E-3</v>
      </c>
      <c r="Z54" s="1230"/>
      <c r="AA54" s="1096"/>
      <c r="AB54" s="1096"/>
      <c r="AC54" s="1096"/>
      <c r="AD54" s="1096"/>
      <c r="AE54" s="1096"/>
      <c r="AF54" s="1096"/>
      <c r="AG54" s="1096"/>
      <c r="AH54" s="1096"/>
      <c r="AI54" s="1096"/>
      <c r="AJ54" s="1096"/>
      <c r="AK54" s="1096"/>
      <c r="AL54" s="1096"/>
      <c r="AM54" s="1096"/>
      <c r="AN54" s="1096"/>
      <c r="AO54" s="1096"/>
      <c r="AP54" s="1096"/>
      <c r="AQ54" s="1096"/>
      <c r="AR54" s="1096"/>
      <c r="AS54" s="1096"/>
      <c r="AT54" s="1096"/>
      <c r="AU54" s="1096"/>
      <c r="AV54" s="1096"/>
      <c r="AW54" s="1096"/>
      <c r="AX54" s="1096"/>
      <c r="AY54" s="1096"/>
      <c r="AZ54" s="1096"/>
      <c r="BA54" s="1096"/>
      <c r="BB54" s="1096"/>
      <c r="BC54" s="1096"/>
      <c r="BD54" s="1096"/>
      <c r="BE54" s="1096"/>
      <c r="BF54" s="1096"/>
      <c r="BG54" s="1096"/>
      <c r="BH54" s="1096"/>
      <c r="BI54" s="1096"/>
      <c r="BJ54" s="1096"/>
      <c r="BK54" s="1096"/>
      <c r="BL54" s="1096"/>
      <c r="BM54" s="1096"/>
      <c r="BN54" s="1096"/>
      <c r="BO54" s="1096"/>
      <c r="BP54" s="1096"/>
      <c r="BQ54" s="1096"/>
      <c r="BR54" s="1096"/>
      <c r="BS54" s="1096"/>
      <c r="BT54" s="1096"/>
      <c r="BU54" s="1096"/>
    </row>
    <row r="55" spans="1:73" x14ac:dyDescent="0.25">
      <c r="A55" s="1096"/>
      <c r="B55" s="1108">
        <f t="shared" si="6"/>
        <v>5</v>
      </c>
      <c r="C55" s="1101">
        <v>1</v>
      </c>
      <c r="D55" s="1101">
        <f>+G4</f>
        <v>0.95</v>
      </c>
      <c r="E55" s="1101">
        <v>1</v>
      </c>
      <c r="F55" s="1101">
        <v>1</v>
      </c>
      <c r="G55" s="1101">
        <v>1</v>
      </c>
      <c r="H55" s="1101">
        <v>1</v>
      </c>
      <c r="I55" s="1101">
        <v>1</v>
      </c>
      <c r="J55" s="1096"/>
      <c r="K55" s="1114">
        <v>2.2262031117305749</v>
      </c>
      <c r="L55" s="1115">
        <v>0</v>
      </c>
      <c r="M55" s="1115">
        <v>1.5642253098439708E-3</v>
      </c>
      <c r="N55" s="1115">
        <v>0.1422345943640583</v>
      </c>
      <c r="O55" s="1115">
        <v>1.9976365815067215E-2</v>
      </c>
      <c r="P55" s="1115">
        <v>2.618540808866025E-2</v>
      </c>
      <c r="Q55" s="1115">
        <v>5.5709725176031222E-3</v>
      </c>
      <c r="R55" s="1115">
        <v>1.5422399648186314E-3</v>
      </c>
      <c r="S55" s="1115">
        <v>0.24781360660273866</v>
      </c>
      <c r="T55" s="1115">
        <v>1.3438636580768006</v>
      </c>
      <c r="U55" s="1115">
        <v>0.14277252538404064</v>
      </c>
      <c r="V55" s="1115">
        <v>0.18472633156029178</v>
      </c>
      <c r="W55" s="1115">
        <v>9.3438459515466699E-2</v>
      </c>
      <c r="X55" s="1115">
        <v>1.5445706365903495E-2</v>
      </c>
      <c r="Y55" s="1115">
        <v>4.1974687849685478E-3</v>
      </c>
      <c r="Z55" s="1230"/>
      <c r="AA55" s="1096"/>
      <c r="AB55" s="1096"/>
      <c r="AC55" s="1096"/>
      <c r="AD55" s="1096"/>
      <c r="AE55" s="1096"/>
      <c r="AF55" s="1096"/>
      <c r="AG55" s="1096"/>
      <c r="AH55" s="1096"/>
      <c r="AI55" s="1096"/>
      <c r="AJ55" s="1096"/>
      <c r="AK55" s="1096"/>
      <c r="AL55" s="1096"/>
      <c r="AM55" s="1096"/>
      <c r="AN55" s="1096"/>
      <c r="AO55" s="1096"/>
      <c r="AP55" s="1096"/>
      <c r="AQ55" s="1096"/>
      <c r="AR55" s="1096"/>
      <c r="AS55" s="1096"/>
      <c r="AT55" s="1096"/>
      <c r="AU55" s="1096"/>
      <c r="AV55" s="1096"/>
      <c r="AW55" s="1096"/>
      <c r="AX55" s="1096"/>
      <c r="AY55" s="1096"/>
      <c r="AZ55" s="1096"/>
      <c r="BA55" s="1096"/>
      <c r="BB55" s="1096"/>
      <c r="BC55" s="1096"/>
      <c r="BD55" s="1096"/>
      <c r="BE55" s="1096"/>
      <c r="BF55" s="1096"/>
      <c r="BG55" s="1096"/>
      <c r="BH55" s="1096"/>
      <c r="BI55" s="1096"/>
      <c r="BJ55" s="1096"/>
      <c r="BK55" s="1096"/>
      <c r="BL55" s="1096"/>
      <c r="BM55" s="1096"/>
      <c r="BN55" s="1096"/>
      <c r="BO55" s="1096"/>
      <c r="BP55" s="1096"/>
      <c r="BQ55" s="1096"/>
      <c r="BR55" s="1096"/>
      <c r="BS55" s="1096"/>
      <c r="BT55" s="1096"/>
      <c r="BU55" s="1096"/>
    </row>
    <row r="56" spans="1:73" x14ac:dyDescent="0.25">
      <c r="A56" s="1096"/>
      <c r="B56" s="1116">
        <f t="shared" si="6"/>
        <v>6</v>
      </c>
      <c r="C56" s="1117">
        <v>1</v>
      </c>
      <c r="D56" s="1117">
        <v>1</v>
      </c>
      <c r="E56" s="1117">
        <f>+F5</f>
        <v>0.95</v>
      </c>
      <c r="F56" s="1117">
        <v>1</v>
      </c>
      <c r="G56" s="1117">
        <v>1</v>
      </c>
      <c r="H56" s="1117">
        <v>1</v>
      </c>
      <c r="I56" s="1117">
        <v>1</v>
      </c>
      <c r="J56" s="1096"/>
      <c r="K56" s="1114">
        <v>2.205335690619278</v>
      </c>
      <c r="L56" s="1115">
        <v>0</v>
      </c>
      <c r="M56" s="1115">
        <v>1.7149954931616677E-3</v>
      </c>
      <c r="N56" s="1115">
        <v>0.13404273818872198</v>
      </c>
      <c r="O56" s="1115">
        <v>1.97211031288273E-2</v>
      </c>
      <c r="P56" s="1115">
        <v>2.5115075446980821E-2</v>
      </c>
      <c r="Q56" s="1115">
        <v>5.2265168619412125E-3</v>
      </c>
      <c r="R56" s="1115">
        <v>1.6908910579522521E-3</v>
      </c>
      <c r="S56" s="1115">
        <v>0.24113405567848833</v>
      </c>
      <c r="T56" s="1115">
        <v>1.343811550131246</v>
      </c>
      <c r="U56" s="1115">
        <v>0.14265787991692264</v>
      </c>
      <c r="V56" s="1115">
        <v>0.18468450468186071</v>
      </c>
      <c r="W56" s="1115">
        <v>9.0767160485627357E-2</v>
      </c>
      <c r="X56" s="1115">
        <v>1.3597162476211237E-2</v>
      </c>
      <c r="Y56" s="1115">
        <v>4.602048057658582E-3</v>
      </c>
      <c r="Z56" s="1230"/>
      <c r="AA56" s="1096"/>
      <c r="AB56" s="1096"/>
      <c r="AC56" s="1096"/>
      <c r="AD56" s="1096"/>
      <c r="AE56" s="1096"/>
      <c r="AF56" s="1096"/>
      <c r="AG56" s="1096"/>
      <c r="AH56" s="1096"/>
      <c r="AI56" s="1096"/>
      <c r="AJ56" s="1096"/>
      <c r="AK56" s="1096"/>
      <c r="AL56" s="1096"/>
      <c r="AM56" s="1096"/>
      <c r="AN56" s="1096"/>
      <c r="AO56" s="1096"/>
      <c r="AP56" s="1096"/>
      <c r="AQ56" s="1096"/>
      <c r="AR56" s="1096"/>
      <c r="AS56" s="1096"/>
      <c r="AT56" s="1096"/>
      <c r="AU56" s="1096"/>
      <c r="AV56" s="1096"/>
      <c r="AW56" s="1096"/>
      <c r="AX56" s="1096"/>
      <c r="AY56" s="1096"/>
      <c r="AZ56" s="1096"/>
      <c r="BA56" s="1096"/>
      <c r="BB56" s="1096"/>
      <c r="BC56" s="1096"/>
      <c r="BD56" s="1096"/>
      <c r="BE56" s="1096"/>
      <c r="BF56" s="1096"/>
      <c r="BG56" s="1096"/>
      <c r="BH56" s="1096"/>
      <c r="BI56" s="1096"/>
      <c r="BJ56" s="1096"/>
      <c r="BK56" s="1096"/>
      <c r="BL56" s="1096"/>
      <c r="BM56" s="1096"/>
      <c r="BN56" s="1096"/>
      <c r="BO56" s="1096"/>
      <c r="BP56" s="1096"/>
      <c r="BQ56" s="1096"/>
      <c r="BR56" s="1096"/>
      <c r="BS56" s="1096"/>
      <c r="BT56" s="1096"/>
      <c r="BU56" s="1096"/>
    </row>
    <row r="57" spans="1:73" x14ac:dyDescent="0.25">
      <c r="A57" s="1096"/>
      <c r="B57" s="1116">
        <f t="shared" si="6"/>
        <v>7</v>
      </c>
      <c r="C57" s="1117">
        <v>1</v>
      </c>
      <c r="D57" s="1117">
        <v>1</v>
      </c>
      <c r="E57" s="1117">
        <f>+G5</f>
        <v>1.05</v>
      </c>
      <c r="F57" s="1117">
        <v>1</v>
      </c>
      <c r="G57" s="1117">
        <v>1</v>
      </c>
      <c r="H57" s="1117">
        <v>1</v>
      </c>
      <c r="I57" s="1117">
        <v>1</v>
      </c>
      <c r="J57" s="1096"/>
      <c r="K57" s="1114">
        <v>2.2284637392413571</v>
      </c>
      <c r="L57" s="1115">
        <v>0</v>
      </c>
      <c r="M57" s="1115">
        <v>1.3937486012075278E-3</v>
      </c>
      <c r="N57" s="1115">
        <v>0.14735845589148644</v>
      </c>
      <c r="O57" s="1115">
        <v>1.9783560005659239E-2</v>
      </c>
      <c r="P57" s="1115">
        <v>2.7077906387511601E-2</v>
      </c>
      <c r="Q57" s="1115">
        <v>5.7976003418830826E-3</v>
      </c>
      <c r="R57" s="1115">
        <v>1.3741593235738667E-3</v>
      </c>
      <c r="S57" s="1115">
        <v>0.241897728984039</v>
      </c>
      <c r="T57" s="1115">
        <v>1.3439700413750468</v>
      </c>
      <c r="U57" s="1115">
        <v>0.14288807322408301</v>
      </c>
      <c r="V57" s="1115">
        <v>0.1847723834845291</v>
      </c>
      <c r="W57" s="1115">
        <v>9.4024281194763387E-2</v>
      </c>
      <c r="X57" s="1115">
        <v>1.7173288942718395E-2</v>
      </c>
      <c r="Y57" s="1115">
        <v>3.7400086872687939E-3</v>
      </c>
      <c r="Z57" s="1230"/>
      <c r="AA57" s="1096"/>
      <c r="AB57" s="1096"/>
      <c r="AC57" s="1096"/>
      <c r="AD57" s="1096"/>
      <c r="AE57" s="1096"/>
      <c r="AF57" s="1096"/>
      <c r="AG57" s="1096"/>
      <c r="AH57" s="1096"/>
      <c r="AI57" s="1096"/>
      <c r="AJ57" s="1096"/>
      <c r="AK57" s="1096"/>
      <c r="AL57" s="1096"/>
      <c r="AM57" s="1096"/>
      <c r="AN57" s="1096"/>
      <c r="AO57" s="1096"/>
      <c r="AP57" s="1096"/>
      <c r="AQ57" s="1096"/>
      <c r="AR57" s="1096"/>
      <c r="AS57" s="1096"/>
      <c r="AT57" s="1096"/>
      <c r="AU57" s="1096"/>
      <c r="AV57" s="1096"/>
      <c r="AW57" s="1096"/>
      <c r="AX57" s="1096"/>
      <c r="AY57" s="1096"/>
      <c r="AZ57" s="1096"/>
      <c r="BA57" s="1096"/>
      <c r="BB57" s="1096"/>
      <c r="BC57" s="1096"/>
      <c r="BD57" s="1096"/>
      <c r="BE57" s="1096"/>
      <c r="BF57" s="1096"/>
      <c r="BG57" s="1096"/>
      <c r="BH57" s="1096"/>
      <c r="BI57" s="1096"/>
      <c r="BJ57" s="1096"/>
      <c r="BK57" s="1096"/>
      <c r="BL57" s="1096"/>
      <c r="BM57" s="1096"/>
      <c r="BN57" s="1096"/>
      <c r="BO57" s="1096"/>
      <c r="BP57" s="1096"/>
      <c r="BQ57" s="1096"/>
      <c r="BR57" s="1096"/>
      <c r="BS57" s="1096"/>
      <c r="BT57" s="1096"/>
      <c r="BU57" s="1096"/>
    </row>
    <row r="58" spans="1:73" x14ac:dyDescent="0.25">
      <c r="A58" s="1096"/>
      <c r="B58" s="1108">
        <f t="shared" si="6"/>
        <v>8</v>
      </c>
      <c r="C58" s="1101">
        <v>1</v>
      </c>
      <c r="D58" s="1101">
        <v>1</v>
      </c>
      <c r="E58" s="1101">
        <v>1</v>
      </c>
      <c r="F58" s="1101">
        <f>+F6</f>
        <v>0.95</v>
      </c>
      <c r="G58" s="1101">
        <v>1</v>
      </c>
      <c r="H58" s="1101">
        <v>1</v>
      </c>
      <c r="I58" s="1101">
        <v>1</v>
      </c>
      <c r="J58" s="1096"/>
      <c r="K58" s="1114">
        <v>2.1483109780849343</v>
      </c>
      <c r="L58" s="1115">
        <v>0</v>
      </c>
      <c r="M58" s="1115">
        <v>1.5466729916409979E-3</v>
      </c>
      <c r="N58" s="1115">
        <v>0.14063856670484737</v>
      </c>
      <c r="O58" s="1115">
        <v>1.9752209149708037E-2</v>
      </c>
      <c r="P58" s="1115">
        <v>2.5182722083553606E-2</v>
      </c>
      <c r="Q58" s="1115">
        <v>5.5084601150012609E-3</v>
      </c>
      <c r="R58" s="1115">
        <v>1.5249343462242497E-3</v>
      </c>
      <c r="S58" s="1115">
        <v>0.24151439550643775</v>
      </c>
      <c r="T58" s="1115">
        <v>1.2766704751729607</v>
      </c>
      <c r="U58" s="1115">
        <v>0.14277252538404067</v>
      </c>
      <c r="V58" s="1115">
        <v>0.18472633156029178</v>
      </c>
      <c r="W58" s="1115">
        <v>9.2389977839911513E-2</v>
      </c>
      <c r="X58" s="1115">
        <v>1.5026684617646946E-2</v>
      </c>
      <c r="Y58" s="1115">
        <v>4.1503685959502759E-3</v>
      </c>
      <c r="Z58" s="1230"/>
      <c r="AA58" s="1096"/>
      <c r="AB58" s="1096"/>
      <c r="AC58" s="1096"/>
      <c r="AD58" s="1096"/>
      <c r="AE58" s="1096"/>
      <c r="AF58" s="1096"/>
      <c r="AG58" s="1096"/>
      <c r="AH58" s="1096"/>
      <c r="AI58" s="1096"/>
      <c r="AJ58" s="1096"/>
      <c r="AK58" s="1096"/>
      <c r="AL58" s="1096"/>
      <c r="AM58" s="1096"/>
      <c r="AN58" s="1096"/>
      <c r="AO58" s="1096"/>
      <c r="AP58" s="1096"/>
      <c r="AQ58" s="1096"/>
      <c r="AR58" s="1096"/>
      <c r="AS58" s="1096"/>
      <c r="AT58" s="1096"/>
      <c r="AU58" s="1096"/>
      <c r="AV58" s="1096"/>
      <c r="AW58" s="1096"/>
      <c r="AX58" s="1096"/>
      <c r="AY58" s="1096"/>
      <c r="AZ58" s="1096"/>
      <c r="BA58" s="1096"/>
      <c r="BB58" s="1096"/>
      <c r="BC58" s="1096"/>
      <c r="BD58" s="1096"/>
      <c r="BE58" s="1096"/>
      <c r="BF58" s="1096"/>
      <c r="BG58" s="1096"/>
      <c r="BH58" s="1096"/>
      <c r="BI58" s="1096"/>
      <c r="BJ58" s="1096"/>
      <c r="BK58" s="1096"/>
      <c r="BL58" s="1096"/>
      <c r="BM58" s="1096"/>
      <c r="BN58" s="1096"/>
      <c r="BO58" s="1096"/>
      <c r="BP58" s="1096"/>
      <c r="BQ58" s="1096"/>
      <c r="BR58" s="1096"/>
      <c r="BS58" s="1096"/>
      <c r="BT58" s="1096"/>
      <c r="BU58" s="1096"/>
    </row>
    <row r="59" spans="1:73" x14ac:dyDescent="0.25">
      <c r="A59" s="1096"/>
      <c r="B59" s="1108">
        <f t="shared" si="6"/>
        <v>9</v>
      </c>
      <c r="C59" s="1101">
        <v>1</v>
      </c>
      <c r="D59" s="1101">
        <v>1</v>
      </c>
      <c r="E59" s="1101">
        <v>1</v>
      </c>
      <c r="F59" s="1101">
        <f>+G6</f>
        <v>1.05</v>
      </c>
      <c r="G59" s="1101">
        <v>1</v>
      </c>
      <c r="H59" s="1101">
        <v>1</v>
      </c>
      <c r="I59" s="1101">
        <v>1</v>
      </c>
      <c r="J59" s="1096"/>
      <c r="K59" s="1114">
        <v>2.2851662772273</v>
      </c>
      <c r="L59" s="1115">
        <v>0</v>
      </c>
      <c r="M59" s="1115">
        <v>1.5466729916409979E-3</v>
      </c>
      <c r="N59" s="1115">
        <v>0.14063856670484737</v>
      </c>
      <c r="O59" s="1115">
        <v>1.9752209149708037E-2</v>
      </c>
      <c r="P59" s="1115">
        <v>2.7016151977891079E-2</v>
      </c>
      <c r="Q59" s="1115">
        <v>5.5084601150012609E-3</v>
      </c>
      <c r="R59" s="1115">
        <v>1.5249343462242497E-3</v>
      </c>
      <c r="S59" s="1115">
        <v>0.24151439550643775</v>
      </c>
      <c r="T59" s="1115">
        <v>1.4110568409806403</v>
      </c>
      <c r="U59" s="1115">
        <v>0.14277252538404067</v>
      </c>
      <c r="V59" s="1115">
        <v>0.18472633156029178</v>
      </c>
      <c r="W59" s="1115">
        <v>9.2389977839911513E-2</v>
      </c>
      <c r="X59" s="1115">
        <v>1.5662188057994856E-2</v>
      </c>
      <c r="Y59" s="1115">
        <v>4.1503685959502759E-3</v>
      </c>
      <c r="Z59" s="1230"/>
      <c r="AA59" s="1096"/>
      <c r="AB59" s="1096"/>
      <c r="AC59" s="1096"/>
      <c r="AD59" s="1096"/>
      <c r="AE59" s="1096"/>
      <c r="AF59" s="1096"/>
      <c r="AG59" s="1096"/>
      <c r="AH59" s="1096"/>
      <c r="AI59" s="1096"/>
      <c r="AJ59" s="1096"/>
      <c r="AK59" s="1096"/>
      <c r="AL59" s="1096"/>
      <c r="AM59" s="1096"/>
      <c r="AN59" s="1096"/>
      <c r="AO59" s="1096"/>
      <c r="AP59" s="1096"/>
      <c r="AQ59" s="1096"/>
      <c r="AR59" s="1096"/>
      <c r="AS59" s="1096"/>
      <c r="AT59" s="1096"/>
      <c r="AU59" s="1096"/>
      <c r="AV59" s="1096"/>
      <c r="AW59" s="1096"/>
      <c r="AX59" s="1096"/>
      <c r="AY59" s="1096"/>
      <c r="AZ59" s="1096"/>
      <c r="BA59" s="1096"/>
      <c r="BB59" s="1096"/>
      <c r="BC59" s="1096"/>
      <c r="BD59" s="1096"/>
      <c r="BE59" s="1096"/>
      <c r="BF59" s="1096"/>
      <c r="BG59" s="1096"/>
      <c r="BH59" s="1096"/>
      <c r="BI59" s="1096"/>
      <c r="BJ59" s="1096"/>
      <c r="BK59" s="1096"/>
      <c r="BL59" s="1096"/>
      <c r="BM59" s="1096"/>
      <c r="BN59" s="1096"/>
      <c r="BO59" s="1096"/>
      <c r="BP59" s="1096"/>
      <c r="BQ59" s="1096"/>
      <c r="BR59" s="1096"/>
      <c r="BS59" s="1096"/>
      <c r="BT59" s="1096"/>
      <c r="BU59" s="1096"/>
    </row>
    <row r="60" spans="1:73" x14ac:dyDescent="0.25">
      <c r="A60" s="1096"/>
      <c r="B60" s="1116">
        <f t="shared" si="6"/>
        <v>10</v>
      </c>
      <c r="C60" s="1117">
        <v>1</v>
      </c>
      <c r="D60" s="1117">
        <v>1</v>
      </c>
      <c r="E60" s="1117">
        <v>1</v>
      </c>
      <c r="F60" s="1117">
        <v>1</v>
      </c>
      <c r="G60" s="1117">
        <f>+F7</f>
        <v>0.95</v>
      </c>
      <c r="H60" s="1117">
        <v>1</v>
      </c>
      <c r="I60" s="1117">
        <v>1</v>
      </c>
      <c r="J60" s="1096"/>
      <c r="K60" s="1114">
        <v>2.2109829830632637</v>
      </c>
      <c r="L60" s="1115">
        <v>0</v>
      </c>
      <c r="M60" s="1115">
        <v>1.5466729916409979E-3</v>
      </c>
      <c r="N60" s="1115">
        <v>0.14063856670484737</v>
      </c>
      <c r="O60" s="1115">
        <v>1.9752209149708037E-2</v>
      </c>
      <c r="P60" s="1115">
        <v>2.6022325629039771E-2</v>
      </c>
      <c r="Q60" s="1115">
        <v>5.5084601150012609E-3</v>
      </c>
      <c r="R60" s="1115">
        <v>1.5249343462242497E-3</v>
      </c>
      <c r="S60" s="1115">
        <v>0.24151439550643775</v>
      </c>
      <c r="T60" s="1115">
        <v>1.3438636580768006</v>
      </c>
      <c r="U60" s="1115">
        <v>0.14277252538404067</v>
      </c>
      <c r="V60" s="1115">
        <v>0.17907452672192606</v>
      </c>
      <c r="W60" s="1115">
        <v>9.2389977839911513E-2</v>
      </c>
      <c r="X60" s="1115">
        <v>1.5317707985015864E-2</v>
      </c>
      <c r="Y60" s="1115">
        <v>4.1503685959502759E-3</v>
      </c>
      <c r="Z60" s="1230"/>
      <c r="AA60" s="1096"/>
      <c r="AB60" s="1096"/>
      <c r="AC60" s="1096"/>
      <c r="AD60" s="1096"/>
      <c r="AE60" s="1096"/>
      <c r="AF60" s="1096"/>
      <c r="AG60" s="1096"/>
      <c r="AH60" s="1096"/>
      <c r="AI60" s="1096"/>
      <c r="AJ60" s="1096"/>
      <c r="AK60" s="1096"/>
      <c r="AL60" s="1096"/>
      <c r="AM60" s="1096"/>
      <c r="AN60" s="1096"/>
      <c r="AO60" s="1096"/>
      <c r="AP60" s="1096"/>
      <c r="AQ60" s="1096"/>
      <c r="AR60" s="1096"/>
      <c r="AS60" s="1096"/>
      <c r="AT60" s="1096"/>
      <c r="AU60" s="1096"/>
      <c r="AV60" s="1096"/>
      <c r="AW60" s="1096"/>
      <c r="AX60" s="1096"/>
      <c r="AY60" s="1096"/>
      <c r="AZ60" s="1096"/>
      <c r="BA60" s="1096"/>
      <c r="BB60" s="1096"/>
      <c r="BC60" s="1096"/>
      <c r="BD60" s="1096"/>
      <c r="BE60" s="1096"/>
      <c r="BF60" s="1096"/>
      <c r="BG60" s="1096"/>
      <c r="BH60" s="1096"/>
      <c r="BI60" s="1096"/>
      <c r="BJ60" s="1096"/>
      <c r="BK60" s="1096"/>
      <c r="BL60" s="1096"/>
      <c r="BM60" s="1096"/>
      <c r="BN60" s="1096"/>
      <c r="BO60" s="1096"/>
      <c r="BP60" s="1096"/>
      <c r="BQ60" s="1096"/>
      <c r="BR60" s="1096"/>
      <c r="BS60" s="1096"/>
      <c r="BT60" s="1096"/>
      <c r="BU60" s="1096"/>
    </row>
    <row r="61" spans="1:73" x14ac:dyDescent="0.25">
      <c r="A61" s="1096"/>
      <c r="B61" s="1116">
        <f t="shared" si="6"/>
        <v>11</v>
      </c>
      <c r="C61" s="1117">
        <v>1</v>
      </c>
      <c r="D61" s="1117">
        <v>1</v>
      </c>
      <c r="E61" s="1117">
        <v>1</v>
      </c>
      <c r="F61" s="1117">
        <v>1</v>
      </c>
      <c r="G61" s="1117">
        <f>+G6</f>
        <v>1.05</v>
      </c>
      <c r="H61" s="1117">
        <v>1</v>
      </c>
      <c r="I61" s="1117">
        <v>1</v>
      </c>
      <c r="J61" s="1096"/>
      <c r="K61" s="1114">
        <v>2.2224942722489707</v>
      </c>
      <c r="L61" s="1115">
        <v>0</v>
      </c>
      <c r="M61" s="1115">
        <v>1.5466729916409979E-3</v>
      </c>
      <c r="N61" s="1115">
        <v>0.14063856670484737</v>
      </c>
      <c r="O61" s="1115">
        <v>1.9752209149708037E-2</v>
      </c>
      <c r="P61" s="1115">
        <v>2.6176548432404904E-2</v>
      </c>
      <c r="Q61" s="1115">
        <v>5.5084601150012609E-3</v>
      </c>
      <c r="R61" s="1115">
        <v>1.5249343462242497E-3</v>
      </c>
      <c r="S61" s="1115">
        <v>0.24151439550643775</v>
      </c>
      <c r="T61" s="1115">
        <v>1.3438636580768006</v>
      </c>
      <c r="U61" s="1115">
        <v>0.14277252538404067</v>
      </c>
      <c r="V61" s="1115">
        <v>0.19037813639865769</v>
      </c>
      <c r="W61" s="1115">
        <v>9.2389977839911513E-2</v>
      </c>
      <c r="X61" s="1115">
        <v>1.537116469062616E-2</v>
      </c>
      <c r="Y61" s="1115">
        <v>4.1503685959502759E-3</v>
      </c>
      <c r="Z61" s="1230"/>
      <c r="AA61" s="1096"/>
      <c r="AB61" s="1096"/>
      <c r="AC61" s="1096"/>
      <c r="AD61" s="1096"/>
      <c r="AE61" s="1096"/>
      <c r="AF61" s="1096"/>
      <c r="AG61" s="1096"/>
      <c r="AH61" s="1096"/>
      <c r="AI61" s="1096"/>
      <c r="AJ61" s="1096"/>
      <c r="AK61" s="1096"/>
      <c r="AL61" s="1096"/>
      <c r="AM61" s="1096"/>
      <c r="AN61" s="1096"/>
      <c r="AO61" s="1096"/>
      <c r="AP61" s="1096"/>
      <c r="AQ61" s="1096"/>
      <c r="AR61" s="1096"/>
      <c r="AS61" s="1096"/>
      <c r="AT61" s="1096"/>
      <c r="AU61" s="1096"/>
      <c r="AV61" s="1096"/>
      <c r="AW61" s="1096"/>
      <c r="AX61" s="1096"/>
      <c r="AY61" s="1096"/>
      <c r="AZ61" s="1096"/>
      <c r="BA61" s="1096"/>
      <c r="BB61" s="1096"/>
      <c r="BC61" s="1096"/>
      <c r="BD61" s="1096"/>
      <c r="BE61" s="1096"/>
      <c r="BF61" s="1096"/>
      <c r="BG61" s="1096"/>
      <c r="BH61" s="1096"/>
      <c r="BI61" s="1096"/>
      <c r="BJ61" s="1096"/>
      <c r="BK61" s="1096"/>
      <c r="BL61" s="1096"/>
      <c r="BM61" s="1096"/>
      <c r="BN61" s="1096"/>
      <c r="BO61" s="1096"/>
      <c r="BP61" s="1096"/>
      <c r="BQ61" s="1096"/>
      <c r="BR61" s="1096"/>
      <c r="BS61" s="1096"/>
      <c r="BT61" s="1096"/>
      <c r="BU61" s="1096"/>
    </row>
    <row r="62" spans="1:73" x14ac:dyDescent="0.25">
      <c r="A62" s="1096"/>
      <c r="B62" s="1108">
        <f t="shared" si="6"/>
        <v>12</v>
      </c>
      <c r="C62" s="1101">
        <v>1</v>
      </c>
      <c r="D62" s="1101">
        <v>1</v>
      </c>
      <c r="E62" s="1101">
        <v>1</v>
      </c>
      <c r="F62" s="1101">
        <v>1</v>
      </c>
      <c r="G62" s="1101">
        <v>1</v>
      </c>
      <c r="H62" s="1101">
        <f>+F8</f>
        <v>0.95</v>
      </c>
      <c r="I62" s="1101">
        <v>1</v>
      </c>
      <c r="J62" s="1096"/>
      <c r="K62" s="1114">
        <v>2.2005814457790063</v>
      </c>
      <c r="L62" s="1115">
        <v>0</v>
      </c>
      <c r="M62" s="1115">
        <v>1.4693393420589479E-3</v>
      </c>
      <c r="N62" s="1115">
        <v>0.13350639497417338</v>
      </c>
      <c r="O62" s="1115">
        <v>1.9752209149708037E-2</v>
      </c>
      <c r="P62" s="1115">
        <v>2.6044753174156225E-2</v>
      </c>
      <c r="Q62" s="1115">
        <v>5.5084601150012609E-3</v>
      </c>
      <c r="R62" s="1115">
        <v>1.4476006966421997E-3</v>
      </c>
      <c r="S62" s="1115">
        <v>0.23750763829846464</v>
      </c>
      <c r="T62" s="1115">
        <v>1.3438636580768006</v>
      </c>
      <c r="U62" s="1115">
        <v>0.14277252538404067</v>
      </c>
      <c r="V62" s="1115">
        <v>0.18472633156029178</v>
      </c>
      <c r="W62" s="1115">
        <v>8.7704625851574528E-2</v>
      </c>
      <c r="X62" s="1115">
        <v>1.5276695945391661E-2</v>
      </c>
      <c r="Y62" s="1115">
        <v>3.9398918948186697E-3</v>
      </c>
      <c r="Z62" s="1230"/>
      <c r="AA62" s="1096"/>
      <c r="AB62" s="1096"/>
      <c r="AC62" s="1096"/>
      <c r="AD62" s="1096"/>
      <c r="AE62" s="1096"/>
      <c r="AF62" s="1096"/>
      <c r="AG62" s="1096"/>
      <c r="AH62" s="1096"/>
      <c r="AI62" s="1096"/>
      <c r="AJ62" s="1096"/>
      <c r="AK62" s="1096"/>
      <c r="AL62" s="1096"/>
      <c r="AM62" s="1096"/>
      <c r="AN62" s="1096"/>
      <c r="AO62" s="1096"/>
      <c r="AP62" s="1096"/>
      <c r="AQ62" s="1096"/>
      <c r="AR62" s="1096"/>
      <c r="AS62" s="1096"/>
      <c r="AT62" s="1096"/>
      <c r="AU62" s="1096"/>
      <c r="AV62" s="1096"/>
      <c r="AW62" s="1096"/>
      <c r="AX62" s="1096"/>
      <c r="AY62" s="1096"/>
      <c r="AZ62" s="1096"/>
      <c r="BA62" s="1096"/>
      <c r="BB62" s="1096"/>
      <c r="BC62" s="1096"/>
      <c r="BD62" s="1096"/>
      <c r="BE62" s="1096"/>
      <c r="BF62" s="1096"/>
      <c r="BG62" s="1096"/>
      <c r="BH62" s="1096"/>
      <c r="BI62" s="1096"/>
      <c r="BJ62" s="1096"/>
      <c r="BK62" s="1096"/>
      <c r="BL62" s="1096"/>
      <c r="BM62" s="1096"/>
      <c r="BN62" s="1096"/>
      <c r="BO62" s="1096"/>
      <c r="BP62" s="1096"/>
      <c r="BQ62" s="1096"/>
      <c r="BR62" s="1096"/>
      <c r="BS62" s="1096"/>
      <c r="BT62" s="1096"/>
      <c r="BU62" s="1096"/>
    </row>
    <row r="63" spans="1:73" x14ac:dyDescent="0.25">
      <c r="A63" s="1096"/>
      <c r="B63" s="1108">
        <f t="shared" si="6"/>
        <v>13</v>
      </c>
      <c r="C63" s="1101">
        <v>1</v>
      </c>
      <c r="D63" s="1101">
        <v>1</v>
      </c>
      <c r="E63" s="1101">
        <v>1</v>
      </c>
      <c r="F63" s="1101">
        <v>1</v>
      </c>
      <c r="G63" s="1101">
        <v>1</v>
      </c>
      <c r="H63" s="1101">
        <f>+G8</f>
        <v>1.05</v>
      </c>
      <c r="I63" s="1101">
        <v>1</v>
      </c>
      <c r="J63" s="1096"/>
      <c r="K63" s="1114">
        <v>2.2328958095332281</v>
      </c>
      <c r="L63" s="1115">
        <v>0</v>
      </c>
      <c r="M63" s="1115">
        <v>1.6240066412230474E-3</v>
      </c>
      <c r="N63" s="1115">
        <v>0.14777073843552135</v>
      </c>
      <c r="O63" s="1115">
        <v>1.9752209149708037E-2</v>
      </c>
      <c r="P63" s="1115">
        <v>2.6154120887288457E-2</v>
      </c>
      <c r="Q63" s="1115">
        <v>5.5084601150012609E-3</v>
      </c>
      <c r="R63" s="1115">
        <v>1.6022679958062993E-3</v>
      </c>
      <c r="S63" s="1115">
        <v>0.24552115271441063</v>
      </c>
      <c r="T63" s="1115">
        <v>1.3438636580768006</v>
      </c>
      <c r="U63" s="1115">
        <v>0.14277252538404067</v>
      </c>
      <c r="V63" s="1115">
        <v>0.18472633156029178</v>
      </c>
      <c r="W63" s="1115">
        <v>9.7075329828248416E-2</v>
      </c>
      <c r="X63" s="1115">
        <v>1.5412176730250032E-2</v>
      </c>
      <c r="Y63" s="1115">
        <v>4.3608452970818829E-3</v>
      </c>
      <c r="Z63" s="1230"/>
      <c r="AA63" s="1096"/>
      <c r="AB63" s="1096"/>
      <c r="AC63" s="1096"/>
      <c r="AD63" s="1096"/>
      <c r="AE63" s="1096"/>
      <c r="AF63" s="1096"/>
      <c r="AG63" s="1096"/>
      <c r="AH63" s="1096"/>
      <c r="AI63" s="1096"/>
      <c r="AJ63" s="1096"/>
      <c r="AK63" s="1096"/>
      <c r="AL63" s="1096"/>
      <c r="AM63" s="1096"/>
      <c r="AN63" s="1096"/>
      <c r="AO63" s="1096"/>
      <c r="AP63" s="1096"/>
      <c r="AQ63" s="1096"/>
      <c r="AR63" s="1096"/>
      <c r="AS63" s="1096"/>
      <c r="AT63" s="1096"/>
      <c r="AU63" s="1096"/>
      <c r="AV63" s="1096"/>
      <c r="AW63" s="1096"/>
      <c r="AX63" s="1096"/>
      <c r="AY63" s="1096"/>
      <c r="AZ63" s="1096"/>
      <c r="BA63" s="1096"/>
      <c r="BB63" s="1096"/>
      <c r="BC63" s="1096"/>
      <c r="BD63" s="1096"/>
      <c r="BE63" s="1096"/>
      <c r="BF63" s="1096"/>
      <c r="BG63" s="1096"/>
      <c r="BH63" s="1096"/>
      <c r="BI63" s="1096"/>
      <c r="BJ63" s="1096"/>
      <c r="BK63" s="1096"/>
      <c r="BL63" s="1096"/>
      <c r="BM63" s="1096"/>
      <c r="BN63" s="1096"/>
      <c r="BO63" s="1096"/>
      <c r="BP63" s="1096"/>
      <c r="BQ63" s="1096"/>
      <c r="BR63" s="1096"/>
      <c r="BS63" s="1096"/>
      <c r="BT63" s="1096"/>
      <c r="BU63" s="1096"/>
    </row>
    <row r="64" spans="1:73" x14ac:dyDescent="0.25">
      <c r="A64" s="1096"/>
      <c r="B64" s="1116">
        <f t="shared" si="6"/>
        <v>14</v>
      </c>
      <c r="C64" s="1101">
        <v>1</v>
      </c>
      <c r="D64" s="1101">
        <v>1</v>
      </c>
      <c r="E64" s="1101">
        <v>1</v>
      </c>
      <c r="F64" s="1101">
        <v>1</v>
      </c>
      <c r="G64" s="1101">
        <v>1</v>
      </c>
      <c r="H64" s="1101">
        <v>1</v>
      </c>
      <c r="I64" s="1101">
        <f>+F9</f>
        <v>0.95</v>
      </c>
      <c r="J64" s="1096"/>
      <c r="K64" s="1114">
        <v>2.2044409737022246</v>
      </c>
      <c r="L64" s="1115">
        <v>0</v>
      </c>
      <c r="M64" s="1115">
        <v>1.5466729916409979E-3</v>
      </c>
      <c r="N64" s="1115">
        <v>0.14063856670484737</v>
      </c>
      <c r="O64" s="1115">
        <v>1.9752209149708037E-2</v>
      </c>
      <c r="P64" s="1115">
        <v>2.593462870971595E-2</v>
      </c>
      <c r="Q64" s="1115">
        <v>5.5084601150012609E-3</v>
      </c>
      <c r="R64" s="1115">
        <v>1.5249343462242497E-3</v>
      </c>
      <c r="S64" s="1115">
        <v>0.22943867573111584</v>
      </c>
      <c r="T64" s="1115">
        <v>1.3438636580768006</v>
      </c>
      <c r="U64" s="1115">
        <v>0.14277252538404067</v>
      </c>
      <c r="V64" s="1115">
        <v>0.18472633156029178</v>
      </c>
      <c r="W64" s="1115">
        <v>9.2389977839911513E-2</v>
      </c>
      <c r="X64" s="1115">
        <v>1.5287310480256876E-2</v>
      </c>
      <c r="Y64" s="1115">
        <v>4.1503685959502759E-3</v>
      </c>
      <c r="Z64" s="1230"/>
      <c r="AA64" s="1096"/>
      <c r="AB64" s="1096"/>
      <c r="AC64" s="1096"/>
      <c r="AD64" s="1096"/>
      <c r="AE64" s="1096"/>
      <c r="AF64" s="1096"/>
      <c r="AG64" s="1096"/>
      <c r="AH64" s="1096"/>
      <c r="AI64" s="1096"/>
      <c r="AJ64" s="1096"/>
      <c r="AK64" s="1096"/>
      <c r="AL64" s="1096"/>
      <c r="AM64" s="1096"/>
      <c r="AN64" s="1096"/>
      <c r="AO64" s="1096"/>
      <c r="AP64" s="1096"/>
      <c r="AQ64" s="1096"/>
      <c r="AR64" s="1096"/>
      <c r="AS64" s="1096"/>
      <c r="AT64" s="1096"/>
      <c r="AU64" s="1096"/>
      <c r="AV64" s="1096"/>
      <c r="AW64" s="1096"/>
      <c r="AX64" s="1096"/>
      <c r="AY64" s="1096"/>
      <c r="AZ64" s="1096"/>
      <c r="BA64" s="1096"/>
      <c r="BB64" s="1096"/>
      <c r="BC64" s="1096"/>
      <c r="BD64" s="1096"/>
      <c r="BE64" s="1096"/>
      <c r="BF64" s="1096"/>
      <c r="BG64" s="1096"/>
      <c r="BH64" s="1096"/>
      <c r="BI64" s="1096"/>
      <c r="BJ64" s="1096"/>
      <c r="BK64" s="1096"/>
      <c r="BL64" s="1096"/>
      <c r="BM64" s="1096"/>
      <c r="BN64" s="1096"/>
      <c r="BO64" s="1096"/>
      <c r="BP64" s="1096"/>
      <c r="BQ64" s="1096"/>
      <c r="BR64" s="1096"/>
      <c r="BS64" s="1096"/>
      <c r="BT64" s="1096"/>
      <c r="BU64" s="1096"/>
    </row>
    <row r="65" spans="1:73" ht="13" thickBot="1" x14ac:dyDescent="0.3">
      <c r="A65" s="1096"/>
      <c r="B65" s="1219">
        <f t="shared" si="6"/>
        <v>15</v>
      </c>
      <c r="C65" s="1220">
        <v>1</v>
      </c>
      <c r="D65" s="1220">
        <v>1</v>
      </c>
      <c r="E65" s="1220">
        <v>1</v>
      </c>
      <c r="F65" s="1220">
        <v>1</v>
      </c>
      <c r="G65" s="1220">
        <v>1</v>
      </c>
      <c r="H65" s="1220">
        <v>1</v>
      </c>
      <c r="I65" s="1220">
        <f>+G9</f>
        <v>1.05</v>
      </c>
      <c r="J65" s="1221"/>
      <c r="K65" s="1222">
        <v>2.2290362816100093</v>
      </c>
      <c r="L65" s="1223">
        <v>0</v>
      </c>
      <c r="M65" s="1223">
        <v>1.5466729916409979E-3</v>
      </c>
      <c r="N65" s="1223">
        <v>0.14063856670484737</v>
      </c>
      <c r="O65" s="1223">
        <v>1.9752209149708037E-2</v>
      </c>
      <c r="P65" s="1223">
        <v>2.6264245351728728E-2</v>
      </c>
      <c r="Q65" s="1223">
        <v>5.5084601150012609E-3</v>
      </c>
      <c r="R65" s="1223">
        <v>1.5249343462242497E-3</v>
      </c>
      <c r="S65" s="1223">
        <v>0.25359011528175968</v>
      </c>
      <c r="T65" s="1223">
        <v>1.3438636580768006</v>
      </c>
      <c r="U65" s="1223">
        <v>0.14277252538404067</v>
      </c>
      <c r="V65" s="1223">
        <v>0.18472633156029178</v>
      </c>
      <c r="W65" s="1223">
        <v>9.2389977839911513E-2</v>
      </c>
      <c r="X65" s="1223">
        <v>1.5401562195384884E-2</v>
      </c>
      <c r="Y65" s="1223">
        <v>4.1503685959502759E-3</v>
      </c>
      <c r="Z65" s="1230"/>
      <c r="AA65" s="1096"/>
      <c r="AB65" s="1096"/>
      <c r="AC65" s="1096"/>
      <c r="AD65" s="1096"/>
      <c r="AE65" s="1096"/>
      <c r="AF65" s="1096"/>
      <c r="AG65" s="1096"/>
      <c r="AH65" s="1096"/>
      <c r="AI65" s="1096"/>
      <c r="AJ65" s="1096"/>
      <c r="AK65" s="1096"/>
      <c r="AL65" s="1096"/>
      <c r="AM65" s="1096"/>
      <c r="AN65" s="1096"/>
      <c r="AO65" s="1096"/>
      <c r="AP65" s="1096"/>
      <c r="AQ65" s="1096"/>
      <c r="AR65" s="1096"/>
      <c r="AS65" s="1096"/>
      <c r="AT65" s="1096"/>
      <c r="AU65" s="1096"/>
      <c r="AV65" s="1096"/>
      <c r="AW65" s="1096"/>
      <c r="AX65" s="1096"/>
      <c r="AY65" s="1096"/>
      <c r="AZ65" s="1096"/>
      <c r="BA65" s="1096"/>
      <c r="BB65" s="1096"/>
      <c r="BC65" s="1096"/>
      <c r="BD65" s="1096"/>
      <c r="BE65" s="1096"/>
      <c r="BF65" s="1096"/>
      <c r="BG65" s="1096"/>
      <c r="BH65" s="1096"/>
      <c r="BI65" s="1096"/>
      <c r="BJ65" s="1096"/>
      <c r="BK65" s="1096"/>
      <c r="BL65" s="1096"/>
      <c r="BM65" s="1096"/>
      <c r="BN65" s="1096"/>
      <c r="BO65" s="1096"/>
      <c r="BP65" s="1096"/>
      <c r="BQ65" s="1096"/>
      <c r="BR65" s="1096"/>
      <c r="BS65" s="1096"/>
      <c r="BT65" s="1096"/>
      <c r="BU65" s="1096"/>
    </row>
    <row r="66" spans="1:73" ht="13" thickTop="1" x14ac:dyDescent="0.25">
      <c r="A66" s="1096"/>
      <c r="B66" s="1215">
        <f t="shared" si="6"/>
        <v>16</v>
      </c>
      <c r="C66" s="1216">
        <f>(C$72=1)*$F$3
+(C$72=2)
+(C$72=3)
+(C$72=4)
+(C$72=5)</f>
        <v>1</v>
      </c>
      <c r="D66" s="1216">
        <v>1</v>
      </c>
      <c r="E66" s="1216">
        <v>1</v>
      </c>
      <c r="F66" s="1216">
        <f>(F$72=1)*$F$6
+(F$72=2)
+(F$72=3)
+(F$72=4)
+(F$72=5)</f>
        <v>0.95</v>
      </c>
      <c r="G66" s="1216">
        <f>(G$72=1)*$F$7
+(G$72=2)
+(G$72=3)
+(G$72=4)
+(G$72=5)</f>
        <v>1</v>
      </c>
      <c r="H66" s="1216">
        <f>(H$72=1)*$F$8
+(H$72=2)
+(H$72=3)
+(H$72=4)
+(H$72=5)</f>
        <v>1</v>
      </c>
      <c r="I66" s="1216">
        <f>(I$72=1)*$F$9
+(I$72=2)
+(I$72=3)
+(I$72=4)
+(I$72=5)</f>
        <v>1</v>
      </c>
      <c r="J66" s="1096"/>
      <c r="K66" s="1217">
        <v>2.1483109780849343</v>
      </c>
      <c r="L66" s="1218">
        <v>0</v>
      </c>
      <c r="M66" s="1218">
        <v>1.5466729916409979E-3</v>
      </c>
      <c r="N66" s="1218">
        <v>0.14063856670484737</v>
      </c>
      <c r="O66" s="1218">
        <v>1.9752209149708037E-2</v>
      </c>
      <c r="P66" s="1218">
        <v>2.5182722083553606E-2</v>
      </c>
      <c r="Q66" s="1218">
        <v>5.5084601150012609E-3</v>
      </c>
      <c r="R66" s="1218">
        <v>1.5249343462242497E-3</v>
      </c>
      <c r="S66" s="1218">
        <v>0.24151439550643775</v>
      </c>
      <c r="T66" s="1218">
        <v>1.2766704751729607</v>
      </c>
      <c r="U66" s="1218">
        <v>0.14277252538404067</v>
      </c>
      <c r="V66" s="1218">
        <v>0.18472633156029178</v>
      </c>
      <c r="W66" s="1218">
        <v>9.2389977839911513E-2</v>
      </c>
      <c r="X66" s="1218">
        <v>1.5026684617646946E-2</v>
      </c>
      <c r="Y66" s="1218">
        <v>4.1503685959502759E-3</v>
      </c>
      <c r="Z66" s="1230"/>
      <c r="AA66" s="1096"/>
      <c r="AB66" s="1096"/>
      <c r="AC66" s="1096"/>
      <c r="AD66" s="1096"/>
      <c r="AE66" s="1096"/>
      <c r="AF66" s="1096"/>
      <c r="AG66" s="1096"/>
      <c r="AH66" s="1096"/>
      <c r="AI66" s="1096"/>
      <c r="AJ66" s="1096"/>
      <c r="AK66" s="1096"/>
      <c r="AL66" s="1096"/>
      <c r="AM66" s="1096"/>
      <c r="AN66" s="1096"/>
      <c r="AO66" s="1096"/>
      <c r="AP66" s="1096"/>
      <c r="AQ66" s="1096"/>
      <c r="AR66" s="1096"/>
      <c r="AS66" s="1096"/>
      <c r="AT66" s="1096"/>
      <c r="AU66" s="1096"/>
      <c r="AV66" s="1096"/>
      <c r="AW66" s="1096"/>
      <c r="AX66" s="1096"/>
      <c r="AY66" s="1096"/>
      <c r="AZ66" s="1096"/>
      <c r="BA66" s="1096"/>
      <c r="BB66" s="1096"/>
      <c r="BC66" s="1096"/>
      <c r="BD66" s="1096"/>
      <c r="BE66" s="1096"/>
      <c r="BF66" s="1096"/>
      <c r="BG66" s="1096"/>
      <c r="BH66" s="1096"/>
      <c r="BI66" s="1096"/>
      <c r="BJ66" s="1096"/>
      <c r="BK66" s="1096"/>
      <c r="BL66" s="1096"/>
      <c r="BM66" s="1096"/>
      <c r="BN66" s="1096"/>
      <c r="BO66" s="1096"/>
      <c r="BP66" s="1096"/>
      <c r="BQ66" s="1096"/>
      <c r="BR66" s="1096"/>
      <c r="BS66" s="1096"/>
      <c r="BT66" s="1096"/>
      <c r="BU66" s="1096"/>
    </row>
    <row r="67" spans="1:73" x14ac:dyDescent="0.25">
      <c r="A67" s="1096"/>
      <c r="B67" s="1108">
        <f t="shared" si="6"/>
        <v>17</v>
      </c>
      <c r="C67" s="1216">
        <f>(C$72=1)*$F$3
+(C$72=2)*$F$3
+(C$72=3)
+(C$72=4)
+(C$72=5)</f>
        <v>1.05</v>
      </c>
      <c r="D67" s="1101">
        <v>1</v>
      </c>
      <c r="E67" s="1101">
        <v>1</v>
      </c>
      <c r="F67" s="1216">
        <f>(F$72=1)*$F$6
+(F$72=2)*$F$6
+(F$72=3)
+(F$72=4)
+(F$72=5)</f>
        <v>0.95</v>
      </c>
      <c r="G67" s="1216">
        <f>(G$72=1)*$F$7
+(G$72=2)*$F$7
+(G$72=3)
+(G$72=4)
+(G$72=5)</f>
        <v>1</v>
      </c>
      <c r="H67" s="1216">
        <f>(H$72=1)*$F$8
+(H$72=2)*$F$8
+(H$72=3)
+(H$72=4)
+(H$72=5)</f>
        <v>1</v>
      </c>
      <c r="I67" s="1216">
        <f>(I$72=1)*$F$9
+(I$72=2)*$F$9
+(I$72=3)
+(I$72=4)
+(I$72=5)</f>
        <v>1</v>
      </c>
      <c r="J67" s="1096"/>
      <c r="K67" s="1114">
        <v>2.1140024421108028</v>
      </c>
      <c r="L67" s="1115">
        <v>0</v>
      </c>
      <c r="M67" s="1115">
        <v>1.4730218968009509E-3</v>
      </c>
      <c r="N67" s="1115">
        <v>0.13394149209985468</v>
      </c>
      <c r="O67" s="1115">
        <v>1.8811627761626707E-2</v>
      </c>
      <c r="P67" s="1115">
        <v>2.4894429236774963E-2</v>
      </c>
      <c r="Q67" s="1115">
        <v>5.2461524904773927E-3</v>
      </c>
      <c r="R67" s="1115">
        <v>1.4523184249754762E-3</v>
      </c>
      <c r="S67" s="1115">
        <v>0.23001371000613122</v>
      </c>
      <c r="T67" s="1115">
        <v>1.2766704751729612</v>
      </c>
      <c r="U67" s="1115">
        <v>0.13597383369908642</v>
      </c>
      <c r="V67" s="1115">
        <v>0.18190137909228016</v>
      </c>
      <c r="W67" s="1115">
        <v>8.7990455085630012E-2</v>
      </c>
      <c r="X67" s="1115">
        <v>1.4626858941660766E-2</v>
      </c>
      <c r="Y67" s="1115">
        <v>3.9527319961431212E-3</v>
      </c>
      <c r="Z67" s="1230"/>
      <c r="AA67" s="1096"/>
      <c r="AB67" s="1096"/>
      <c r="AC67" s="1096"/>
      <c r="AD67" s="1096"/>
      <c r="AE67" s="1096"/>
      <c r="AF67" s="1096"/>
      <c r="AG67" s="1096"/>
      <c r="AH67" s="1096"/>
      <c r="AI67" s="1096"/>
      <c r="AJ67" s="1096"/>
      <c r="AK67" s="1096"/>
      <c r="AL67" s="1096"/>
      <c r="AM67" s="1096"/>
      <c r="AN67" s="1096"/>
      <c r="AO67" s="1096"/>
      <c r="AP67" s="1096"/>
      <c r="AQ67" s="1096"/>
      <c r="AR67" s="1096"/>
      <c r="AS67" s="1096"/>
      <c r="AT67" s="1096"/>
      <c r="AU67" s="1096"/>
      <c r="AV67" s="1096"/>
      <c r="AW67" s="1096"/>
      <c r="AX67" s="1096"/>
      <c r="AY67" s="1096"/>
      <c r="AZ67" s="1096"/>
      <c r="BA67" s="1096"/>
      <c r="BB67" s="1096"/>
      <c r="BC67" s="1096"/>
      <c r="BD67" s="1096"/>
      <c r="BE67" s="1096"/>
      <c r="BF67" s="1096"/>
      <c r="BG67" s="1096"/>
      <c r="BH67" s="1096"/>
      <c r="BI67" s="1096"/>
      <c r="BJ67" s="1096"/>
      <c r="BK67" s="1096"/>
      <c r="BL67" s="1096"/>
      <c r="BM67" s="1096"/>
      <c r="BN67" s="1096"/>
      <c r="BO67" s="1096"/>
      <c r="BP67" s="1096"/>
      <c r="BQ67" s="1096"/>
      <c r="BR67" s="1096"/>
      <c r="BS67" s="1096"/>
      <c r="BT67" s="1096"/>
      <c r="BU67" s="1096"/>
    </row>
    <row r="68" spans="1:73" x14ac:dyDescent="0.25">
      <c r="A68" s="1096"/>
      <c r="B68" s="1116">
        <f t="shared" si="6"/>
        <v>18</v>
      </c>
      <c r="C68" s="1216">
        <f>(C$72=1)*$F$3
+(C$72=2)*$F$3
+(C$72=3)*$F$3
+(C$72=4)
+(C$72=5)</f>
        <v>1.05</v>
      </c>
      <c r="D68" s="1101">
        <v>1</v>
      </c>
      <c r="E68" s="1101">
        <v>1</v>
      </c>
      <c r="F68" s="1216">
        <f>(F$72=1)*$F$6
+(F$72=2)*$F$6
+(F$72=3)*$F$6
+(F$72=4)
+(F$72=5)</f>
        <v>0.95</v>
      </c>
      <c r="G68" s="1216">
        <f>(G$72=1)*$F$7
+(G$72=2)*$F$7
+(G$72=3)*$F$7
+(G$72=4)
+(G$72=5)</f>
        <v>1</v>
      </c>
      <c r="H68" s="1216">
        <f>(H$72=1)*$F$8
+(H$72=2)*$F$8
+(H$72=3)*$F$8
+(H$72=4)
+(H$72=5)</f>
        <v>0.95</v>
      </c>
      <c r="I68" s="1216">
        <f>(I$72=1)*$F$9
+(I$72=2)*$F$9
+(I$72=3)*$F$9
+(I$72=4)
+(I$72=5)</f>
        <v>1</v>
      </c>
      <c r="J68" s="1096"/>
      <c r="K68" s="1114">
        <v>2.0986146498468869</v>
      </c>
      <c r="L68" s="1115">
        <v>0</v>
      </c>
      <c r="M68" s="1115">
        <v>1.3993708019609029E-3</v>
      </c>
      <c r="N68" s="1115">
        <v>0.12714894759445089</v>
      </c>
      <c r="O68" s="1115">
        <v>1.8811627761626707E-2</v>
      </c>
      <c r="P68" s="1115">
        <v>2.4842349373378658E-2</v>
      </c>
      <c r="Q68" s="1115">
        <v>5.2461524904773927E-3</v>
      </c>
      <c r="R68" s="1115">
        <v>1.3786673301354286E-3</v>
      </c>
      <c r="S68" s="1115">
        <v>0.22619775076044257</v>
      </c>
      <c r="T68" s="1115">
        <v>1.2766704751729612</v>
      </c>
      <c r="U68" s="1115">
        <v>0.13597383369908642</v>
      </c>
      <c r="V68" s="1115">
        <v>0.18190137909228016</v>
      </c>
      <c r="W68" s="1115">
        <v>8.3528215096737676E-2</v>
      </c>
      <c r="X68" s="1115">
        <v>1.4562344282204348E-2</v>
      </c>
      <c r="Y68" s="1115">
        <v>3.7522779950654008E-3</v>
      </c>
      <c r="Z68" s="1230"/>
      <c r="AA68" s="1096"/>
      <c r="AB68" s="1096"/>
      <c r="AC68" s="1096"/>
      <c r="AD68" s="1096"/>
      <c r="AE68" s="1096"/>
      <c r="AF68" s="1096"/>
      <c r="AG68" s="1096"/>
      <c r="AH68" s="1096"/>
      <c r="AI68" s="1096"/>
      <c r="AJ68" s="1096"/>
      <c r="AK68" s="1096"/>
      <c r="AL68" s="1096"/>
      <c r="AM68" s="1096"/>
      <c r="AN68" s="1096"/>
      <c r="AO68" s="1096"/>
      <c r="AP68" s="1096"/>
      <c r="AQ68" s="1096"/>
      <c r="AR68" s="1096"/>
      <c r="AS68" s="1096"/>
      <c r="AT68" s="1096"/>
      <c r="AU68" s="1096"/>
      <c r="AV68" s="1096"/>
      <c r="AW68" s="1096"/>
      <c r="AX68" s="1096"/>
      <c r="AY68" s="1096"/>
      <c r="AZ68" s="1096"/>
      <c r="BA68" s="1096"/>
      <c r="BB68" s="1096"/>
      <c r="BC68" s="1096"/>
      <c r="BD68" s="1096"/>
      <c r="BE68" s="1096"/>
      <c r="BF68" s="1096"/>
      <c r="BG68" s="1096"/>
      <c r="BH68" s="1096"/>
      <c r="BI68" s="1096"/>
      <c r="BJ68" s="1096"/>
      <c r="BK68" s="1096"/>
      <c r="BL68" s="1096"/>
      <c r="BM68" s="1096"/>
      <c r="BN68" s="1096"/>
      <c r="BO68" s="1096"/>
      <c r="BP68" s="1096"/>
      <c r="BQ68" s="1096"/>
      <c r="BR68" s="1096"/>
      <c r="BS68" s="1096"/>
      <c r="BT68" s="1096"/>
      <c r="BU68" s="1096"/>
    </row>
    <row r="69" spans="1:73" x14ac:dyDescent="0.25">
      <c r="A69" s="1096"/>
      <c r="B69" s="1116">
        <f t="shared" si="6"/>
        <v>19</v>
      </c>
      <c r="C69" s="1216">
        <f>(C$72=1)*$F$3
+(C$72=2)*$F$3
+(C$72=3)*$F$3
+(C$72=4)*$F$3
+(C$72=5)</f>
        <v>1.05</v>
      </c>
      <c r="D69" s="1101">
        <v>1</v>
      </c>
      <c r="E69" s="1101">
        <v>1</v>
      </c>
      <c r="F69" s="1216">
        <f>(F$72=1)*$F$6
+(F$72=2)*$F$6
+(F$72=3)*$F$6
+(F$72=4)*$F$6
+(F$72=5)</f>
        <v>0.95</v>
      </c>
      <c r="G69" s="1216">
        <f>(G$72=1)*$F$7
+(G$72=2)*$F$7
+(G$72=3)*$F$7
+(G$72=4)*$F$7
+(G$72=5)</f>
        <v>1</v>
      </c>
      <c r="H69" s="1216">
        <f>(H$72=1)*$F$8
+(H$72=2)*$F$8
+(H$72=3)*$F$8
+(H$72=4)*$F$8
+(H$72=5)</f>
        <v>0.95</v>
      </c>
      <c r="I69" s="1216">
        <f>(I$72=1)*$F$9
+(I$72=2)*$F$9
+(I$72=3)*$F$9
+(I$72=4)*$F$9
+(I$72=5)</f>
        <v>0.95</v>
      </c>
      <c r="J69" s="1096"/>
      <c r="K69" s="1114">
        <v>2.0870969030137525</v>
      </c>
      <c r="L69" s="1115">
        <v>0</v>
      </c>
      <c r="M69" s="1115">
        <v>1.3993708019609029E-3</v>
      </c>
      <c r="N69" s="1115">
        <v>0.12714894759445089</v>
      </c>
      <c r="O69" s="1115">
        <v>1.8811627761626707E-2</v>
      </c>
      <c r="P69" s="1115">
        <v>2.4687993060828105E-2</v>
      </c>
      <c r="Q69" s="1115">
        <v>5.2461524904773927E-3</v>
      </c>
      <c r="R69" s="1115">
        <v>1.3786673301354286E-3</v>
      </c>
      <c r="S69" s="1115">
        <v>0.21488786322242054</v>
      </c>
      <c r="T69" s="1115">
        <v>1.2766704751729612</v>
      </c>
      <c r="U69" s="1115">
        <v>0.13597383369908642</v>
      </c>
      <c r="V69" s="1115">
        <v>0.18190137909228016</v>
      </c>
      <c r="W69" s="1115">
        <v>8.3528215096737676E-2</v>
      </c>
      <c r="X69" s="1115">
        <v>1.4508841299642417E-2</v>
      </c>
      <c r="Y69" s="1115">
        <v>3.7522779950654008E-3</v>
      </c>
      <c r="Z69" s="1230"/>
      <c r="AA69" s="1096"/>
      <c r="AB69" s="1096"/>
      <c r="AC69" s="1096"/>
      <c r="AD69" s="1096"/>
      <c r="AE69" s="1096"/>
      <c r="AF69" s="1096"/>
      <c r="AG69" s="1096"/>
      <c r="AH69" s="1096"/>
      <c r="AI69" s="1096"/>
      <c r="AJ69" s="1096"/>
      <c r="AK69" s="1096"/>
      <c r="AL69" s="1096"/>
      <c r="AM69" s="1096"/>
      <c r="AN69" s="1096"/>
      <c r="AO69" s="1096"/>
      <c r="AP69" s="1096"/>
      <c r="AQ69" s="1096"/>
      <c r="AR69" s="1096"/>
      <c r="AS69" s="1096"/>
      <c r="AT69" s="1096"/>
      <c r="AU69" s="1096"/>
      <c r="AV69" s="1096"/>
      <c r="AW69" s="1096"/>
      <c r="AX69" s="1096"/>
      <c r="AY69" s="1096"/>
      <c r="AZ69" s="1096"/>
      <c r="BA69" s="1096"/>
      <c r="BB69" s="1096"/>
      <c r="BC69" s="1096"/>
      <c r="BD69" s="1096"/>
      <c r="BE69" s="1096"/>
      <c r="BF69" s="1096"/>
      <c r="BG69" s="1096"/>
      <c r="BH69" s="1096"/>
      <c r="BI69" s="1096"/>
      <c r="BJ69" s="1096"/>
      <c r="BK69" s="1096"/>
      <c r="BL69" s="1096"/>
      <c r="BM69" s="1096"/>
      <c r="BN69" s="1096"/>
      <c r="BO69" s="1096"/>
      <c r="BP69" s="1096"/>
      <c r="BQ69" s="1096"/>
      <c r="BR69" s="1096"/>
      <c r="BS69" s="1096"/>
      <c r="BT69" s="1096"/>
      <c r="BU69" s="1096"/>
    </row>
    <row r="70" spans="1:73" x14ac:dyDescent="0.25">
      <c r="A70" s="1096"/>
      <c r="B70" s="1108">
        <f t="shared" si="6"/>
        <v>20</v>
      </c>
      <c r="C70" s="1216">
        <f>(C$72=1)*$F$3
+(C$72=2)*$F$3
+(C$72=3)*$F$3
+(C$72=4)*$F$3
+(C$72=5)*$F$3</f>
        <v>1.05</v>
      </c>
      <c r="D70" s="1101">
        <v>1</v>
      </c>
      <c r="E70" s="1101">
        <v>1</v>
      </c>
      <c r="F70" s="1216">
        <f>(F$72=1)*$F$6
+(F$72=2)*$F$6
+(F$72=3)*$F$6
+(F$72=4)*$F$6
+(F$72=5)*$F$6</f>
        <v>0.95</v>
      </c>
      <c r="G70" s="1216">
        <f>(G$72=1)*$F$7
+(G$72=2)*$F$7
+(G$72=3)*$F$7
+(G$72=4)*$F$7
+(G$72=5)*$F$7</f>
        <v>0.95</v>
      </c>
      <c r="H70" s="1216">
        <f>(H$72=1)*$F$8
+(H$72=2)*$F$8
+(H$72=3)*$F$8
+(H$72=4)*$F$8
+(H$72=5)*$F$8</f>
        <v>0.95</v>
      </c>
      <c r="I70" s="1216">
        <f>(I$72=1)*$F$9
+(I$72=2)*$F$9
+(I$72=3)*$F$9
+(I$72=4)*$F$9
+(I$72=5)*$F$9</f>
        <v>0.95</v>
      </c>
      <c r="J70" s="1096"/>
      <c r="K70" s="1114">
        <v>2.0813412584208995</v>
      </c>
      <c r="L70" s="1115">
        <v>0</v>
      </c>
      <c r="M70" s="1115">
        <v>1.3993708019609029E-3</v>
      </c>
      <c r="N70" s="1115">
        <v>0.12714894759445089</v>
      </c>
      <c r="O70" s="1115">
        <v>1.8811627761626707E-2</v>
      </c>
      <c r="P70" s="1115">
        <v>2.4610881659145545E-2</v>
      </c>
      <c r="Q70" s="1115">
        <v>5.2461524904773927E-3</v>
      </c>
      <c r="R70" s="1115">
        <v>1.3786673301354286E-3</v>
      </c>
      <c r="S70" s="1115">
        <v>0.21488786322242054</v>
      </c>
      <c r="T70" s="1115">
        <v>1.2766704751729612</v>
      </c>
      <c r="U70" s="1115">
        <v>0.13597383369908642</v>
      </c>
      <c r="V70" s="1115">
        <v>0.17624957425391435</v>
      </c>
      <c r="W70" s="1115">
        <v>8.3528215096737676E-2</v>
      </c>
      <c r="X70" s="1115">
        <v>1.4482112946837156E-2</v>
      </c>
      <c r="Y70" s="1115">
        <v>3.7522779950654008E-3</v>
      </c>
      <c r="Z70" s="1230"/>
      <c r="AA70" s="1096"/>
      <c r="AB70" s="1096"/>
      <c r="AC70" s="1096"/>
      <c r="AD70" s="1096"/>
      <c r="AE70" s="1096"/>
      <c r="AF70" s="1096"/>
      <c r="AG70" s="1096"/>
      <c r="AH70" s="1096"/>
      <c r="AI70" s="1096"/>
      <c r="AJ70" s="1096"/>
      <c r="AK70" s="1096"/>
      <c r="AL70" s="1096"/>
      <c r="AM70" s="1096"/>
      <c r="AN70" s="1096"/>
      <c r="AO70" s="1096"/>
      <c r="AP70" s="1096"/>
      <c r="AQ70" s="1096"/>
      <c r="AR70" s="1096"/>
      <c r="AS70" s="1096"/>
      <c r="AT70" s="1096"/>
      <c r="AU70" s="1096"/>
      <c r="AV70" s="1096"/>
      <c r="AW70" s="1096"/>
      <c r="AX70" s="1096"/>
      <c r="AY70" s="1096"/>
      <c r="AZ70" s="1096"/>
      <c r="BA70" s="1096"/>
      <c r="BB70" s="1096"/>
      <c r="BC70" s="1096"/>
      <c r="BD70" s="1096"/>
      <c r="BE70" s="1096"/>
      <c r="BF70" s="1096"/>
      <c r="BG70" s="1096"/>
      <c r="BH70" s="1096"/>
      <c r="BI70" s="1096"/>
      <c r="BJ70" s="1096"/>
      <c r="BK70" s="1096"/>
      <c r="BL70" s="1096"/>
      <c r="BM70" s="1096"/>
      <c r="BN70" s="1096"/>
      <c r="BO70" s="1096"/>
      <c r="BP70" s="1096"/>
      <c r="BQ70" s="1096"/>
      <c r="BR70" s="1096"/>
      <c r="BS70" s="1096"/>
      <c r="BT70" s="1096"/>
      <c r="BU70" s="1096"/>
    </row>
    <row r="71" spans="1:73" x14ac:dyDescent="0.25">
      <c r="A71" s="1096"/>
      <c r="B71" s="1096"/>
      <c r="C71" s="1096"/>
      <c r="D71" s="1096"/>
      <c r="E71" s="1096"/>
      <c r="F71" s="1096"/>
      <c r="G71" s="1096"/>
      <c r="H71" s="1096"/>
      <c r="I71" s="1096"/>
      <c r="J71" s="1096"/>
      <c r="K71" s="1096"/>
      <c r="L71" s="1096"/>
      <c r="M71" s="1096"/>
      <c r="N71" s="1096"/>
      <c r="O71" s="1096"/>
      <c r="P71" s="1096"/>
      <c r="Q71" s="1096"/>
      <c r="R71" s="1096"/>
      <c r="S71" s="1096"/>
      <c r="T71" s="1096"/>
      <c r="U71" s="1096"/>
      <c r="V71" s="1096"/>
      <c r="W71" s="1096"/>
      <c r="X71" s="1096"/>
      <c r="Y71" s="1096"/>
      <c r="Z71" s="1096"/>
      <c r="AA71" s="1096"/>
      <c r="AB71" s="1096"/>
      <c r="AC71" s="1096"/>
      <c r="AD71" s="1096"/>
      <c r="AE71" s="1096"/>
      <c r="AF71" s="1096"/>
      <c r="AG71" s="1096"/>
      <c r="AH71" s="1096"/>
      <c r="AI71" s="1096"/>
      <c r="AJ71" s="1096"/>
      <c r="AK71" s="1096"/>
      <c r="AL71" s="1096"/>
      <c r="AM71" s="1096"/>
      <c r="AN71" s="1096"/>
      <c r="AO71" s="1096"/>
      <c r="AP71" s="1096"/>
      <c r="AQ71" s="1096"/>
      <c r="AR71" s="1096"/>
      <c r="AS71" s="1096"/>
      <c r="AT71" s="1096"/>
      <c r="AU71" s="1096"/>
      <c r="AV71" s="1096"/>
      <c r="AW71" s="1096"/>
      <c r="AX71" s="1096"/>
      <c r="AY71" s="1096"/>
      <c r="AZ71" s="1096"/>
      <c r="BA71" s="1096"/>
      <c r="BB71" s="1096"/>
      <c r="BC71" s="1096"/>
      <c r="BD71" s="1096"/>
      <c r="BE71" s="1096"/>
      <c r="BF71" s="1096"/>
      <c r="BG71" s="1096"/>
      <c r="BH71" s="1096"/>
      <c r="BI71" s="1096"/>
      <c r="BJ71" s="1096"/>
      <c r="BK71" s="1096"/>
      <c r="BL71" s="1096"/>
      <c r="BM71" s="1096"/>
      <c r="BN71" s="1096"/>
      <c r="BO71" s="1096"/>
      <c r="BP71" s="1096"/>
      <c r="BQ71" s="1096"/>
      <c r="BR71" s="1096"/>
      <c r="BS71" s="1096"/>
      <c r="BT71" s="1096"/>
      <c r="BU71" s="1096"/>
    </row>
    <row r="72" spans="1:73" x14ac:dyDescent="0.25">
      <c r="A72" s="1096"/>
      <c r="B72" s="1224" t="s">
        <v>1183</v>
      </c>
      <c r="C72" s="1100">
        <f>6-RANK($N$101,($N$101,$N$104:$N$107))</f>
        <v>2</v>
      </c>
      <c r="D72" s="1225"/>
      <c r="E72" s="1225"/>
      <c r="F72" s="1100">
        <f>6-RANK($N$104,($N$101,$N$104:$N$107))</f>
        <v>1</v>
      </c>
      <c r="G72" s="1100">
        <f>6-RANK($N$105,($N$101,$N$104:$N$107))</f>
        <v>5</v>
      </c>
      <c r="H72" s="1100">
        <f>6-RANK($N$106,($N$101,$N$104:$N$107))</f>
        <v>3</v>
      </c>
      <c r="I72" s="1100">
        <f>6-RANK($N$107,($N$101,$N$104:$N$107))</f>
        <v>4</v>
      </c>
      <c r="J72" s="1096"/>
      <c r="K72" s="1096"/>
      <c r="L72" s="1096"/>
      <c r="M72" s="1096"/>
      <c r="N72" s="1096"/>
      <c r="O72" s="1096"/>
      <c r="P72" s="1096"/>
      <c r="Q72" s="1096"/>
      <c r="R72" s="1096"/>
      <c r="S72" s="1096"/>
      <c r="T72" s="1096"/>
      <c r="U72" s="1096"/>
      <c r="V72" s="1096"/>
      <c r="W72" s="1096"/>
      <c r="X72" s="1096"/>
      <c r="Y72" s="1096"/>
      <c r="Z72" s="1096"/>
      <c r="AA72" s="1096"/>
      <c r="AB72" s="1096"/>
      <c r="AC72" s="1096"/>
      <c r="AD72" s="1096"/>
      <c r="AE72" s="1096"/>
      <c r="AF72" s="1096"/>
      <c r="AG72" s="1096"/>
      <c r="AH72" s="1096"/>
      <c r="AI72" s="1096"/>
      <c r="AJ72" s="1096"/>
      <c r="AK72" s="1096"/>
      <c r="AL72" s="1096"/>
      <c r="AM72" s="1096"/>
      <c r="AN72" s="1096"/>
      <c r="AO72" s="1096"/>
      <c r="AP72" s="1096"/>
      <c r="AQ72" s="1096"/>
      <c r="AR72" s="1096"/>
      <c r="AS72" s="1096"/>
      <c r="AT72" s="1096"/>
      <c r="AU72" s="1096"/>
      <c r="AV72" s="1096"/>
      <c r="AW72" s="1096"/>
      <c r="AX72" s="1096"/>
      <c r="AY72" s="1096"/>
      <c r="AZ72" s="1096"/>
      <c r="BA72" s="1096"/>
      <c r="BB72" s="1096"/>
      <c r="BC72" s="1096"/>
      <c r="BD72" s="1096"/>
      <c r="BE72" s="1096"/>
      <c r="BF72" s="1096"/>
      <c r="BG72" s="1096"/>
      <c r="BH72" s="1096"/>
      <c r="BI72" s="1096"/>
      <c r="BJ72" s="1096"/>
      <c r="BK72" s="1096"/>
      <c r="BL72" s="1096"/>
      <c r="BM72" s="1096"/>
      <c r="BN72" s="1096"/>
      <c r="BO72" s="1096"/>
      <c r="BP72" s="1096"/>
      <c r="BQ72" s="1096"/>
      <c r="BR72" s="1096"/>
      <c r="BS72" s="1096"/>
      <c r="BT72" s="1096"/>
      <c r="BU72" s="1096"/>
    </row>
    <row r="73" spans="1:73" x14ac:dyDescent="0.25">
      <c r="A73" s="1096"/>
      <c r="B73" s="1096"/>
      <c r="C73" s="1096"/>
      <c r="D73" s="1096"/>
      <c r="E73" s="1096"/>
      <c r="F73" s="1096"/>
      <c r="G73" s="1096"/>
      <c r="H73" s="1096"/>
      <c r="I73" s="1096"/>
      <c r="J73" s="1096"/>
      <c r="K73" s="1096"/>
      <c r="L73" s="1096"/>
      <c r="M73" s="1096"/>
      <c r="N73" s="1096"/>
      <c r="O73" s="1096"/>
      <c r="P73" s="1096"/>
      <c r="Q73" s="1096"/>
      <c r="R73" s="1096"/>
      <c r="S73" s="1096"/>
      <c r="T73" s="1096"/>
      <c r="U73" s="1096"/>
      <c r="V73" s="1096"/>
      <c r="W73" s="1096"/>
      <c r="X73" s="1096"/>
      <c r="Y73" s="1096"/>
      <c r="Z73" s="1096"/>
      <c r="AA73" s="1096"/>
      <c r="AB73" s="1096"/>
      <c r="AC73" s="1096"/>
      <c r="AD73" s="1096"/>
      <c r="AE73" s="1096"/>
      <c r="AF73" s="1096"/>
      <c r="AG73" s="1096"/>
      <c r="AH73" s="1096"/>
      <c r="AI73" s="1096"/>
      <c r="AJ73" s="1096"/>
      <c r="AK73" s="1096"/>
      <c r="AL73" s="1096"/>
      <c r="AM73" s="1096"/>
      <c r="AN73" s="1096"/>
      <c r="AO73" s="1096"/>
      <c r="AP73" s="1096"/>
      <c r="AQ73" s="1096"/>
      <c r="AR73" s="1096"/>
      <c r="AS73" s="1096"/>
      <c r="AT73" s="1096"/>
      <c r="AU73" s="1096"/>
      <c r="AV73" s="1096"/>
      <c r="AW73" s="1096"/>
      <c r="AX73" s="1096"/>
      <c r="AY73" s="1096"/>
      <c r="AZ73" s="1096"/>
      <c r="BA73" s="1096"/>
      <c r="BB73" s="1096"/>
      <c r="BC73" s="1096"/>
      <c r="BD73" s="1096"/>
      <c r="BE73" s="1096"/>
      <c r="BF73" s="1096"/>
      <c r="BG73" s="1096"/>
      <c r="BH73" s="1096"/>
      <c r="BI73" s="1096"/>
      <c r="BJ73" s="1096"/>
      <c r="BK73" s="1096"/>
      <c r="BL73" s="1096"/>
      <c r="BM73" s="1096"/>
      <c r="BN73" s="1096"/>
      <c r="BO73" s="1096"/>
      <c r="BP73" s="1096"/>
      <c r="BQ73" s="1096"/>
      <c r="BR73" s="1096"/>
      <c r="BS73" s="1096"/>
      <c r="BT73" s="1096"/>
      <c r="BU73" s="1096"/>
    </row>
    <row r="74" spans="1:73" ht="13" x14ac:dyDescent="0.3">
      <c r="A74" s="1096"/>
      <c r="B74" s="1098" t="s">
        <v>1147</v>
      </c>
      <c r="C74" s="1096"/>
      <c r="D74" s="1096"/>
      <c r="E74" s="1096"/>
      <c r="F74" s="1096"/>
      <c r="G74" s="1096"/>
      <c r="H74" s="1096"/>
      <c r="I74" s="1096"/>
      <c r="J74" s="1096"/>
      <c r="K74" s="1096"/>
      <c r="L74" s="1096"/>
      <c r="M74" s="1096"/>
      <c r="N74" s="1096"/>
      <c r="O74" s="1096"/>
      <c r="P74" s="1096"/>
      <c r="Q74" s="1096"/>
      <c r="R74" s="1096"/>
      <c r="S74" s="1096"/>
      <c r="T74" s="1096"/>
      <c r="U74" s="1096"/>
      <c r="V74" s="1096"/>
      <c r="W74" s="1096"/>
      <c r="X74" s="1096"/>
      <c r="Y74" s="1096"/>
      <c r="Z74" s="1096"/>
      <c r="AA74" s="1096"/>
      <c r="AB74" s="1096"/>
      <c r="AC74" s="1096"/>
      <c r="AD74" s="1096"/>
      <c r="AE74" s="1096"/>
      <c r="AF74" s="1096"/>
      <c r="AG74" s="1096"/>
      <c r="AH74" s="1096"/>
      <c r="AI74" s="1096"/>
      <c r="AJ74" s="1096"/>
      <c r="AK74" s="1096"/>
      <c r="AL74" s="1096"/>
      <c r="AM74" s="1096"/>
      <c r="AN74" s="1096"/>
      <c r="AO74" s="1096"/>
      <c r="AP74" s="1096"/>
      <c r="AQ74" s="1096"/>
      <c r="AR74" s="1096"/>
      <c r="AS74" s="1096"/>
      <c r="AT74" s="1096"/>
      <c r="AU74" s="1096"/>
      <c r="AV74" s="1096"/>
      <c r="AW74" s="1096"/>
      <c r="AX74" s="1096"/>
      <c r="AY74" s="1096"/>
      <c r="AZ74" s="1096"/>
      <c r="BA74" s="1096"/>
      <c r="BB74" s="1096"/>
      <c r="BC74" s="1096"/>
      <c r="BD74" s="1096"/>
      <c r="BE74" s="1096"/>
      <c r="BF74" s="1096"/>
      <c r="BG74" s="1096"/>
      <c r="BH74" s="1096"/>
      <c r="BI74" s="1096"/>
      <c r="BJ74" s="1096"/>
      <c r="BK74" s="1096"/>
      <c r="BL74" s="1096"/>
      <c r="BM74" s="1096"/>
      <c r="BN74" s="1096"/>
      <c r="BO74" s="1096"/>
      <c r="BP74" s="1096"/>
      <c r="BQ74" s="1096"/>
      <c r="BR74" s="1096"/>
      <c r="BS74" s="1096"/>
      <c r="BT74" s="1096"/>
      <c r="BU74" s="1096"/>
    </row>
    <row r="75" spans="1:73" x14ac:dyDescent="0.25">
      <c r="A75" s="1096"/>
      <c r="B75" s="1096"/>
      <c r="C75" s="1096"/>
      <c r="D75" s="1096"/>
      <c r="E75" s="1096"/>
      <c r="F75" s="1096"/>
      <c r="G75" s="1096"/>
      <c r="H75" s="1096"/>
      <c r="I75" s="1096"/>
      <c r="J75" s="1096"/>
      <c r="K75" s="1096"/>
      <c r="L75" s="1096"/>
      <c r="M75" s="1096"/>
      <c r="N75" s="1096"/>
      <c r="O75" s="1096"/>
      <c r="P75" s="1096"/>
      <c r="Q75" s="1096"/>
      <c r="R75" s="1096"/>
      <c r="S75" s="1096"/>
      <c r="T75" s="1096"/>
      <c r="U75" s="1096"/>
      <c r="V75" s="1096"/>
      <c r="W75" s="1096"/>
      <c r="X75" s="1096"/>
      <c r="Y75" s="1096"/>
      <c r="Z75" s="1096"/>
      <c r="AA75" s="1096"/>
      <c r="AB75" s="1096"/>
      <c r="AC75" s="1096"/>
      <c r="AD75" s="1096"/>
      <c r="AE75" s="1096"/>
      <c r="AF75" s="1096"/>
      <c r="AG75" s="1096"/>
      <c r="AH75" s="1096"/>
      <c r="AI75" s="1096"/>
      <c r="AJ75" s="1096"/>
      <c r="AK75" s="1096"/>
      <c r="AL75" s="1096"/>
      <c r="AM75" s="1096"/>
      <c r="AN75" s="1096"/>
      <c r="AO75" s="1096"/>
      <c r="AP75" s="1096"/>
      <c r="AQ75" s="1096"/>
      <c r="AR75" s="1096"/>
      <c r="AS75" s="1096"/>
      <c r="AT75" s="1096"/>
      <c r="AU75" s="1096"/>
      <c r="AV75" s="1096"/>
      <c r="AW75" s="1096"/>
      <c r="AX75" s="1096"/>
      <c r="AY75" s="1096"/>
      <c r="AZ75" s="1096"/>
      <c r="BA75" s="1096"/>
      <c r="BB75" s="1096"/>
      <c r="BC75" s="1096"/>
      <c r="BD75" s="1096"/>
      <c r="BE75" s="1096"/>
      <c r="BF75" s="1096"/>
      <c r="BG75" s="1096"/>
      <c r="BH75" s="1096"/>
      <c r="BI75" s="1096"/>
      <c r="BJ75" s="1096"/>
      <c r="BK75" s="1096"/>
      <c r="BL75" s="1096"/>
      <c r="BM75" s="1096"/>
      <c r="BN75" s="1096"/>
      <c r="BO75" s="1096"/>
      <c r="BP75" s="1096"/>
      <c r="BQ75" s="1096"/>
      <c r="BR75" s="1096"/>
      <c r="BS75" s="1096"/>
      <c r="BT75" s="1096"/>
      <c r="BU75" s="1096"/>
    </row>
    <row r="76" spans="1:73" ht="52" x14ac:dyDescent="0.3">
      <c r="A76" s="1096"/>
      <c r="B76" s="1107" t="s">
        <v>1144</v>
      </c>
      <c r="C76" s="1107" t="s">
        <v>1145</v>
      </c>
      <c r="D76" s="1107" t="s">
        <v>1146</v>
      </c>
      <c r="E76" s="1107" t="s">
        <v>1133</v>
      </c>
      <c r="F76" s="1107" t="s">
        <v>1134</v>
      </c>
      <c r="G76" s="1107" t="s">
        <v>993</v>
      </c>
      <c r="H76" s="1107" t="s">
        <v>122</v>
      </c>
      <c r="I76" s="1107" t="s">
        <v>123</v>
      </c>
      <c r="J76" s="1107" t="s">
        <v>1172</v>
      </c>
      <c r="K76" s="1107" t="s">
        <v>135</v>
      </c>
      <c r="L76" s="1107" t="s">
        <v>84</v>
      </c>
      <c r="M76" s="1107" t="s">
        <v>136</v>
      </c>
      <c r="N76" s="1107" t="s">
        <v>1132</v>
      </c>
      <c r="O76" s="1107" t="s">
        <v>137</v>
      </c>
      <c r="P76" s="1107" t="s">
        <v>138</v>
      </c>
      <c r="Q76" s="1107" t="s">
        <v>139</v>
      </c>
      <c r="R76" s="1107" t="s">
        <v>1138</v>
      </c>
      <c r="S76" s="1107" t="s">
        <v>45</v>
      </c>
      <c r="T76" s="1096"/>
      <c r="U76" s="1096"/>
      <c r="V76" s="1096"/>
      <c r="W76" s="1096"/>
      <c r="X76" s="1096"/>
      <c r="Y76" s="1096"/>
      <c r="Z76" s="1096"/>
      <c r="AA76" s="1096"/>
      <c r="AB76" s="1096"/>
      <c r="AC76" s="1096"/>
      <c r="AD76" s="1096"/>
      <c r="AE76" s="1096"/>
      <c r="AF76" s="1096"/>
      <c r="AG76" s="1096"/>
      <c r="AH76" s="1096"/>
      <c r="AI76" s="1096"/>
      <c r="AJ76" s="1096"/>
      <c r="AK76" s="1096"/>
      <c r="AL76" s="1096"/>
      <c r="AM76" s="1096"/>
      <c r="AN76" s="1096"/>
      <c r="AO76" s="1096"/>
      <c r="AP76" s="1096"/>
      <c r="AQ76" s="1096"/>
      <c r="AR76" s="1096"/>
      <c r="AS76" s="1096"/>
      <c r="AT76" s="1096"/>
      <c r="AU76" s="1096"/>
      <c r="AV76" s="1096"/>
      <c r="AW76" s="1096"/>
      <c r="AX76" s="1096"/>
      <c r="AY76" s="1096"/>
      <c r="AZ76" s="1096"/>
      <c r="BA76" s="1096"/>
      <c r="BB76" s="1096"/>
      <c r="BC76" s="1096"/>
      <c r="BD76" s="1096"/>
      <c r="BE76" s="1096"/>
      <c r="BF76" s="1096"/>
      <c r="BG76" s="1096"/>
      <c r="BH76" s="1096"/>
      <c r="BI76" s="1096"/>
      <c r="BJ76" s="1096"/>
      <c r="BK76" s="1096"/>
      <c r="BL76" s="1096"/>
      <c r="BM76" s="1096"/>
      <c r="BN76" s="1096"/>
      <c r="BO76" s="1096"/>
      <c r="BP76" s="1096"/>
      <c r="BQ76" s="1096"/>
      <c r="BR76" s="1096"/>
      <c r="BS76" s="1096"/>
      <c r="BT76" s="1096"/>
      <c r="BU76" s="1096"/>
    </row>
    <row r="77" spans="1:73" x14ac:dyDescent="0.25">
      <c r="A77" s="1096"/>
      <c r="B77" s="1100" t="str">
        <f>+$B$3</f>
        <v>Operating Capacity Factor</v>
      </c>
      <c r="C77" s="1109">
        <f ca="1">+H3</f>
        <v>0.94500000000000006</v>
      </c>
      <c r="D77" s="1109" t="str">
        <f ca="1">+B77&amp;" = "&amp;C77*100&amp;"%"</f>
        <v>Operating Capacity Factor = 94.5%</v>
      </c>
      <c r="E77" s="1113">
        <f t="shared" ref="E77:S77" si="7">+K52</f>
        <v>2.1824300916819852</v>
      </c>
      <c r="F77" s="1113">
        <f t="shared" si="7"/>
        <v>0</v>
      </c>
      <c r="G77" s="1113">
        <f t="shared" si="7"/>
        <v>1.4730218968009509E-3</v>
      </c>
      <c r="H77" s="1113">
        <f t="shared" si="7"/>
        <v>0.13394149209985468</v>
      </c>
      <c r="I77" s="1113">
        <f t="shared" si="7"/>
        <v>1.8811627761626707E-2</v>
      </c>
      <c r="J77" s="1113">
        <f t="shared" si="7"/>
        <v>2.5811144183943691E-2</v>
      </c>
      <c r="K77" s="1113">
        <f t="shared" si="7"/>
        <v>5.2461524904773927E-3</v>
      </c>
      <c r="L77" s="1113">
        <f t="shared" si="7"/>
        <v>1.4523184249754762E-3</v>
      </c>
      <c r="M77" s="1113">
        <f t="shared" si="7"/>
        <v>0.23001371000613122</v>
      </c>
      <c r="N77" s="1113">
        <f t="shared" si="7"/>
        <v>1.3438636580768006</v>
      </c>
      <c r="O77" s="1113">
        <f t="shared" si="7"/>
        <v>0.13597383369908642</v>
      </c>
      <c r="P77" s="1113">
        <f t="shared" si="7"/>
        <v>0.18190137909228016</v>
      </c>
      <c r="Q77" s="1113">
        <f t="shared" si="7"/>
        <v>8.7990455085630012E-2</v>
      </c>
      <c r="R77" s="1113">
        <f t="shared" si="7"/>
        <v>1.494461066183474E-2</v>
      </c>
      <c r="S77" s="1113">
        <f t="shared" si="7"/>
        <v>3.9527319961431212E-3</v>
      </c>
      <c r="T77" s="1096"/>
      <c r="U77" s="1096"/>
      <c r="V77" s="1096"/>
      <c r="W77" s="1096"/>
      <c r="X77" s="1096"/>
      <c r="Y77" s="1096"/>
      <c r="Z77" s="1096"/>
      <c r="AA77" s="1096"/>
      <c r="AB77" s="1096"/>
      <c r="AC77" s="1096"/>
      <c r="AD77" s="1096"/>
      <c r="AE77" s="1096"/>
      <c r="AF77" s="1096"/>
      <c r="AG77" s="1096"/>
      <c r="AH77" s="1096"/>
      <c r="AI77" s="1096"/>
      <c r="AJ77" s="1096"/>
      <c r="AK77" s="1096"/>
      <c r="AL77" s="1096"/>
      <c r="AM77" s="1096"/>
      <c r="AN77" s="1096"/>
      <c r="AO77" s="1096"/>
      <c r="AP77" s="1096"/>
      <c r="AQ77" s="1096"/>
      <c r="AR77" s="1096"/>
      <c r="AS77" s="1096"/>
      <c r="AT77" s="1096"/>
      <c r="AU77" s="1096"/>
      <c r="AV77" s="1096"/>
      <c r="AW77" s="1096"/>
      <c r="AX77" s="1096"/>
      <c r="AY77" s="1096"/>
      <c r="AZ77" s="1096"/>
      <c r="BA77" s="1096"/>
      <c r="BB77" s="1096"/>
      <c r="BC77" s="1096"/>
      <c r="BD77" s="1096"/>
      <c r="BE77" s="1096"/>
      <c r="BF77" s="1096"/>
      <c r="BG77" s="1096"/>
      <c r="BH77" s="1096"/>
      <c r="BI77" s="1096"/>
      <c r="BJ77" s="1096"/>
      <c r="BK77" s="1096"/>
      <c r="BL77" s="1096"/>
      <c r="BM77" s="1096"/>
      <c r="BN77" s="1096"/>
      <c r="BO77" s="1096"/>
      <c r="BP77" s="1096"/>
      <c r="BQ77" s="1096"/>
      <c r="BR77" s="1096"/>
      <c r="BS77" s="1096"/>
      <c r="BT77" s="1096"/>
      <c r="BU77" s="1096"/>
    </row>
    <row r="78" spans="1:73" x14ac:dyDescent="0.25">
      <c r="A78" s="1096"/>
      <c r="B78" s="1100" t="str">
        <f t="shared" ref="B78:B79" si="8">+$B$3</f>
        <v>Operating Capacity Factor</v>
      </c>
      <c r="C78" s="1109">
        <f ca="1">+C3</f>
        <v>0.9</v>
      </c>
      <c r="D78" s="1100" t="str">
        <f t="shared" ref="D78:D79" ca="1" si="9">+B78&amp;" = "&amp;C78*100&amp;"%"</f>
        <v>Operating Capacity Factor = 90%</v>
      </c>
      <c r="E78" s="1113">
        <f t="shared" ref="E78:S78" si="10">+K$51</f>
        <v>2.2167386276561176</v>
      </c>
      <c r="F78" s="1113">
        <f t="shared" si="10"/>
        <v>0</v>
      </c>
      <c r="G78" s="1113">
        <f t="shared" si="10"/>
        <v>1.5466729916409979E-3</v>
      </c>
      <c r="H78" s="1113">
        <f t="shared" si="10"/>
        <v>0.14063856670484737</v>
      </c>
      <c r="I78" s="1113">
        <f t="shared" si="10"/>
        <v>1.9752209149708037E-2</v>
      </c>
      <c r="J78" s="1113">
        <f t="shared" si="10"/>
        <v>2.6099437030722344E-2</v>
      </c>
      <c r="K78" s="1113">
        <f t="shared" si="10"/>
        <v>5.5084601150012609E-3</v>
      </c>
      <c r="L78" s="1113">
        <f t="shared" si="10"/>
        <v>1.5249343462242497E-3</v>
      </c>
      <c r="M78" s="1113">
        <f t="shared" si="10"/>
        <v>0.24151439550643775</v>
      </c>
      <c r="N78" s="1113">
        <f t="shared" si="10"/>
        <v>1.3438636580768006</v>
      </c>
      <c r="O78" s="1113">
        <f t="shared" si="10"/>
        <v>0.14277252538404067</v>
      </c>
      <c r="P78" s="1113">
        <f t="shared" si="10"/>
        <v>0.18472633156029178</v>
      </c>
      <c r="Q78" s="1113">
        <f t="shared" si="10"/>
        <v>9.2389977839911513E-2</v>
      </c>
      <c r="R78" s="1113">
        <f t="shared" si="10"/>
        <v>1.5344436337820982E-2</v>
      </c>
      <c r="S78" s="1113">
        <f t="shared" si="10"/>
        <v>4.1503685959502759E-3</v>
      </c>
      <c r="T78" s="1096"/>
      <c r="U78" s="1096"/>
      <c r="V78" s="1096"/>
      <c r="W78" s="1096"/>
      <c r="X78" s="1096"/>
      <c r="Y78" s="1096"/>
      <c r="Z78" s="1096"/>
      <c r="AA78" s="1096"/>
      <c r="AB78" s="1096"/>
      <c r="AC78" s="1096"/>
      <c r="AD78" s="1096"/>
      <c r="AE78" s="1096"/>
      <c r="AF78" s="1096"/>
      <c r="AG78" s="1096"/>
      <c r="AH78" s="1096"/>
      <c r="AI78" s="1096"/>
      <c r="AJ78" s="1096"/>
      <c r="AK78" s="1096"/>
      <c r="AL78" s="1096"/>
      <c r="AM78" s="1096"/>
      <c r="AN78" s="1096"/>
      <c r="AO78" s="1096"/>
      <c r="AP78" s="1096"/>
      <c r="AQ78" s="1096"/>
      <c r="AR78" s="1096"/>
      <c r="AS78" s="1096"/>
      <c r="AT78" s="1096"/>
      <c r="AU78" s="1096"/>
      <c r="AV78" s="1096"/>
      <c r="AW78" s="1096"/>
      <c r="AX78" s="1096"/>
      <c r="AY78" s="1096"/>
      <c r="AZ78" s="1096"/>
      <c r="BA78" s="1096"/>
      <c r="BB78" s="1096"/>
      <c r="BC78" s="1096"/>
      <c r="BD78" s="1096"/>
      <c r="BE78" s="1096"/>
      <c r="BF78" s="1096"/>
      <c r="BG78" s="1096"/>
      <c r="BH78" s="1096"/>
      <c r="BI78" s="1096"/>
      <c r="BJ78" s="1096"/>
      <c r="BK78" s="1096"/>
      <c r="BL78" s="1096"/>
      <c r="BM78" s="1096"/>
      <c r="BN78" s="1096"/>
      <c r="BO78" s="1096"/>
      <c r="BP78" s="1096"/>
      <c r="BQ78" s="1096"/>
      <c r="BR78" s="1096"/>
      <c r="BS78" s="1096"/>
      <c r="BT78" s="1096"/>
      <c r="BU78" s="1096"/>
    </row>
    <row r="79" spans="1:73" x14ac:dyDescent="0.25">
      <c r="A79" s="1096"/>
      <c r="B79" s="1100" t="str">
        <f t="shared" si="8"/>
        <v>Operating Capacity Factor</v>
      </c>
      <c r="C79" s="1109">
        <f ca="1">+I3</f>
        <v>0.85499999999999998</v>
      </c>
      <c r="D79" s="1100" t="str">
        <f t="shared" ca="1" si="9"/>
        <v>Operating Capacity Factor = 85.5%</v>
      </c>
      <c r="E79" s="1113">
        <f t="shared" ref="E79:S80" si="11">+K53</f>
        <v>2.2546585884696331</v>
      </c>
      <c r="F79" s="1113">
        <f t="shared" si="11"/>
        <v>0</v>
      </c>
      <c r="G79" s="1113">
        <f t="shared" si="11"/>
        <v>1.6280768333063137E-3</v>
      </c>
      <c r="H79" s="1113">
        <f t="shared" si="11"/>
        <v>0.14804059653141827</v>
      </c>
      <c r="I79" s="1113">
        <f t="shared" si="11"/>
        <v>2.0791799104955828E-2</v>
      </c>
      <c r="J79" s="1113">
        <f t="shared" si="11"/>
        <v>2.641807649295138E-2</v>
      </c>
      <c r="K79" s="1113">
        <f t="shared" si="11"/>
        <v>5.7983790684223791E-3</v>
      </c>
      <c r="L79" s="1113">
        <f t="shared" si="11"/>
        <v>1.6051940486571049E-3</v>
      </c>
      <c r="M79" s="1113">
        <f t="shared" si="11"/>
        <v>0.25422567948046076</v>
      </c>
      <c r="N79" s="1113">
        <f t="shared" si="11"/>
        <v>1.3438636580768006</v>
      </c>
      <c r="O79" s="1113">
        <f t="shared" si="11"/>
        <v>0.15028686882530598</v>
      </c>
      <c r="P79" s="1113">
        <f t="shared" si="11"/>
        <v>0.18784864744598892</v>
      </c>
      <c r="Q79" s="1113">
        <f t="shared" si="11"/>
        <v>9.7252608252538439E-2</v>
      </c>
      <c r="R79" s="1113">
        <f t="shared" si="11"/>
        <v>1.5786348927068879E-2</v>
      </c>
      <c r="S79" s="1113">
        <f t="shared" si="11"/>
        <v>4.3688090483687114E-3</v>
      </c>
      <c r="T79" s="1096"/>
      <c r="U79" s="1096"/>
      <c r="V79" s="1096"/>
      <c r="W79" s="1096"/>
      <c r="X79" s="1096"/>
      <c r="Y79" s="1096"/>
      <c r="Z79" s="1096"/>
      <c r="AA79" s="1096"/>
      <c r="AB79" s="1096"/>
      <c r="AC79" s="1096"/>
      <c r="AD79" s="1096"/>
      <c r="AE79" s="1096"/>
      <c r="AF79" s="1096"/>
      <c r="AG79" s="1096"/>
      <c r="AH79" s="1096"/>
      <c r="AI79" s="1096"/>
      <c r="AJ79" s="1096"/>
      <c r="AK79" s="1096"/>
      <c r="AL79" s="1096"/>
      <c r="AM79" s="1096"/>
      <c r="AN79" s="1096"/>
      <c r="AO79" s="1096"/>
      <c r="AP79" s="1096"/>
      <c r="AQ79" s="1096"/>
      <c r="AR79" s="1096"/>
      <c r="AS79" s="1096"/>
      <c r="AT79" s="1096"/>
      <c r="AU79" s="1096"/>
      <c r="AV79" s="1096"/>
      <c r="AW79" s="1096"/>
      <c r="AX79" s="1096"/>
      <c r="AY79" s="1096"/>
      <c r="AZ79" s="1096"/>
      <c r="BA79" s="1096"/>
      <c r="BB79" s="1096"/>
      <c r="BC79" s="1096"/>
      <c r="BD79" s="1096"/>
      <c r="BE79" s="1096"/>
      <c r="BF79" s="1096"/>
      <c r="BG79" s="1096"/>
      <c r="BH79" s="1096"/>
      <c r="BI79" s="1096"/>
      <c r="BJ79" s="1096"/>
      <c r="BK79" s="1096"/>
      <c r="BL79" s="1096"/>
      <c r="BM79" s="1096"/>
      <c r="BN79" s="1096"/>
      <c r="BO79" s="1096"/>
      <c r="BP79" s="1096"/>
      <c r="BQ79" s="1096"/>
      <c r="BR79" s="1096"/>
      <c r="BS79" s="1096"/>
      <c r="BT79" s="1096"/>
      <c r="BU79" s="1096"/>
    </row>
    <row r="80" spans="1:73" x14ac:dyDescent="0.25">
      <c r="A80" s="1096"/>
      <c r="B80" s="1100" t="str">
        <f>+$B$4</f>
        <v>Plant Design Capacity (kg of H2/day)</v>
      </c>
      <c r="C80" s="1118">
        <f ca="1">ROUND(H4,0)</f>
        <v>162496</v>
      </c>
      <c r="D80" s="1100" t="str">
        <f ca="1">+B80&amp;" = "&amp;TEXT(C80,"0,000")</f>
        <v>Plant Design Capacity (kg of H2/day) = 162,496</v>
      </c>
      <c r="E80" s="1113">
        <f t="shared" si="11"/>
        <v>2.2079946666505683</v>
      </c>
      <c r="F80" s="1113">
        <f t="shared" si="11"/>
        <v>0</v>
      </c>
      <c r="G80" s="1113">
        <f t="shared" si="11"/>
        <v>1.5301600394281465E-3</v>
      </c>
      <c r="H80" s="1113">
        <f t="shared" si="11"/>
        <v>0.1391370483206561</v>
      </c>
      <c r="I80" s="1113">
        <f t="shared" si="11"/>
        <v>1.9541325991115268E-2</v>
      </c>
      <c r="J80" s="1113">
        <f t="shared" si="11"/>
        <v>2.6020702114283225E-2</v>
      </c>
      <c r="K80" s="1113">
        <f t="shared" si="11"/>
        <v>5.4496494037927423E-3</v>
      </c>
      <c r="L80" s="1113">
        <f t="shared" si="11"/>
        <v>1.5086534852258168E-3</v>
      </c>
      <c r="M80" s="1113">
        <f t="shared" si="11"/>
        <v>0.23574538589790345</v>
      </c>
      <c r="N80" s="1113">
        <f t="shared" si="11"/>
        <v>1.3438636580768006</v>
      </c>
      <c r="O80" s="1113">
        <f t="shared" si="11"/>
        <v>0.14277252538404078</v>
      </c>
      <c r="P80" s="1113">
        <f t="shared" si="11"/>
        <v>0.18472633156029181</v>
      </c>
      <c r="Q80" s="1113">
        <f t="shared" si="11"/>
        <v>9.1403582333387398E-2</v>
      </c>
      <c r="R80" s="1113">
        <f t="shared" si="11"/>
        <v>1.5249906663201503E-2</v>
      </c>
      <c r="S80" s="1113">
        <f t="shared" si="11"/>
        <v>4.1060574592969284E-3</v>
      </c>
      <c r="T80" s="1096"/>
      <c r="U80" s="1096"/>
      <c r="V80" s="1096"/>
      <c r="W80" s="1096"/>
      <c r="X80" s="1096"/>
      <c r="Y80" s="1096"/>
      <c r="Z80" s="1096"/>
      <c r="AA80" s="1096"/>
      <c r="AB80" s="1096"/>
      <c r="AC80" s="1096"/>
      <c r="AD80" s="1096"/>
      <c r="AE80" s="1096"/>
      <c r="AF80" s="1096"/>
      <c r="AG80" s="1096"/>
      <c r="AH80" s="1096"/>
      <c r="AI80" s="1096"/>
      <c r="AJ80" s="1096"/>
      <c r="AK80" s="1096"/>
      <c r="AL80" s="1096"/>
      <c r="AM80" s="1096"/>
      <c r="AN80" s="1096"/>
      <c r="AO80" s="1096"/>
      <c r="AP80" s="1096"/>
      <c r="AQ80" s="1096"/>
      <c r="AR80" s="1096"/>
      <c r="AS80" s="1096"/>
      <c r="AT80" s="1096"/>
      <c r="AU80" s="1096"/>
      <c r="AV80" s="1096"/>
      <c r="AW80" s="1096"/>
      <c r="AX80" s="1096"/>
      <c r="AY80" s="1096"/>
      <c r="AZ80" s="1096"/>
      <c r="BA80" s="1096"/>
      <c r="BB80" s="1096"/>
      <c r="BC80" s="1096"/>
      <c r="BD80" s="1096"/>
      <c r="BE80" s="1096"/>
      <c r="BF80" s="1096"/>
      <c r="BG80" s="1096"/>
      <c r="BH80" s="1096"/>
      <c r="BI80" s="1096"/>
      <c r="BJ80" s="1096"/>
      <c r="BK80" s="1096"/>
      <c r="BL80" s="1096"/>
      <c r="BM80" s="1096"/>
      <c r="BN80" s="1096"/>
      <c r="BO80" s="1096"/>
      <c r="BP80" s="1096"/>
      <c r="BQ80" s="1096"/>
      <c r="BR80" s="1096"/>
      <c r="BS80" s="1096"/>
      <c r="BT80" s="1096"/>
      <c r="BU80" s="1096"/>
    </row>
    <row r="81" spans="1:73" x14ac:dyDescent="0.25">
      <c r="A81" s="1096"/>
      <c r="B81" s="1100" t="str">
        <f t="shared" ref="B81:B82" si="12">+$B$4</f>
        <v>Plant Design Capacity (kg of H2/day)</v>
      </c>
      <c r="C81" s="1118">
        <f ca="1">+ROUND(C4,0)</f>
        <v>154758</v>
      </c>
      <c r="D81" s="1100" t="str">
        <f t="shared" ref="D81:D82" ca="1" si="13">+B81&amp;" = "&amp;TEXT(C81,"0,000")</f>
        <v>Plant Design Capacity (kg of H2/day) = 154,758</v>
      </c>
      <c r="E81" s="1113">
        <f t="shared" ref="E81:S81" si="14">+K$51</f>
        <v>2.2167386276561176</v>
      </c>
      <c r="F81" s="1113">
        <f t="shared" si="14"/>
        <v>0</v>
      </c>
      <c r="G81" s="1113">
        <f t="shared" si="14"/>
        <v>1.5466729916409979E-3</v>
      </c>
      <c r="H81" s="1113">
        <f t="shared" si="14"/>
        <v>0.14063856670484737</v>
      </c>
      <c r="I81" s="1113">
        <f t="shared" si="14"/>
        <v>1.9752209149708037E-2</v>
      </c>
      <c r="J81" s="1113">
        <f t="shared" si="14"/>
        <v>2.6099437030722344E-2</v>
      </c>
      <c r="K81" s="1113">
        <f t="shared" si="14"/>
        <v>5.5084601150012609E-3</v>
      </c>
      <c r="L81" s="1113">
        <f t="shared" si="14"/>
        <v>1.5249343462242497E-3</v>
      </c>
      <c r="M81" s="1113">
        <f t="shared" si="14"/>
        <v>0.24151439550643775</v>
      </c>
      <c r="N81" s="1113">
        <f t="shared" si="14"/>
        <v>1.3438636580768006</v>
      </c>
      <c r="O81" s="1113">
        <f t="shared" si="14"/>
        <v>0.14277252538404067</v>
      </c>
      <c r="P81" s="1113">
        <f t="shared" si="14"/>
        <v>0.18472633156029178</v>
      </c>
      <c r="Q81" s="1113">
        <f t="shared" si="14"/>
        <v>9.2389977839911513E-2</v>
      </c>
      <c r="R81" s="1113">
        <f t="shared" si="14"/>
        <v>1.5344436337820982E-2</v>
      </c>
      <c r="S81" s="1113">
        <f t="shared" si="14"/>
        <v>4.1503685959502759E-3</v>
      </c>
      <c r="T81" s="1096"/>
      <c r="U81" s="1096"/>
      <c r="V81" s="1096"/>
      <c r="W81" s="1096"/>
      <c r="X81" s="1096"/>
      <c r="Y81" s="1096"/>
      <c r="Z81" s="1096"/>
      <c r="AA81" s="1096"/>
      <c r="AB81" s="1096"/>
      <c r="AC81" s="1096"/>
      <c r="AD81" s="1096"/>
      <c r="AE81" s="1096"/>
      <c r="AF81" s="1096"/>
      <c r="AG81" s="1096"/>
      <c r="AH81" s="1096"/>
      <c r="AI81" s="1096"/>
      <c r="AJ81" s="1096"/>
      <c r="AK81" s="1096"/>
      <c r="AL81" s="1096"/>
      <c r="AM81" s="1096"/>
      <c r="AN81" s="1096"/>
      <c r="AO81" s="1096"/>
      <c r="AP81" s="1096"/>
      <c r="AQ81" s="1096"/>
      <c r="AR81" s="1096"/>
      <c r="AS81" s="1096"/>
      <c r="AT81" s="1096"/>
      <c r="AU81" s="1096"/>
      <c r="AV81" s="1096"/>
      <c r="AW81" s="1096"/>
      <c r="AX81" s="1096"/>
      <c r="AY81" s="1096"/>
      <c r="AZ81" s="1096"/>
      <c r="BA81" s="1096"/>
      <c r="BB81" s="1096"/>
      <c r="BC81" s="1096"/>
      <c r="BD81" s="1096"/>
      <c r="BE81" s="1096"/>
      <c r="BF81" s="1096"/>
      <c r="BG81" s="1096"/>
      <c r="BH81" s="1096"/>
      <c r="BI81" s="1096"/>
      <c r="BJ81" s="1096"/>
      <c r="BK81" s="1096"/>
      <c r="BL81" s="1096"/>
      <c r="BM81" s="1096"/>
      <c r="BN81" s="1096"/>
      <c r="BO81" s="1096"/>
      <c r="BP81" s="1096"/>
      <c r="BQ81" s="1096"/>
      <c r="BR81" s="1096"/>
      <c r="BS81" s="1096"/>
      <c r="BT81" s="1096"/>
      <c r="BU81" s="1096"/>
    </row>
    <row r="82" spans="1:73" x14ac:dyDescent="0.25">
      <c r="A82" s="1096"/>
      <c r="B82" s="1100" t="str">
        <f t="shared" si="12"/>
        <v>Plant Design Capacity (kg of H2/day)</v>
      </c>
      <c r="C82" s="1118">
        <f ca="1">ROUND(I4,0)</f>
        <v>147020</v>
      </c>
      <c r="D82" s="1100" t="str">
        <f t="shared" ca="1" si="13"/>
        <v>Plant Design Capacity (kg of H2/day) = 147,020</v>
      </c>
      <c r="E82" s="1113">
        <f t="shared" ref="E82:S83" si="15">+K55</f>
        <v>2.2262031117305749</v>
      </c>
      <c r="F82" s="1113">
        <f t="shared" si="15"/>
        <v>0</v>
      </c>
      <c r="G82" s="1113">
        <f t="shared" si="15"/>
        <v>1.5642253098439708E-3</v>
      </c>
      <c r="H82" s="1113">
        <f t="shared" si="15"/>
        <v>0.1422345943640583</v>
      </c>
      <c r="I82" s="1113">
        <f t="shared" si="15"/>
        <v>1.9976365815067215E-2</v>
      </c>
      <c r="J82" s="1113">
        <f t="shared" si="15"/>
        <v>2.618540808866025E-2</v>
      </c>
      <c r="K82" s="1113">
        <f t="shared" si="15"/>
        <v>5.5709725176031222E-3</v>
      </c>
      <c r="L82" s="1113">
        <f t="shared" si="15"/>
        <v>1.5422399648186314E-3</v>
      </c>
      <c r="M82" s="1113">
        <f t="shared" si="15"/>
        <v>0.24781360660273866</v>
      </c>
      <c r="N82" s="1113">
        <f t="shared" si="15"/>
        <v>1.3438636580768006</v>
      </c>
      <c r="O82" s="1113">
        <f t="shared" si="15"/>
        <v>0.14277252538404064</v>
      </c>
      <c r="P82" s="1113">
        <f t="shared" si="15"/>
        <v>0.18472633156029178</v>
      </c>
      <c r="Q82" s="1113">
        <f t="shared" si="15"/>
        <v>9.3438459515466699E-2</v>
      </c>
      <c r="R82" s="1113">
        <f t="shared" si="15"/>
        <v>1.5445706365903495E-2</v>
      </c>
      <c r="S82" s="1113">
        <f t="shared" si="15"/>
        <v>4.1974687849685478E-3</v>
      </c>
      <c r="T82" s="1096"/>
      <c r="U82" s="1096"/>
      <c r="V82" s="1096"/>
      <c r="W82" s="1096"/>
      <c r="X82" s="1096"/>
      <c r="Y82" s="1096"/>
      <c r="Z82" s="1096"/>
      <c r="AA82" s="1096"/>
      <c r="AB82" s="1096"/>
      <c r="AC82" s="1096"/>
      <c r="AD82" s="1096"/>
      <c r="AE82" s="1096"/>
      <c r="AF82" s="1096"/>
      <c r="AG82" s="1096"/>
      <c r="AH82" s="1096"/>
      <c r="AI82" s="1096"/>
      <c r="AJ82" s="1096"/>
      <c r="AK82" s="1096"/>
      <c r="AL82" s="1096"/>
      <c r="AM82" s="1096"/>
      <c r="AN82" s="1096"/>
      <c r="AO82" s="1096"/>
      <c r="AP82" s="1096"/>
      <c r="AQ82" s="1096"/>
      <c r="AR82" s="1096"/>
      <c r="AS82" s="1096"/>
      <c r="AT82" s="1096"/>
      <c r="AU82" s="1096"/>
      <c r="AV82" s="1096"/>
      <c r="AW82" s="1096"/>
      <c r="AX82" s="1096"/>
      <c r="AY82" s="1096"/>
      <c r="AZ82" s="1096"/>
      <c r="BA82" s="1096"/>
      <c r="BB82" s="1096"/>
      <c r="BC82" s="1096"/>
      <c r="BD82" s="1096"/>
      <c r="BE82" s="1096"/>
      <c r="BF82" s="1096"/>
      <c r="BG82" s="1096"/>
      <c r="BH82" s="1096"/>
      <c r="BI82" s="1096"/>
      <c r="BJ82" s="1096"/>
      <c r="BK82" s="1096"/>
      <c r="BL82" s="1096"/>
      <c r="BM82" s="1096"/>
      <c r="BN82" s="1096"/>
      <c r="BO82" s="1096"/>
      <c r="BP82" s="1096"/>
      <c r="BQ82" s="1096"/>
      <c r="BR82" s="1096"/>
      <c r="BS82" s="1096"/>
      <c r="BT82" s="1096"/>
      <c r="BU82" s="1096"/>
    </row>
    <row r="83" spans="1:73" x14ac:dyDescent="0.25">
      <c r="A83" s="1096"/>
      <c r="B83" s="1100" t="str">
        <f>+$B$5</f>
        <v>After-tax Real IRR</v>
      </c>
      <c r="C83" s="1109">
        <f ca="1">+ROUND(H5,2)</f>
        <v>0.08</v>
      </c>
      <c r="D83" s="1100" t="str">
        <f t="shared" ref="D83:D85" ca="1" si="16">+B83&amp;" = "&amp;C83*100&amp;"%"</f>
        <v>After-tax Real IRR = 8%</v>
      </c>
      <c r="E83" s="1113">
        <f t="shared" si="15"/>
        <v>2.205335690619278</v>
      </c>
      <c r="F83" s="1113">
        <f t="shared" si="15"/>
        <v>0</v>
      </c>
      <c r="G83" s="1113">
        <f t="shared" si="15"/>
        <v>1.7149954931616677E-3</v>
      </c>
      <c r="H83" s="1113">
        <f t="shared" si="15"/>
        <v>0.13404273818872198</v>
      </c>
      <c r="I83" s="1113">
        <f t="shared" si="15"/>
        <v>1.97211031288273E-2</v>
      </c>
      <c r="J83" s="1113">
        <f t="shared" si="15"/>
        <v>2.5115075446980821E-2</v>
      </c>
      <c r="K83" s="1113">
        <f t="shared" si="15"/>
        <v>5.2265168619412125E-3</v>
      </c>
      <c r="L83" s="1113">
        <f t="shared" si="15"/>
        <v>1.6908910579522521E-3</v>
      </c>
      <c r="M83" s="1113">
        <f t="shared" si="15"/>
        <v>0.24113405567848833</v>
      </c>
      <c r="N83" s="1113">
        <f t="shared" si="15"/>
        <v>1.343811550131246</v>
      </c>
      <c r="O83" s="1113">
        <f t="shared" si="15"/>
        <v>0.14265787991692264</v>
      </c>
      <c r="P83" s="1113">
        <f t="shared" si="15"/>
        <v>0.18468450468186071</v>
      </c>
      <c r="Q83" s="1113">
        <f t="shared" si="15"/>
        <v>9.0767160485627357E-2</v>
      </c>
      <c r="R83" s="1113">
        <f t="shared" si="15"/>
        <v>1.3597162476211237E-2</v>
      </c>
      <c r="S83" s="1113">
        <f t="shared" si="15"/>
        <v>4.602048057658582E-3</v>
      </c>
      <c r="T83" s="1096"/>
      <c r="U83" s="1096"/>
      <c r="V83" s="1096"/>
      <c r="W83" s="1096"/>
      <c r="X83" s="1096"/>
      <c r="Y83" s="1096"/>
      <c r="Z83" s="1096"/>
      <c r="AA83" s="1096"/>
      <c r="AB83" s="1096"/>
      <c r="AC83" s="1096"/>
      <c r="AD83" s="1096"/>
      <c r="AE83" s="1096"/>
      <c r="AF83" s="1096"/>
      <c r="AG83" s="1096"/>
      <c r="AH83" s="1096"/>
      <c r="AI83" s="1096"/>
      <c r="AJ83" s="1096"/>
      <c r="AK83" s="1096"/>
      <c r="AL83" s="1096"/>
      <c r="AM83" s="1096"/>
      <c r="AN83" s="1096"/>
      <c r="AO83" s="1096"/>
      <c r="AP83" s="1096"/>
      <c r="AQ83" s="1096"/>
      <c r="AR83" s="1096"/>
      <c r="AS83" s="1096"/>
      <c r="AT83" s="1096"/>
      <c r="AU83" s="1096"/>
      <c r="AV83" s="1096"/>
      <c r="AW83" s="1096"/>
      <c r="AX83" s="1096"/>
      <c r="AY83" s="1096"/>
      <c r="AZ83" s="1096"/>
      <c r="BA83" s="1096"/>
      <c r="BB83" s="1096"/>
      <c r="BC83" s="1096"/>
      <c r="BD83" s="1096"/>
      <c r="BE83" s="1096"/>
      <c r="BF83" s="1096"/>
      <c r="BG83" s="1096"/>
      <c r="BH83" s="1096"/>
      <c r="BI83" s="1096"/>
      <c r="BJ83" s="1096"/>
      <c r="BK83" s="1096"/>
      <c r="BL83" s="1096"/>
      <c r="BM83" s="1096"/>
      <c r="BN83" s="1096"/>
      <c r="BO83" s="1096"/>
      <c r="BP83" s="1096"/>
      <c r="BQ83" s="1096"/>
      <c r="BR83" s="1096"/>
      <c r="BS83" s="1096"/>
      <c r="BT83" s="1096"/>
      <c r="BU83" s="1096"/>
    </row>
    <row r="84" spans="1:73" x14ac:dyDescent="0.25">
      <c r="A84" s="1096"/>
      <c r="B84" s="1100" t="str">
        <f t="shared" ref="B84:B85" si="17">+$B$5</f>
        <v>After-tax Real IRR</v>
      </c>
      <c r="C84" s="1109">
        <f ca="1">ROUND(C5,2)</f>
        <v>0.08</v>
      </c>
      <c r="D84" s="1100" t="str">
        <f t="shared" ca="1" si="16"/>
        <v>After-tax Real IRR = 8%</v>
      </c>
      <c r="E84" s="1113">
        <f t="shared" ref="E84:S84" si="18">+K$51</f>
        <v>2.2167386276561176</v>
      </c>
      <c r="F84" s="1113">
        <f t="shared" si="18"/>
        <v>0</v>
      </c>
      <c r="G84" s="1113">
        <f t="shared" si="18"/>
        <v>1.5466729916409979E-3</v>
      </c>
      <c r="H84" s="1113">
        <f t="shared" si="18"/>
        <v>0.14063856670484737</v>
      </c>
      <c r="I84" s="1113">
        <f t="shared" si="18"/>
        <v>1.9752209149708037E-2</v>
      </c>
      <c r="J84" s="1113">
        <f t="shared" si="18"/>
        <v>2.6099437030722344E-2</v>
      </c>
      <c r="K84" s="1113">
        <f t="shared" si="18"/>
        <v>5.5084601150012609E-3</v>
      </c>
      <c r="L84" s="1113">
        <f t="shared" si="18"/>
        <v>1.5249343462242497E-3</v>
      </c>
      <c r="M84" s="1113">
        <f t="shared" si="18"/>
        <v>0.24151439550643775</v>
      </c>
      <c r="N84" s="1113">
        <f t="shared" si="18"/>
        <v>1.3438636580768006</v>
      </c>
      <c r="O84" s="1113">
        <f t="shared" si="18"/>
        <v>0.14277252538404067</v>
      </c>
      <c r="P84" s="1113">
        <f t="shared" si="18"/>
        <v>0.18472633156029178</v>
      </c>
      <c r="Q84" s="1113">
        <f t="shared" si="18"/>
        <v>9.2389977839911513E-2</v>
      </c>
      <c r="R84" s="1113">
        <f t="shared" si="18"/>
        <v>1.5344436337820982E-2</v>
      </c>
      <c r="S84" s="1113">
        <f t="shared" si="18"/>
        <v>4.1503685959502759E-3</v>
      </c>
      <c r="T84" s="1096"/>
      <c r="U84" s="1096"/>
      <c r="V84" s="1096"/>
      <c r="W84" s="1096"/>
      <c r="X84" s="1096"/>
      <c r="Y84" s="1096"/>
      <c r="Z84" s="1096"/>
      <c r="AA84" s="1096"/>
      <c r="AB84" s="1096"/>
      <c r="AC84" s="1096"/>
      <c r="AD84" s="1096"/>
      <c r="AE84" s="1096"/>
      <c r="AF84" s="1096"/>
      <c r="AG84" s="1096"/>
      <c r="AH84" s="1096"/>
      <c r="AI84" s="1096"/>
      <c r="AJ84" s="1096"/>
      <c r="AK84" s="1096"/>
      <c r="AL84" s="1096"/>
      <c r="AM84" s="1096"/>
      <c r="AN84" s="1096"/>
      <c r="AO84" s="1096"/>
      <c r="AP84" s="1096"/>
      <c r="AQ84" s="1096"/>
      <c r="AR84" s="1096"/>
      <c r="AS84" s="1096"/>
      <c r="AT84" s="1096"/>
      <c r="AU84" s="1096"/>
      <c r="AV84" s="1096"/>
      <c r="AW84" s="1096"/>
      <c r="AX84" s="1096"/>
      <c r="AY84" s="1096"/>
      <c r="AZ84" s="1096"/>
      <c r="BA84" s="1096"/>
      <c r="BB84" s="1096"/>
      <c r="BC84" s="1096"/>
      <c r="BD84" s="1096"/>
      <c r="BE84" s="1096"/>
      <c r="BF84" s="1096"/>
      <c r="BG84" s="1096"/>
      <c r="BH84" s="1096"/>
      <c r="BI84" s="1096"/>
      <c r="BJ84" s="1096"/>
      <c r="BK84" s="1096"/>
      <c r="BL84" s="1096"/>
      <c r="BM84" s="1096"/>
      <c r="BN84" s="1096"/>
      <c r="BO84" s="1096"/>
      <c r="BP84" s="1096"/>
      <c r="BQ84" s="1096"/>
      <c r="BR84" s="1096"/>
      <c r="BS84" s="1096"/>
      <c r="BT84" s="1096"/>
      <c r="BU84" s="1096"/>
    </row>
    <row r="85" spans="1:73" x14ac:dyDescent="0.25">
      <c r="A85" s="1096"/>
      <c r="B85" s="1100" t="str">
        <f t="shared" si="17"/>
        <v>After-tax Real IRR</v>
      </c>
      <c r="C85" s="1109">
        <f ca="1">ROUND(I5,2)</f>
        <v>0.08</v>
      </c>
      <c r="D85" s="1100" t="str">
        <f t="shared" ca="1" si="16"/>
        <v>After-tax Real IRR = 8%</v>
      </c>
      <c r="E85" s="1113">
        <f t="shared" ref="E85:S86" si="19">+K57</f>
        <v>2.2284637392413571</v>
      </c>
      <c r="F85" s="1113">
        <f t="shared" si="19"/>
        <v>0</v>
      </c>
      <c r="G85" s="1113">
        <f t="shared" si="19"/>
        <v>1.3937486012075278E-3</v>
      </c>
      <c r="H85" s="1113">
        <f t="shared" si="19"/>
        <v>0.14735845589148644</v>
      </c>
      <c r="I85" s="1113">
        <f t="shared" si="19"/>
        <v>1.9783560005659239E-2</v>
      </c>
      <c r="J85" s="1113">
        <f t="shared" si="19"/>
        <v>2.7077906387511601E-2</v>
      </c>
      <c r="K85" s="1113">
        <f t="shared" si="19"/>
        <v>5.7976003418830826E-3</v>
      </c>
      <c r="L85" s="1113">
        <f t="shared" si="19"/>
        <v>1.3741593235738667E-3</v>
      </c>
      <c r="M85" s="1113">
        <f t="shared" si="19"/>
        <v>0.241897728984039</v>
      </c>
      <c r="N85" s="1113">
        <f t="shared" si="19"/>
        <v>1.3439700413750468</v>
      </c>
      <c r="O85" s="1113">
        <f t="shared" si="19"/>
        <v>0.14288807322408301</v>
      </c>
      <c r="P85" s="1113">
        <f t="shared" si="19"/>
        <v>0.1847723834845291</v>
      </c>
      <c r="Q85" s="1113">
        <f t="shared" si="19"/>
        <v>9.4024281194763387E-2</v>
      </c>
      <c r="R85" s="1113">
        <f t="shared" si="19"/>
        <v>1.7173288942718395E-2</v>
      </c>
      <c r="S85" s="1113">
        <f t="shared" si="19"/>
        <v>3.7400086872687939E-3</v>
      </c>
      <c r="T85" s="1096"/>
      <c r="U85" s="1096"/>
      <c r="V85" s="1096"/>
      <c r="W85" s="1096"/>
      <c r="X85" s="1096"/>
      <c r="Y85" s="1096"/>
      <c r="Z85" s="1096"/>
      <c r="AA85" s="1096"/>
      <c r="AB85" s="1096"/>
      <c r="AC85" s="1096"/>
      <c r="AD85" s="1096"/>
      <c r="AE85" s="1096"/>
      <c r="AF85" s="1096"/>
      <c r="AG85" s="1096"/>
      <c r="AH85" s="1096"/>
      <c r="AI85" s="1096"/>
      <c r="AJ85" s="1096"/>
      <c r="AK85" s="1096"/>
      <c r="AL85" s="1096"/>
      <c r="AM85" s="1096"/>
      <c r="AN85" s="1096"/>
      <c r="AO85" s="1096"/>
      <c r="AP85" s="1096"/>
      <c r="AQ85" s="1096"/>
      <c r="AR85" s="1096"/>
      <c r="AS85" s="1096"/>
      <c r="AT85" s="1096"/>
      <c r="AU85" s="1096"/>
      <c r="AV85" s="1096"/>
      <c r="AW85" s="1096"/>
      <c r="AX85" s="1096"/>
      <c r="AY85" s="1096"/>
      <c r="AZ85" s="1096"/>
      <c r="BA85" s="1096"/>
      <c r="BB85" s="1096"/>
      <c r="BC85" s="1096"/>
      <c r="BD85" s="1096"/>
      <c r="BE85" s="1096"/>
      <c r="BF85" s="1096"/>
      <c r="BG85" s="1096"/>
      <c r="BH85" s="1096"/>
      <c r="BI85" s="1096"/>
      <c r="BJ85" s="1096"/>
      <c r="BK85" s="1096"/>
      <c r="BL85" s="1096"/>
      <c r="BM85" s="1096"/>
      <c r="BN85" s="1096"/>
      <c r="BO85" s="1096"/>
      <c r="BP85" s="1096"/>
      <c r="BQ85" s="1096"/>
      <c r="BR85" s="1096"/>
      <c r="BS85" s="1096"/>
      <c r="BT85" s="1096"/>
      <c r="BU85" s="1096"/>
    </row>
    <row r="86" spans="1:73" x14ac:dyDescent="0.25">
      <c r="A86" s="1096"/>
      <c r="B86" s="1100" t="str">
        <f>+$B$6</f>
        <v>Feedstock Consumption (% of baseline)</v>
      </c>
      <c r="C86" s="1100">
        <f>+ROUND(H6,3)</f>
        <v>0.95</v>
      </c>
      <c r="D86" s="1099" t="str">
        <f>+B86&amp;" = "&amp;C86*100&amp;"%"</f>
        <v>Feedstock Consumption (% of baseline) = 95%</v>
      </c>
      <c r="E86" s="1121">
        <f t="shared" si="19"/>
        <v>2.1483109780849343</v>
      </c>
      <c r="F86" s="1113">
        <f t="shared" si="19"/>
        <v>0</v>
      </c>
      <c r="G86" s="1113">
        <f t="shared" si="19"/>
        <v>1.5466729916409979E-3</v>
      </c>
      <c r="H86" s="1113">
        <f t="shared" si="19"/>
        <v>0.14063856670484737</v>
      </c>
      <c r="I86" s="1113">
        <f t="shared" si="19"/>
        <v>1.9752209149708037E-2</v>
      </c>
      <c r="J86" s="1113">
        <f t="shared" si="19"/>
        <v>2.5182722083553606E-2</v>
      </c>
      <c r="K86" s="1113">
        <f t="shared" si="19"/>
        <v>5.5084601150012609E-3</v>
      </c>
      <c r="L86" s="1113">
        <f t="shared" si="19"/>
        <v>1.5249343462242497E-3</v>
      </c>
      <c r="M86" s="1113">
        <f t="shared" si="19"/>
        <v>0.24151439550643775</v>
      </c>
      <c r="N86" s="1113">
        <f t="shared" si="19"/>
        <v>1.2766704751729607</v>
      </c>
      <c r="O86" s="1113">
        <f t="shared" si="19"/>
        <v>0.14277252538404067</v>
      </c>
      <c r="P86" s="1113">
        <f t="shared" si="19"/>
        <v>0.18472633156029178</v>
      </c>
      <c r="Q86" s="1113">
        <f t="shared" si="19"/>
        <v>9.2389977839911513E-2</v>
      </c>
      <c r="R86" s="1113">
        <f t="shared" si="19"/>
        <v>1.5026684617646946E-2</v>
      </c>
      <c r="S86" s="1113">
        <f t="shared" si="19"/>
        <v>4.1503685959502759E-3</v>
      </c>
      <c r="T86" s="1096"/>
      <c r="U86" s="1096"/>
      <c r="V86" s="1096"/>
      <c r="W86" s="1096"/>
      <c r="X86" s="1096"/>
      <c r="Y86" s="1096"/>
      <c r="Z86" s="1096"/>
      <c r="AA86" s="1096"/>
      <c r="AB86" s="1096"/>
      <c r="AC86" s="1096"/>
      <c r="AD86" s="1096"/>
      <c r="AE86" s="1096"/>
      <c r="AF86" s="1096"/>
      <c r="AG86" s="1096"/>
      <c r="AH86" s="1096"/>
      <c r="AI86" s="1096"/>
      <c r="AJ86" s="1096"/>
      <c r="AK86" s="1096"/>
      <c r="AL86" s="1096"/>
      <c r="AM86" s="1096"/>
      <c r="AN86" s="1096"/>
      <c r="AO86" s="1096"/>
      <c r="AP86" s="1096"/>
      <c r="AQ86" s="1096"/>
      <c r="AR86" s="1096"/>
      <c r="AS86" s="1096"/>
      <c r="AT86" s="1096"/>
      <c r="AU86" s="1096"/>
      <c r="AV86" s="1096"/>
      <c r="AW86" s="1096"/>
      <c r="AX86" s="1096"/>
      <c r="AY86" s="1096"/>
      <c r="AZ86" s="1096"/>
      <c r="BA86" s="1096"/>
      <c r="BB86" s="1096"/>
      <c r="BC86" s="1096"/>
      <c r="BD86" s="1096"/>
      <c r="BE86" s="1096"/>
      <c r="BF86" s="1096"/>
      <c r="BG86" s="1096"/>
      <c r="BH86" s="1096"/>
      <c r="BI86" s="1096"/>
      <c r="BJ86" s="1096"/>
      <c r="BK86" s="1096"/>
      <c r="BL86" s="1096"/>
      <c r="BM86" s="1096"/>
      <c r="BN86" s="1096"/>
      <c r="BO86" s="1096"/>
      <c r="BP86" s="1096"/>
      <c r="BQ86" s="1096"/>
      <c r="BR86" s="1096"/>
      <c r="BS86" s="1096"/>
      <c r="BT86" s="1096"/>
      <c r="BU86" s="1096"/>
    </row>
    <row r="87" spans="1:73" x14ac:dyDescent="0.25">
      <c r="A87" s="1096"/>
      <c r="B87" s="1100" t="str">
        <f t="shared" ref="B87:B88" si="20">+$B$6</f>
        <v>Feedstock Consumption (% of baseline)</v>
      </c>
      <c r="C87" s="1100">
        <f>+ROUND(C6,3)</f>
        <v>1</v>
      </c>
      <c r="D87" s="1099" t="str">
        <f>+B87&amp;" = "&amp;C87*100&amp;"%"</f>
        <v>Feedstock Consumption (% of baseline) = 100%</v>
      </c>
      <c r="E87" s="1121">
        <f t="shared" ref="E87:S87" si="21">+K$51</f>
        <v>2.2167386276561176</v>
      </c>
      <c r="F87" s="1113">
        <f t="shared" si="21"/>
        <v>0</v>
      </c>
      <c r="G87" s="1113">
        <f t="shared" si="21"/>
        <v>1.5466729916409979E-3</v>
      </c>
      <c r="H87" s="1113">
        <f t="shared" si="21"/>
        <v>0.14063856670484737</v>
      </c>
      <c r="I87" s="1113">
        <f t="shared" si="21"/>
        <v>1.9752209149708037E-2</v>
      </c>
      <c r="J87" s="1113">
        <f t="shared" si="21"/>
        <v>2.6099437030722344E-2</v>
      </c>
      <c r="K87" s="1113">
        <f t="shared" si="21"/>
        <v>5.5084601150012609E-3</v>
      </c>
      <c r="L87" s="1113">
        <f t="shared" si="21"/>
        <v>1.5249343462242497E-3</v>
      </c>
      <c r="M87" s="1113">
        <f t="shared" si="21"/>
        <v>0.24151439550643775</v>
      </c>
      <c r="N87" s="1113">
        <f t="shared" si="21"/>
        <v>1.3438636580768006</v>
      </c>
      <c r="O87" s="1113">
        <f t="shared" si="21"/>
        <v>0.14277252538404067</v>
      </c>
      <c r="P87" s="1113">
        <f t="shared" si="21"/>
        <v>0.18472633156029178</v>
      </c>
      <c r="Q87" s="1113">
        <f t="shared" si="21"/>
        <v>9.2389977839911513E-2</v>
      </c>
      <c r="R87" s="1113">
        <f t="shared" si="21"/>
        <v>1.5344436337820982E-2</v>
      </c>
      <c r="S87" s="1113">
        <f t="shared" si="21"/>
        <v>4.1503685959502759E-3</v>
      </c>
      <c r="T87" s="1096"/>
      <c r="U87" s="1096"/>
      <c r="V87" s="1096"/>
      <c r="W87" s="1096"/>
      <c r="X87" s="1096"/>
      <c r="Y87" s="1096"/>
      <c r="Z87" s="1096"/>
      <c r="AA87" s="1096"/>
      <c r="AB87" s="1096"/>
      <c r="AC87" s="1096"/>
      <c r="AD87" s="1096"/>
      <c r="AE87" s="1096"/>
      <c r="AF87" s="1096"/>
      <c r="AG87" s="1096"/>
      <c r="AH87" s="1096"/>
      <c r="AI87" s="1096"/>
      <c r="AJ87" s="1096"/>
      <c r="AK87" s="1096"/>
      <c r="AL87" s="1096"/>
      <c r="AM87" s="1096"/>
      <c r="AN87" s="1096"/>
      <c r="AO87" s="1096"/>
      <c r="AP87" s="1096"/>
      <c r="AQ87" s="1096"/>
      <c r="AR87" s="1096"/>
      <c r="AS87" s="1096"/>
      <c r="AT87" s="1096"/>
      <c r="AU87" s="1096"/>
      <c r="AV87" s="1096"/>
      <c r="AW87" s="1096"/>
      <c r="AX87" s="1096"/>
      <c r="AY87" s="1096"/>
      <c r="AZ87" s="1096"/>
      <c r="BA87" s="1096"/>
      <c r="BB87" s="1096"/>
      <c r="BC87" s="1096"/>
      <c r="BD87" s="1096"/>
      <c r="BE87" s="1096"/>
      <c r="BF87" s="1096"/>
      <c r="BG87" s="1096"/>
      <c r="BH87" s="1096"/>
      <c r="BI87" s="1096"/>
      <c r="BJ87" s="1096"/>
      <c r="BK87" s="1096"/>
      <c r="BL87" s="1096"/>
      <c r="BM87" s="1096"/>
      <c r="BN87" s="1096"/>
      <c r="BO87" s="1096"/>
      <c r="BP87" s="1096"/>
      <c r="BQ87" s="1096"/>
      <c r="BR87" s="1096"/>
      <c r="BS87" s="1096"/>
      <c r="BT87" s="1096"/>
      <c r="BU87" s="1096"/>
    </row>
    <row r="88" spans="1:73" x14ac:dyDescent="0.25">
      <c r="A88" s="1096"/>
      <c r="B88" s="1100" t="str">
        <f t="shared" si="20"/>
        <v>Feedstock Consumption (% of baseline)</v>
      </c>
      <c r="C88" s="1100">
        <f>+ROUND(I6,3)</f>
        <v>1.05</v>
      </c>
      <c r="D88" s="1099" t="str">
        <f>+B88&amp;" = "&amp;C88*100&amp;"%"</f>
        <v>Feedstock Consumption (% of baseline) = 105%</v>
      </c>
      <c r="E88" s="1121">
        <f t="shared" ref="E88:S89" si="22">+K59</f>
        <v>2.2851662772273</v>
      </c>
      <c r="F88" s="1113">
        <f t="shared" si="22"/>
        <v>0</v>
      </c>
      <c r="G88" s="1113">
        <f t="shared" si="22"/>
        <v>1.5466729916409979E-3</v>
      </c>
      <c r="H88" s="1113">
        <f t="shared" si="22"/>
        <v>0.14063856670484737</v>
      </c>
      <c r="I88" s="1113">
        <f t="shared" si="22"/>
        <v>1.9752209149708037E-2</v>
      </c>
      <c r="J88" s="1113">
        <f t="shared" si="22"/>
        <v>2.7016151977891079E-2</v>
      </c>
      <c r="K88" s="1113">
        <f t="shared" si="22"/>
        <v>5.5084601150012609E-3</v>
      </c>
      <c r="L88" s="1113">
        <f t="shared" si="22"/>
        <v>1.5249343462242497E-3</v>
      </c>
      <c r="M88" s="1113">
        <f t="shared" si="22"/>
        <v>0.24151439550643775</v>
      </c>
      <c r="N88" s="1113">
        <f t="shared" si="22"/>
        <v>1.4110568409806403</v>
      </c>
      <c r="O88" s="1113">
        <f t="shared" si="22"/>
        <v>0.14277252538404067</v>
      </c>
      <c r="P88" s="1113">
        <f t="shared" si="22"/>
        <v>0.18472633156029178</v>
      </c>
      <c r="Q88" s="1113">
        <f t="shared" si="22"/>
        <v>9.2389977839911513E-2</v>
      </c>
      <c r="R88" s="1113">
        <f t="shared" si="22"/>
        <v>1.5662188057994856E-2</v>
      </c>
      <c r="S88" s="1113">
        <f t="shared" si="22"/>
        <v>4.1503685959502759E-3</v>
      </c>
      <c r="T88" s="1096"/>
      <c r="U88" s="1096"/>
      <c r="V88" s="1096"/>
      <c r="W88" s="1096"/>
      <c r="X88" s="1096"/>
      <c r="Y88" s="1096"/>
      <c r="Z88" s="1096"/>
      <c r="AA88" s="1096"/>
      <c r="AB88" s="1096"/>
      <c r="AC88" s="1096"/>
      <c r="AD88" s="1096"/>
      <c r="AE88" s="1096"/>
      <c r="AF88" s="1096"/>
      <c r="AG88" s="1096"/>
      <c r="AH88" s="1096"/>
      <c r="AI88" s="1096"/>
      <c r="AJ88" s="1096"/>
      <c r="AK88" s="1096"/>
      <c r="AL88" s="1096"/>
      <c r="AM88" s="1096"/>
      <c r="AN88" s="1096"/>
      <c r="AO88" s="1096"/>
      <c r="AP88" s="1096"/>
      <c r="AQ88" s="1096"/>
      <c r="AR88" s="1096"/>
      <c r="AS88" s="1096"/>
      <c r="AT88" s="1096"/>
      <c r="AU88" s="1096"/>
      <c r="AV88" s="1096"/>
      <c r="AW88" s="1096"/>
      <c r="AX88" s="1096"/>
      <c r="AY88" s="1096"/>
      <c r="AZ88" s="1096"/>
      <c r="BA88" s="1096"/>
      <c r="BB88" s="1096"/>
      <c r="BC88" s="1096"/>
      <c r="BD88" s="1096"/>
      <c r="BE88" s="1096"/>
      <c r="BF88" s="1096"/>
      <c r="BG88" s="1096"/>
      <c r="BH88" s="1096"/>
      <c r="BI88" s="1096"/>
      <c r="BJ88" s="1096"/>
      <c r="BK88" s="1096"/>
      <c r="BL88" s="1096"/>
      <c r="BM88" s="1096"/>
      <c r="BN88" s="1096"/>
      <c r="BO88" s="1096"/>
      <c r="BP88" s="1096"/>
      <c r="BQ88" s="1096"/>
      <c r="BR88" s="1096"/>
      <c r="BS88" s="1096"/>
      <c r="BT88" s="1096"/>
      <c r="BU88" s="1096"/>
    </row>
    <row r="89" spans="1:73" x14ac:dyDescent="0.25">
      <c r="A89" s="1096"/>
      <c r="B89" s="1100" t="str">
        <f>+$B$7</f>
        <v>Utilities Consumption (% of baseline)</v>
      </c>
      <c r="C89" s="1100">
        <f>+ROUND(H7,3)</f>
        <v>0.95</v>
      </c>
      <c r="D89" s="1099" t="str">
        <f t="shared" ref="D89:D91" si="23">+B89&amp;" = "&amp;C89*100&amp;"%"</f>
        <v>Utilities Consumption (% of baseline) = 95%</v>
      </c>
      <c r="E89" s="1121">
        <f t="shared" si="22"/>
        <v>2.2109829830632637</v>
      </c>
      <c r="F89" s="1121">
        <f t="shared" si="22"/>
        <v>0</v>
      </c>
      <c r="G89" s="1121">
        <f t="shared" si="22"/>
        <v>1.5466729916409979E-3</v>
      </c>
      <c r="H89" s="1121">
        <f t="shared" si="22"/>
        <v>0.14063856670484737</v>
      </c>
      <c r="I89" s="1121">
        <f t="shared" si="22"/>
        <v>1.9752209149708037E-2</v>
      </c>
      <c r="J89" s="1121">
        <f t="shared" si="22"/>
        <v>2.6022325629039771E-2</v>
      </c>
      <c r="K89" s="1121">
        <f t="shared" si="22"/>
        <v>5.5084601150012609E-3</v>
      </c>
      <c r="L89" s="1121">
        <f t="shared" si="22"/>
        <v>1.5249343462242497E-3</v>
      </c>
      <c r="M89" s="1121">
        <f t="shared" si="22"/>
        <v>0.24151439550643775</v>
      </c>
      <c r="N89" s="1121">
        <f t="shared" si="22"/>
        <v>1.3438636580768006</v>
      </c>
      <c r="O89" s="1121">
        <f t="shared" si="22"/>
        <v>0.14277252538404067</v>
      </c>
      <c r="P89" s="1121">
        <f t="shared" si="22"/>
        <v>0.17907452672192606</v>
      </c>
      <c r="Q89" s="1121">
        <f t="shared" si="22"/>
        <v>9.2389977839911513E-2</v>
      </c>
      <c r="R89" s="1121">
        <f t="shared" si="22"/>
        <v>1.5317707985015864E-2</v>
      </c>
      <c r="S89" s="1121">
        <f t="shared" si="22"/>
        <v>4.1503685959502759E-3</v>
      </c>
      <c r="T89" s="1096"/>
      <c r="U89" s="1096"/>
      <c r="V89" s="1096"/>
      <c r="W89" s="1096"/>
      <c r="X89" s="1096"/>
      <c r="Y89" s="1096"/>
      <c r="Z89" s="1096"/>
      <c r="AA89" s="1096"/>
      <c r="AB89" s="1096"/>
      <c r="AC89" s="1096"/>
      <c r="AD89" s="1096"/>
      <c r="AE89" s="1096"/>
      <c r="AF89" s="1096"/>
      <c r="AG89" s="1096"/>
      <c r="AH89" s="1096"/>
      <c r="AI89" s="1096"/>
      <c r="AJ89" s="1096"/>
      <c r="AK89" s="1096"/>
      <c r="AL89" s="1096"/>
      <c r="AM89" s="1096"/>
      <c r="AN89" s="1096"/>
      <c r="AO89" s="1096"/>
      <c r="AP89" s="1096"/>
      <c r="AQ89" s="1096"/>
      <c r="AR89" s="1096"/>
      <c r="AS89" s="1096"/>
      <c r="AT89" s="1096"/>
      <c r="AU89" s="1096"/>
      <c r="AV89" s="1096"/>
      <c r="AW89" s="1096"/>
      <c r="AX89" s="1096"/>
      <c r="AY89" s="1096"/>
      <c r="AZ89" s="1096"/>
      <c r="BA89" s="1096"/>
      <c r="BB89" s="1096"/>
      <c r="BC89" s="1096"/>
      <c r="BD89" s="1096"/>
      <c r="BE89" s="1096"/>
      <c r="BF89" s="1096"/>
      <c r="BG89" s="1096"/>
      <c r="BH89" s="1096"/>
      <c r="BI89" s="1096"/>
      <c r="BJ89" s="1096"/>
      <c r="BK89" s="1096"/>
      <c r="BL89" s="1096"/>
      <c r="BM89" s="1096"/>
      <c r="BN89" s="1096"/>
      <c r="BO89" s="1096"/>
      <c r="BP89" s="1096"/>
      <c r="BQ89" s="1096"/>
      <c r="BR89" s="1096"/>
      <c r="BS89" s="1096"/>
      <c r="BT89" s="1096"/>
      <c r="BU89" s="1096"/>
    </row>
    <row r="90" spans="1:73" x14ac:dyDescent="0.25">
      <c r="A90" s="1096"/>
      <c r="B90" s="1100" t="str">
        <f t="shared" ref="B90:B91" si="24">+$B$7</f>
        <v>Utilities Consumption (% of baseline)</v>
      </c>
      <c r="C90" s="1100">
        <f>+ROUND(C7,3)</f>
        <v>1</v>
      </c>
      <c r="D90" s="1099" t="str">
        <f t="shared" si="23"/>
        <v>Utilities Consumption (% of baseline) = 100%</v>
      </c>
      <c r="E90" s="1121">
        <f>+K$51</f>
        <v>2.2167386276561176</v>
      </c>
      <c r="F90" s="1121">
        <f t="shared" ref="F90:S90" si="25">+L$51</f>
        <v>0</v>
      </c>
      <c r="G90" s="1121">
        <f t="shared" si="25"/>
        <v>1.5466729916409979E-3</v>
      </c>
      <c r="H90" s="1121">
        <f t="shared" si="25"/>
        <v>0.14063856670484737</v>
      </c>
      <c r="I90" s="1121">
        <f t="shared" si="25"/>
        <v>1.9752209149708037E-2</v>
      </c>
      <c r="J90" s="1121">
        <f t="shared" si="25"/>
        <v>2.6099437030722344E-2</v>
      </c>
      <c r="K90" s="1121">
        <f t="shared" si="25"/>
        <v>5.5084601150012609E-3</v>
      </c>
      <c r="L90" s="1121">
        <f t="shared" si="25"/>
        <v>1.5249343462242497E-3</v>
      </c>
      <c r="M90" s="1121">
        <f t="shared" si="25"/>
        <v>0.24151439550643775</v>
      </c>
      <c r="N90" s="1121">
        <f t="shared" si="25"/>
        <v>1.3438636580768006</v>
      </c>
      <c r="O90" s="1121">
        <f t="shared" si="25"/>
        <v>0.14277252538404067</v>
      </c>
      <c r="P90" s="1121">
        <f t="shared" si="25"/>
        <v>0.18472633156029178</v>
      </c>
      <c r="Q90" s="1121">
        <f t="shared" si="25"/>
        <v>9.2389977839911513E-2</v>
      </c>
      <c r="R90" s="1121">
        <f t="shared" si="25"/>
        <v>1.5344436337820982E-2</v>
      </c>
      <c r="S90" s="1121">
        <f t="shared" si="25"/>
        <v>4.1503685959502759E-3</v>
      </c>
      <c r="T90" s="1096"/>
      <c r="U90" s="1096"/>
      <c r="V90" s="1096"/>
      <c r="W90" s="1096"/>
      <c r="X90" s="1096"/>
      <c r="Y90" s="1096"/>
      <c r="Z90" s="1096"/>
      <c r="AA90" s="1096"/>
      <c r="AB90" s="1096"/>
      <c r="AC90" s="1096"/>
      <c r="AD90" s="1096"/>
      <c r="AE90" s="1096"/>
      <c r="AF90" s="1096"/>
      <c r="AG90" s="1096"/>
      <c r="AH90" s="1096"/>
      <c r="AI90" s="1096"/>
      <c r="AJ90" s="1096"/>
      <c r="AK90" s="1096"/>
      <c r="AL90" s="1096"/>
      <c r="AM90" s="1096"/>
      <c r="AN90" s="1096"/>
      <c r="AO90" s="1096"/>
      <c r="AP90" s="1096"/>
      <c r="AQ90" s="1096"/>
      <c r="AR90" s="1096"/>
      <c r="AS90" s="1096"/>
      <c r="AT90" s="1096"/>
      <c r="AU90" s="1096"/>
      <c r="AV90" s="1096"/>
      <c r="AW90" s="1096"/>
      <c r="AX90" s="1096"/>
      <c r="AY90" s="1096"/>
      <c r="AZ90" s="1096"/>
      <c r="BA90" s="1096"/>
      <c r="BB90" s="1096"/>
      <c r="BC90" s="1096"/>
      <c r="BD90" s="1096"/>
      <c r="BE90" s="1096"/>
      <c r="BF90" s="1096"/>
      <c r="BG90" s="1096"/>
      <c r="BH90" s="1096"/>
      <c r="BI90" s="1096"/>
      <c r="BJ90" s="1096"/>
      <c r="BK90" s="1096"/>
      <c r="BL90" s="1096"/>
      <c r="BM90" s="1096"/>
      <c r="BN90" s="1096"/>
      <c r="BO90" s="1096"/>
      <c r="BP90" s="1096"/>
      <c r="BQ90" s="1096"/>
      <c r="BR90" s="1096"/>
      <c r="BS90" s="1096"/>
      <c r="BT90" s="1096"/>
      <c r="BU90" s="1096"/>
    </row>
    <row r="91" spans="1:73" x14ac:dyDescent="0.25">
      <c r="A91" s="1096"/>
      <c r="B91" s="1100" t="str">
        <f t="shared" si="24"/>
        <v>Utilities Consumption (% of baseline)</v>
      </c>
      <c r="C91" s="1100">
        <f>+ROUND(I7,3)</f>
        <v>1.05</v>
      </c>
      <c r="D91" s="1099" t="str">
        <f t="shared" si="23"/>
        <v>Utilities Consumption (% of baseline) = 105%</v>
      </c>
      <c r="E91" s="1121">
        <f t="shared" ref="E91:S92" si="26">+K61</f>
        <v>2.2224942722489707</v>
      </c>
      <c r="F91" s="1121">
        <f t="shared" si="26"/>
        <v>0</v>
      </c>
      <c r="G91" s="1121">
        <f t="shared" si="26"/>
        <v>1.5466729916409979E-3</v>
      </c>
      <c r="H91" s="1121">
        <f t="shared" si="26"/>
        <v>0.14063856670484737</v>
      </c>
      <c r="I91" s="1121">
        <f t="shared" si="26"/>
        <v>1.9752209149708037E-2</v>
      </c>
      <c r="J91" s="1121">
        <f t="shared" si="26"/>
        <v>2.6176548432404904E-2</v>
      </c>
      <c r="K91" s="1121">
        <f t="shared" si="26"/>
        <v>5.5084601150012609E-3</v>
      </c>
      <c r="L91" s="1121">
        <f t="shared" si="26"/>
        <v>1.5249343462242497E-3</v>
      </c>
      <c r="M91" s="1121">
        <f t="shared" si="26"/>
        <v>0.24151439550643775</v>
      </c>
      <c r="N91" s="1121">
        <f t="shared" si="26"/>
        <v>1.3438636580768006</v>
      </c>
      <c r="O91" s="1121">
        <f t="shared" si="26"/>
        <v>0.14277252538404067</v>
      </c>
      <c r="P91" s="1121">
        <f t="shared" si="26"/>
        <v>0.19037813639865769</v>
      </c>
      <c r="Q91" s="1121">
        <f t="shared" si="26"/>
        <v>9.2389977839911513E-2</v>
      </c>
      <c r="R91" s="1121">
        <f t="shared" si="26"/>
        <v>1.537116469062616E-2</v>
      </c>
      <c r="S91" s="1121">
        <f t="shared" si="26"/>
        <v>4.1503685959502759E-3</v>
      </c>
      <c r="T91" s="1096"/>
      <c r="U91" s="1096"/>
      <c r="V91" s="1096"/>
      <c r="W91" s="1096"/>
      <c r="X91" s="1096"/>
      <c r="Y91" s="1096"/>
      <c r="Z91" s="1096"/>
      <c r="AA91" s="1096"/>
      <c r="AB91" s="1096"/>
      <c r="AC91" s="1096"/>
      <c r="AD91" s="1096"/>
      <c r="AE91" s="1096"/>
      <c r="AF91" s="1096"/>
      <c r="AG91" s="1096"/>
      <c r="AH91" s="1096"/>
      <c r="AI91" s="1096"/>
      <c r="AJ91" s="1096"/>
      <c r="AK91" s="1096"/>
      <c r="AL91" s="1096"/>
      <c r="AM91" s="1096"/>
      <c r="AN91" s="1096"/>
      <c r="AO91" s="1096"/>
      <c r="AP91" s="1096"/>
      <c r="AQ91" s="1096"/>
      <c r="AR91" s="1096"/>
      <c r="AS91" s="1096"/>
      <c r="AT91" s="1096"/>
      <c r="AU91" s="1096"/>
      <c r="AV91" s="1096"/>
      <c r="AW91" s="1096"/>
      <c r="AX91" s="1096"/>
      <c r="AY91" s="1096"/>
      <c r="AZ91" s="1096"/>
      <c r="BA91" s="1096"/>
      <c r="BB91" s="1096"/>
      <c r="BC91" s="1096"/>
      <c r="BD91" s="1096"/>
      <c r="BE91" s="1096"/>
      <c r="BF91" s="1096"/>
      <c r="BG91" s="1096"/>
      <c r="BH91" s="1096"/>
      <c r="BI91" s="1096"/>
      <c r="BJ91" s="1096"/>
      <c r="BK91" s="1096"/>
      <c r="BL91" s="1096"/>
      <c r="BM91" s="1096"/>
      <c r="BN91" s="1096"/>
      <c r="BO91" s="1096"/>
      <c r="BP91" s="1096"/>
      <c r="BQ91" s="1096"/>
      <c r="BR91" s="1096"/>
      <c r="BS91" s="1096"/>
      <c r="BT91" s="1096"/>
      <c r="BU91" s="1096"/>
    </row>
    <row r="92" spans="1:73" x14ac:dyDescent="0.25">
      <c r="A92" s="1096"/>
      <c r="B92" s="1100" t="str">
        <f>+$B$8</f>
        <v>Total Capital Investment</v>
      </c>
      <c r="C92" s="1118">
        <f ca="1">+ROUND(H8,0)</f>
        <v>185997945</v>
      </c>
      <c r="D92" s="1100" t="str">
        <f t="shared" ref="D92:D97" ca="1" si="27">+B92&amp;" = "&amp;TEXT(C92/1000,"$0,000K")</f>
        <v>Total Capital Investment = $185,998K</v>
      </c>
      <c r="E92" s="1113">
        <f t="shared" si="26"/>
        <v>2.2005814457790063</v>
      </c>
      <c r="F92" s="1113">
        <f t="shared" si="26"/>
        <v>0</v>
      </c>
      <c r="G92" s="1113">
        <f t="shared" si="26"/>
        <v>1.4693393420589479E-3</v>
      </c>
      <c r="H92" s="1113">
        <f t="shared" si="26"/>
        <v>0.13350639497417338</v>
      </c>
      <c r="I92" s="1113">
        <f t="shared" si="26"/>
        <v>1.9752209149708037E-2</v>
      </c>
      <c r="J92" s="1113">
        <f t="shared" si="26"/>
        <v>2.6044753174156225E-2</v>
      </c>
      <c r="K92" s="1113">
        <f t="shared" si="26"/>
        <v>5.5084601150012609E-3</v>
      </c>
      <c r="L92" s="1113">
        <f t="shared" si="26"/>
        <v>1.4476006966421997E-3</v>
      </c>
      <c r="M92" s="1113">
        <f t="shared" si="26"/>
        <v>0.23750763829846464</v>
      </c>
      <c r="N92" s="1113">
        <f t="shared" si="26"/>
        <v>1.3438636580768006</v>
      </c>
      <c r="O92" s="1113">
        <f t="shared" si="26"/>
        <v>0.14277252538404067</v>
      </c>
      <c r="P92" s="1113">
        <f t="shared" si="26"/>
        <v>0.18472633156029178</v>
      </c>
      <c r="Q92" s="1113">
        <f t="shared" si="26"/>
        <v>8.7704625851574528E-2</v>
      </c>
      <c r="R92" s="1113">
        <f t="shared" si="26"/>
        <v>1.5276695945391661E-2</v>
      </c>
      <c r="S92" s="1113">
        <f t="shared" si="26"/>
        <v>3.9398918948186697E-3</v>
      </c>
      <c r="T92" s="1096"/>
      <c r="U92" s="1096"/>
      <c r="V92" s="1096"/>
      <c r="W92" s="1096"/>
      <c r="X92" s="1096"/>
      <c r="Y92" s="1096"/>
      <c r="Z92" s="1096"/>
      <c r="AA92" s="1096"/>
      <c r="AB92" s="1096"/>
      <c r="AC92" s="1096"/>
      <c r="AD92" s="1096"/>
      <c r="AE92" s="1096"/>
      <c r="AF92" s="1096"/>
      <c r="AG92" s="1096"/>
      <c r="AH92" s="1096"/>
      <c r="AI92" s="1096"/>
      <c r="AJ92" s="1096"/>
      <c r="AK92" s="1096"/>
      <c r="AL92" s="1096"/>
      <c r="AM92" s="1096"/>
      <c r="AN92" s="1096"/>
      <c r="AO92" s="1096"/>
      <c r="AP92" s="1096"/>
      <c r="AQ92" s="1096"/>
      <c r="AR92" s="1096"/>
      <c r="AS92" s="1096"/>
      <c r="AT92" s="1096"/>
      <c r="AU92" s="1096"/>
      <c r="AV92" s="1096"/>
      <c r="AW92" s="1096"/>
      <c r="AX92" s="1096"/>
      <c r="AY92" s="1096"/>
      <c r="AZ92" s="1096"/>
      <c r="BA92" s="1096"/>
      <c r="BB92" s="1096"/>
      <c r="BC92" s="1096"/>
      <c r="BD92" s="1096"/>
      <c r="BE92" s="1096"/>
      <c r="BF92" s="1096"/>
      <c r="BG92" s="1096"/>
      <c r="BH92" s="1096"/>
      <c r="BI92" s="1096"/>
      <c r="BJ92" s="1096"/>
      <c r="BK92" s="1096"/>
      <c r="BL92" s="1096"/>
      <c r="BM92" s="1096"/>
      <c r="BN92" s="1096"/>
      <c r="BO92" s="1096"/>
      <c r="BP92" s="1096"/>
      <c r="BQ92" s="1096"/>
      <c r="BR92" s="1096"/>
      <c r="BS92" s="1096"/>
      <c r="BT92" s="1096"/>
      <c r="BU92" s="1096"/>
    </row>
    <row r="93" spans="1:73" x14ac:dyDescent="0.25">
      <c r="A93" s="1096"/>
      <c r="B93" s="1100" t="str">
        <f t="shared" ref="B93:B94" si="28">+$B$8</f>
        <v>Total Capital Investment</v>
      </c>
      <c r="C93" s="1118">
        <f ca="1">+ROUND(C8,0)</f>
        <v>195787311</v>
      </c>
      <c r="D93" s="1100" t="str">
        <f t="shared" ca="1" si="27"/>
        <v>Total Capital Investment = $195,787K</v>
      </c>
      <c r="E93" s="1113">
        <f t="shared" ref="E93:S93" si="29">+K$51</f>
        <v>2.2167386276561176</v>
      </c>
      <c r="F93" s="1113">
        <f t="shared" si="29"/>
        <v>0</v>
      </c>
      <c r="G93" s="1113">
        <f t="shared" si="29"/>
        <v>1.5466729916409979E-3</v>
      </c>
      <c r="H93" s="1113">
        <f t="shared" si="29"/>
        <v>0.14063856670484737</v>
      </c>
      <c r="I93" s="1113">
        <f t="shared" si="29"/>
        <v>1.9752209149708037E-2</v>
      </c>
      <c r="J93" s="1113">
        <f t="shared" si="29"/>
        <v>2.6099437030722344E-2</v>
      </c>
      <c r="K93" s="1113">
        <f t="shared" si="29"/>
        <v>5.5084601150012609E-3</v>
      </c>
      <c r="L93" s="1113">
        <f t="shared" si="29"/>
        <v>1.5249343462242497E-3</v>
      </c>
      <c r="M93" s="1113">
        <f t="shared" si="29"/>
        <v>0.24151439550643775</v>
      </c>
      <c r="N93" s="1113">
        <f t="shared" si="29"/>
        <v>1.3438636580768006</v>
      </c>
      <c r="O93" s="1113">
        <f t="shared" si="29"/>
        <v>0.14277252538404067</v>
      </c>
      <c r="P93" s="1113">
        <f t="shared" si="29"/>
        <v>0.18472633156029178</v>
      </c>
      <c r="Q93" s="1113">
        <f t="shared" si="29"/>
        <v>9.2389977839911513E-2</v>
      </c>
      <c r="R93" s="1113">
        <f t="shared" si="29"/>
        <v>1.5344436337820982E-2</v>
      </c>
      <c r="S93" s="1113">
        <f t="shared" si="29"/>
        <v>4.1503685959502759E-3</v>
      </c>
      <c r="T93" s="1096"/>
      <c r="U93" s="1096"/>
      <c r="V93" s="1096"/>
      <c r="W93" s="1096"/>
      <c r="X93" s="1096"/>
      <c r="Y93" s="1096"/>
      <c r="Z93" s="1096"/>
      <c r="AA93" s="1096"/>
      <c r="AB93" s="1096"/>
      <c r="AC93" s="1096"/>
      <c r="AD93" s="1096"/>
      <c r="AE93" s="1096"/>
      <c r="AF93" s="1096"/>
      <c r="AG93" s="1096"/>
      <c r="AH93" s="1096"/>
      <c r="AI93" s="1096"/>
      <c r="AJ93" s="1096"/>
      <c r="AK93" s="1096"/>
      <c r="AL93" s="1096"/>
      <c r="AM93" s="1096"/>
      <c r="AN93" s="1096"/>
      <c r="AO93" s="1096"/>
      <c r="AP93" s="1096"/>
      <c r="AQ93" s="1096"/>
      <c r="AR93" s="1096"/>
      <c r="AS93" s="1096"/>
      <c r="AT93" s="1096"/>
      <c r="AU93" s="1096"/>
      <c r="AV93" s="1096"/>
      <c r="AW93" s="1096"/>
      <c r="AX93" s="1096"/>
      <c r="AY93" s="1096"/>
      <c r="AZ93" s="1096"/>
      <c r="BA93" s="1096"/>
      <c r="BB93" s="1096"/>
      <c r="BC93" s="1096"/>
      <c r="BD93" s="1096"/>
      <c r="BE93" s="1096"/>
      <c r="BF93" s="1096"/>
      <c r="BG93" s="1096"/>
      <c r="BH93" s="1096"/>
      <c r="BI93" s="1096"/>
      <c r="BJ93" s="1096"/>
      <c r="BK93" s="1096"/>
      <c r="BL93" s="1096"/>
      <c r="BM93" s="1096"/>
      <c r="BN93" s="1096"/>
      <c r="BO93" s="1096"/>
      <c r="BP93" s="1096"/>
      <c r="BQ93" s="1096"/>
      <c r="BR93" s="1096"/>
      <c r="BS93" s="1096"/>
      <c r="BT93" s="1096"/>
      <c r="BU93" s="1096"/>
    </row>
    <row r="94" spans="1:73" x14ac:dyDescent="0.25">
      <c r="A94" s="1096"/>
      <c r="B94" s="1100" t="str">
        <f t="shared" si="28"/>
        <v>Total Capital Investment</v>
      </c>
      <c r="C94" s="1118">
        <f ca="1">+ROUND(I8,0)</f>
        <v>205576676</v>
      </c>
      <c r="D94" s="1100" t="str">
        <f t="shared" ca="1" si="27"/>
        <v>Total Capital Investment = $205,577K</v>
      </c>
      <c r="E94" s="1113">
        <f t="shared" ref="E94:S95" si="30">+K63</f>
        <v>2.2328958095332281</v>
      </c>
      <c r="F94" s="1113">
        <f t="shared" si="30"/>
        <v>0</v>
      </c>
      <c r="G94" s="1113">
        <f t="shared" si="30"/>
        <v>1.6240066412230474E-3</v>
      </c>
      <c r="H94" s="1113">
        <f t="shared" si="30"/>
        <v>0.14777073843552135</v>
      </c>
      <c r="I94" s="1113">
        <f t="shared" si="30"/>
        <v>1.9752209149708037E-2</v>
      </c>
      <c r="J94" s="1113">
        <f t="shared" si="30"/>
        <v>2.6154120887288457E-2</v>
      </c>
      <c r="K94" s="1113">
        <f t="shared" si="30"/>
        <v>5.5084601150012609E-3</v>
      </c>
      <c r="L94" s="1113">
        <f t="shared" si="30"/>
        <v>1.6022679958062993E-3</v>
      </c>
      <c r="M94" s="1113">
        <f t="shared" si="30"/>
        <v>0.24552115271441063</v>
      </c>
      <c r="N94" s="1113">
        <f t="shared" si="30"/>
        <v>1.3438636580768006</v>
      </c>
      <c r="O94" s="1113">
        <f t="shared" si="30"/>
        <v>0.14277252538404067</v>
      </c>
      <c r="P94" s="1113">
        <f t="shared" si="30"/>
        <v>0.18472633156029178</v>
      </c>
      <c r="Q94" s="1113">
        <f t="shared" si="30"/>
        <v>9.7075329828248416E-2</v>
      </c>
      <c r="R94" s="1113">
        <f t="shared" si="30"/>
        <v>1.5412176730250032E-2</v>
      </c>
      <c r="S94" s="1113">
        <f t="shared" si="30"/>
        <v>4.3608452970818829E-3</v>
      </c>
      <c r="T94" s="1096"/>
      <c r="U94" s="1096"/>
      <c r="V94" s="1096"/>
      <c r="W94" s="1096"/>
      <c r="X94" s="1096"/>
      <c r="Y94" s="1096"/>
      <c r="Z94" s="1096"/>
      <c r="AA94" s="1096"/>
      <c r="AB94" s="1096"/>
      <c r="AC94" s="1096"/>
      <c r="AD94" s="1096"/>
      <c r="AE94" s="1096"/>
      <c r="AF94" s="1096"/>
      <c r="AG94" s="1096"/>
      <c r="AH94" s="1096"/>
      <c r="AI94" s="1096"/>
      <c r="AJ94" s="1096"/>
      <c r="AK94" s="1096"/>
      <c r="AL94" s="1096"/>
      <c r="AM94" s="1096"/>
      <c r="AN94" s="1096"/>
      <c r="AO94" s="1096"/>
      <c r="AP94" s="1096"/>
      <c r="AQ94" s="1096"/>
      <c r="AR94" s="1096"/>
      <c r="AS94" s="1096"/>
      <c r="AT94" s="1096"/>
      <c r="AU94" s="1096"/>
      <c r="AV94" s="1096"/>
      <c r="AW94" s="1096"/>
      <c r="AX94" s="1096"/>
      <c r="AY94" s="1096"/>
      <c r="AZ94" s="1096"/>
      <c r="BA94" s="1096"/>
      <c r="BB94" s="1096"/>
      <c r="BC94" s="1096"/>
      <c r="BD94" s="1096"/>
      <c r="BE94" s="1096"/>
      <c r="BF94" s="1096"/>
      <c r="BG94" s="1096"/>
      <c r="BH94" s="1096"/>
      <c r="BI94" s="1096"/>
      <c r="BJ94" s="1096"/>
      <c r="BK94" s="1096"/>
      <c r="BL94" s="1096"/>
      <c r="BM94" s="1096"/>
      <c r="BN94" s="1096"/>
      <c r="BO94" s="1096"/>
      <c r="BP94" s="1096"/>
      <c r="BQ94" s="1096"/>
      <c r="BR94" s="1096"/>
      <c r="BS94" s="1096"/>
      <c r="BT94" s="1096"/>
      <c r="BU94" s="1096"/>
    </row>
    <row r="95" spans="1:73" x14ac:dyDescent="0.25">
      <c r="A95" s="1096"/>
      <c r="B95" s="1100" t="str">
        <f>+$B$9</f>
        <v>Total Fixed Operating Cost</v>
      </c>
      <c r="C95" s="1118">
        <f ca="1">+ROUND(H9,0)</f>
        <v>11211356</v>
      </c>
      <c r="D95" s="1100" t="str">
        <f t="shared" ca="1" si="27"/>
        <v>Total Fixed Operating Cost = $11,211K</v>
      </c>
      <c r="E95" s="1113">
        <f t="shared" si="30"/>
        <v>2.2044409737022246</v>
      </c>
      <c r="F95" s="1113">
        <f t="shared" si="30"/>
        <v>0</v>
      </c>
      <c r="G95" s="1113">
        <f t="shared" si="30"/>
        <v>1.5466729916409979E-3</v>
      </c>
      <c r="H95" s="1113">
        <f t="shared" si="30"/>
        <v>0.14063856670484737</v>
      </c>
      <c r="I95" s="1113">
        <f t="shared" si="30"/>
        <v>1.9752209149708037E-2</v>
      </c>
      <c r="J95" s="1113">
        <f t="shared" si="30"/>
        <v>2.593462870971595E-2</v>
      </c>
      <c r="K95" s="1113">
        <f t="shared" si="30"/>
        <v>5.5084601150012609E-3</v>
      </c>
      <c r="L95" s="1113">
        <f t="shared" si="30"/>
        <v>1.5249343462242497E-3</v>
      </c>
      <c r="M95" s="1113">
        <f t="shared" si="30"/>
        <v>0.22943867573111584</v>
      </c>
      <c r="N95" s="1113">
        <f t="shared" si="30"/>
        <v>1.3438636580768006</v>
      </c>
      <c r="O95" s="1113">
        <f t="shared" si="30"/>
        <v>0.14277252538404067</v>
      </c>
      <c r="P95" s="1113">
        <f t="shared" si="30"/>
        <v>0.18472633156029178</v>
      </c>
      <c r="Q95" s="1113">
        <f t="shared" si="30"/>
        <v>9.2389977839911513E-2</v>
      </c>
      <c r="R95" s="1113">
        <f t="shared" si="30"/>
        <v>1.5287310480256876E-2</v>
      </c>
      <c r="S95" s="1113">
        <f t="shared" si="30"/>
        <v>4.1503685959502759E-3</v>
      </c>
      <c r="T95" s="1096"/>
      <c r="U95" s="1096"/>
      <c r="V95" s="1096"/>
      <c r="W95" s="1096"/>
      <c r="X95" s="1096"/>
      <c r="Y95" s="1096"/>
      <c r="Z95" s="1096"/>
      <c r="AA95" s="1096"/>
      <c r="AB95" s="1096"/>
      <c r="AC95" s="1096"/>
      <c r="AD95" s="1096"/>
      <c r="AE95" s="1096"/>
      <c r="AF95" s="1096"/>
      <c r="AG95" s="1096"/>
      <c r="AH95" s="1096"/>
      <c r="AI95" s="1096"/>
      <c r="AJ95" s="1096"/>
      <c r="AK95" s="1096"/>
      <c r="AL95" s="1096"/>
      <c r="AM95" s="1096"/>
      <c r="AN95" s="1096"/>
      <c r="AO95" s="1096"/>
      <c r="AP95" s="1096"/>
      <c r="AQ95" s="1096"/>
      <c r="AR95" s="1096"/>
      <c r="AS95" s="1096"/>
      <c r="AT95" s="1096"/>
      <c r="AU95" s="1096"/>
      <c r="AV95" s="1096"/>
      <c r="AW95" s="1096"/>
      <c r="AX95" s="1096"/>
      <c r="AY95" s="1096"/>
      <c r="AZ95" s="1096"/>
      <c r="BA95" s="1096"/>
      <c r="BB95" s="1096"/>
      <c r="BC95" s="1096"/>
      <c r="BD95" s="1096"/>
      <c r="BE95" s="1096"/>
      <c r="BF95" s="1096"/>
      <c r="BG95" s="1096"/>
      <c r="BH95" s="1096"/>
      <c r="BI95" s="1096"/>
      <c r="BJ95" s="1096"/>
      <c r="BK95" s="1096"/>
      <c r="BL95" s="1096"/>
      <c r="BM95" s="1096"/>
      <c r="BN95" s="1096"/>
      <c r="BO95" s="1096"/>
      <c r="BP95" s="1096"/>
      <c r="BQ95" s="1096"/>
      <c r="BR95" s="1096"/>
      <c r="BS95" s="1096"/>
      <c r="BT95" s="1096"/>
      <c r="BU95" s="1096"/>
    </row>
    <row r="96" spans="1:73" x14ac:dyDescent="0.25">
      <c r="A96" s="1096"/>
      <c r="B96" s="1100" t="str">
        <f t="shared" ref="B96:B97" si="31">+$B$9</f>
        <v>Total Fixed Operating Cost</v>
      </c>
      <c r="C96" s="1118">
        <f ca="1">+ROUND(C9,0)</f>
        <v>11801427</v>
      </c>
      <c r="D96" s="1100" t="str">
        <f t="shared" ca="1" si="27"/>
        <v>Total Fixed Operating Cost = $11,801K</v>
      </c>
      <c r="E96" s="1113">
        <f t="shared" ref="E96:S96" si="32">+K$51</f>
        <v>2.2167386276561176</v>
      </c>
      <c r="F96" s="1113">
        <f t="shared" si="32"/>
        <v>0</v>
      </c>
      <c r="G96" s="1113">
        <f t="shared" si="32"/>
        <v>1.5466729916409979E-3</v>
      </c>
      <c r="H96" s="1113">
        <f t="shared" si="32"/>
        <v>0.14063856670484737</v>
      </c>
      <c r="I96" s="1113">
        <f t="shared" si="32"/>
        <v>1.9752209149708037E-2</v>
      </c>
      <c r="J96" s="1113">
        <f t="shared" si="32"/>
        <v>2.6099437030722344E-2</v>
      </c>
      <c r="K96" s="1113">
        <f t="shared" si="32"/>
        <v>5.5084601150012609E-3</v>
      </c>
      <c r="L96" s="1113">
        <f t="shared" si="32"/>
        <v>1.5249343462242497E-3</v>
      </c>
      <c r="M96" s="1113">
        <f t="shared" si="32"/>
        <v>0.24151439550643775</v>
      </c>
      <c r="N96" s="1113">
        <f t="shared" si="32"/>
        <v>1.3438636580768006</v>
      </c>
      <c r="O96" s="1113">
        <f t="shared" si="32"/>
        <v>0.14277252538404067</v>
      </c>
      <c r="P96" s="1113">
        <f t="shared" si="32"/>
        <v>0.18472633156029178</v>
      </c>
      <c r="Q96" s="1113">
        <f t="shared" si="32"/>
        <v>9.2389977839911513E-2</v>
      </c>
      <c r="R96" s="1113">
        <f t="shared" si="32"/>
        <v>1.5344436337820982E-2</v>
      </c>
      <c r="S96" s="1113">
        <f t="shared" si="32"/>
        <v>4.1503685959502759E-3</v>
      </c>
      <c r="T96" s="1096"/>
      <c r="U96" s="1096"/>
      <c r="V96" s="1096"/>
      <c r="W96" s="1096"/>
      <c r="X96" s="1096"/>
      <c r="Y96" s="1096"/>
      <c r="Z96" s="1096"/>
      <c r="AA96" s="1096"/>
      <c r="AB96" s="1096"/>
      <c r="AC96" s="1096"/>
      <c r="AD96" s="1096"/>
      <c r="AE96" s="1096"/>
      <c r="AF96" s="1096"/>
      <c r="AG96" s="1096"/>
      <c r="AH96" s="1096"/>
      <c r="AI96" s="1096"/>
      <c r="AJ96" s="1096"/>
      <c r="AK96" s="1096"/>
      <c r="AL96" s="1096"/>
      <c r="AM96" s="1096"/>
      <c r="AN96" s="1096"/>
      <c r="AO96" s="1096"/>
      <c r="AP96" s="1096"/>
      <c r="AQ96" s="1096"/>
      <c r="AR96" s="1096"/>
      <c r="AS96" s="1096"/>
      <c r="AT96" s="1096"/>
      <c r="AU96" s="1096"/>
      <c r="AV96" s="1096"/>
      <c r="AW96" s="1096"/>
      <c r="AX96" s="1096"/>
      <c r="AY96" s="1096"/>
      <c r="AZ96" s="1096"/>
      <c r="BA96" s="1096"/>
      <c r="BB96" s="1096"/>
      <c r="BC96" s="1096"/>
      <c r="BD96" s="1096"/>
      <c r="BE96" s="1096"/>
      <c r="BF96" s="1096"/>
      <c r="BG96" s="1096"/>
      <c r="BH96" s="1096"/>
      <c r="BI96" s="1096"/>
      <c r="BJ96" s="1096"/>
      <c r="BK96" s="1096"/>
      <c r="BL96" s="1096"/>
      <c r="BM96" s="1096"/>
      <c r="BN96" s="1096"/>
      <c r="BO96" s="1096"/>
      <c r="BP96" s="1096"/>
      <c r="BQ96" s="1096"/>
      <c r="BR96" s="1096"/>
      <c r="BS96" s="1096"/>
      <c r="BT96" s="1096"/>
      <c r="BU96" s="1096"/>
    </row>
    <row r="97" spans="1:73" x14ac:dyDescent="0.25">
      <c r="A97" s="1096"/>
      <c r="B97" s="1100" t="str">
        <f t="shared" si="31"/>
        <v>Total Fixed Operating Cost</v>
      </c>
      <c r="C97" s="1118">
        <f ca="1">+ROUND(I9,0)</f>
        <v>12391499</v>
      </c>
      <c r="D97" s="1100" t="str">
        <f t="shared" ca="1" si="27"/>
        <v>Total Fixed Operating Cost = $12,391K</v>
      </c>
      <c r="E97" s="1113">
        <f t="shared" ref="E97:S97" si="33">+K65</f>
        <v>2.2290362816100093</v>
      </c>
      <c r="F97" s="1113">
        <f t="shared" si="33"/>
        <v>0</v>
      </c>
      <c r="G97" s="1113">
        <f t="shared" si="33"/>
        <v>1.5466729916409979E-3</v>
      </c>
      <c r="H97" s="1113">
        <f t="shared" si="33"/>
        <v>0.14063856670484737</v>
      </c>
      <c r="I97" s="1113">
        <f t="shared" si="33"/>
        <v>1.9752209149708037E-2</v>
      </c>
      <c r="J97" s="1113">
        <f t="shared" si="33"/>
        <v>2.6264245351728728E-2</v>
      </c>
      <c r="K97" s="1113">
        <f t="shared" si="33"/>
        <v>5.5084601150012609E-3</v>
      </c>
      <c r="L97" s="1113">
        <f t="shared" si="33"/>
        <v>1.5249343462242497E-3</v>
      </c>
      <c r="M97" s="1113">
        <f t="shared" si="33"/>
        <v>0.25359011528175968</v>
      </c>
      <c r="N97" s="1113">
        <f t="shared" si="33"/>
        <v>1.3438636580768006</v>
      </c>
      <c r="O97" s="1113">
        <f t="shared" si="33"/>
        <v>0.14277252538404067</v>
      </c>
      <c r="P97" s="1113">
        <f t="shared" si="33"/>
        <v>0.18472633156029178</v>
      </c>
      <c r="Q97" s="1113">
        <f t="shared" si="33"/>
        <v>9.2389977839911513E-2</v>
      </c>
      <c r="R97" s="1113">
        <f t="shared" si="33"/>
        <v>1.5401562195384884E-2</v>
      </c>
      <c r="S97" s="1113">
        <f t="shared" si="33"/>
        <v>4.1503685959502759E-3</v>
      </c>
      <c r="T97" s="1096"/>
      <c r="U97" s="1096"/>
      <c r="V97" s="1096"/>
      <c r="W97" s="1096"/>
      <c r="X97" s="1096"/>
      <c r="Y97" s="1096"/>
      <c r="Z97" s="1096"/>
      <c r="AA97" s="1096"/>
      <c r="AB97" s="1096"/>
      <c r="AC97" s="1096"/>
      <c r="AD97" s="1096"/>
      <c r="AE97" s="1096"/>
      <c r="AF97" s="1096"/>
      <c r="AG97" s="1096"/>
      <c r="AH97" s="1096"/>
      <c r="AI97" s="1096"/>
      <c r="AJ97" s="1096"/>
      <c r="AK97" s="1096"/>
      <c r="AL97" s="1096"/>
      <c r="AM97" s="1096"/>
      <c r="AN97" s="1096"/>
      <c r="AO97" s="1096"/>
      <c r="AP97" s="1096"/>
      <c r="AQ97" s="1096"/>
      <c r="AR97" s="1096"/>
      <c r="AS97" s="1096"/>
      <c r="AT97" s="1096"/>
      <c r="AU97" s="1096"/>
      <c r="AV97" s="1096"/>
      <c r="AW97" s="1096"/>
      <c r="AX97" s="1096"/>
      <c r="AY97" s="1096"/>
      <c r="AZ97" s="1096"/>
      <c r="BA97" s="1096"/>
      <c r="BB97" s="1096"/>
      <c r="BC97" s="1096"/>
      <c r="BD97" s="1096"/>
      <c r="BE97" s="1096"/>
      <c r="BF97" s="1096"/>
      <c r="BG97" s="1096"/>
      <c r="BH97" s="1096"/>
      <c r="BI97" s="1096"/>
      <c r="BJ97" s="1096"/>
      <c r="BK97" s="1096"/>
      <c r="BL97" s="1096"/>
      <c r="BM97" s="1096"/>
      <c r="BN97" s="1096"/>
      <c r="BO97" s="1096"/>
      <c r="BP97" s="1096"/>
      <c r="BQ97" s="1096"/>
      <c r="BR97" s="1096"/>
      <c r="BS97" s="1096"/>
      <c r="BT97" s="1096"/>
      <c r="BU97" s="1096"/>
    </row>
    <row r="98" spans="1:73" x14ac:dyDescent="0.25">
      <c r="A98" s="1096"/>
      <c r="B98" s="1096"/>
      <c r="C98" s="1096"/>
      <c r="D98" s="1096"/>
      <c r="E98" s="1096"/>
      <c r="F98" s="1096"/>
      <c r="G98" s="1096"/>
      <c r="H98" s="1096"/>
      <c r="I98" s="1096"/>
      <c r="J98" s="1096"/>
      <c r="K98" s="1096"/>
      <c r="L98" s="1096"/>
      <c r="M98" s="1096"/>
      <c r="N98" s="1096"/>
      <c r="O98" s="1096"/>
      <c r="P98" s="1096"/>
      <c r="Q98" s="1096"/>
      <c r="R98" s="1096"/>
      <c r="S98" s="1096"/>
      <c r="T98" s="1096"/>
      <c r="U98" s="1096"/>
      <c r="V98" s="1096"/>
      <c r="W98" s="1096"/>
      <c r="X98" s="1096"/>
      <c r="Y98" s="1096"/>
      <c r="Z98" s="1096"/>
      <c r="AA98" s="1096"/>
      <c r="AB98" s="1096"/>
      <c r="AC98" s="1096"/>
      <c r="AD98" s="1096"/>
      <c r="AE98" s="1096"/>
      <c r="AF98" s="1096"/>
      <c r="AG98" s="1096"/>
      <c r="AH98" s="1096"/>
      <c r="AI98" s="1096"/>
      <c r="AJ98" s="1096"/>
      <c r="AK98" s="1096"/>
      <c r="AL98" s="1096"/>
      <c r="AM98" s="1096"/>
      <c r="AN98" s="1096"/>
      <c r="AO98" s="1096"/>
      <c r="AP98" s="1096"/>
      <c r="AQ98" s="1096"/>
      <c r="AR98" s="1096"/>
      <c r="AS98" s="1096"/>
      <c r="AT98" s="1096"/>
      <c r="AU98" s="1096"/>
      <c r="AV98" s="1096"/>
      <c r="AW98" s="1096"/>
      <c r="AX98" s="1096"/>
      <c r="AY98" s="1096"/>
      <c r="AZ98" s="1096"/>
      <c r="BA98" s="1096"/>
      <c r="BB98" s="1096"/>
      <c r="BC98" s="1096"/>
      <c r="BD98" s="1096"/>
      <c r="BE98" s="1096"/>
      <c r="BF98" s="1096"/>
      <c r="BG98" s="1096"/>
      <c r="BH98" s="1096"/>
      <c r="BI98" s="1096"/>
      <c r="BJ98" s="1096"/>
      <c r="BK98" s="1096"/>
      <c r="BL98" s="1096"/>
      <c r="BM98" s="1096"/>
      <c r="BN98" s="1096"/>
      <c r="BO98" s="1096"/>
      <c r="BP98" s="1096"/>
      <c r="BQ98" s="1096"/>
      <c r="BR98" s="1096"/>
      <c r="BS98" s="1096"/>
      <c r="BT98" s="1096"/>
      <c r="BU98" s="1096"/>
    </row>
    <row r="99" spans="1:73" x14ac:dyDescent="0.25">
      <c r="A99" s="1096"/>
      <c r="B99" s="1096"/>
      <c r="C99" s="1096"/>
      <c r="D99" s="1096"/>
      <c r="E99" s="1096"/>
      <c r="F99" s="1096"/>
      <c r="G99" s="1096"/>
      <c r="H99" s="1096"/>
      <c r="I99" s="1096"/>
      <c r="J99" s="1096"/>
      <c r="K99" s="1096"/>
      <c r="L99" s="1096"/>
      <c r="M99" s="1096"/>
      <c r="N99" s="1096"/>
      <c r="O99" s="1096"/>
      <c r="P99" s="1096"/>
      <c r="Q99" s="1096"/>
      <c r="R99" s="1096"/>
      <c r="S99" s="1096"/>
      <c r="T99" s="1096"/>
      <c r="U99" s="1096"/>
      <c r="V99" s="1096"/>
      <c r="W99" s="1096"/>
      <c r="X99" s="1096"/>
      <c r="Y99" s="1096"/>
      <c r="Z99" s="1096"/>
      <c r="AA99" s="1096"/>
      <c r="AB99" s="1096"/>
      <c r="AC99" s="1096"/>
      <c r="AD99" s="1096"/>
      <c r="AE99" s="1096"/>
      <c r="AF99" s="1096"/>
      <c r="AG99" s="1096"/>
      <c r="AH99" s="1096"/>
      <c r="AI99" s="1096"/>
      <c r="AJ99" s="1096"/>
      <c r="AK99" s="1096"/>
      <c r="AL99" s="1096"/>
      <c r="AM99" s="1096"/>
      <c r="AN99" s="1096"/>
      <c r="AO99" s="1096"/>
      <c r="AP99" s="1096"/>
      <c r="AQ99" s="1096"/>
      <c r="AR99" s="1096"/>
      <c r="AS99" s="1096"/>
      <c r="AT99" s="1096"/>
      <c r="AU99" s="1096"/>
      <c r="AV99" s="1096"/>
      <c r="AW99" s="1096"/>
      <c r="AX99" s="1096"/>
      <c r="AY99" s="1096"/>
      <c r="AZ99" s="1096"/>
      <c r="BA99" s="1096"/>
      <c r="BB99" s="1096"/>
      <c r="BC99" s="1096"/>
      <c r="BD99" s="1096"/>
      <c r="BE99" s="1096"/>
      <c r="BF99" s="1096"/>
      <c r="BG99" s="1096"/>
      <c r="BH99" s="1096"/>
      <c r="BI99" s="1096"/>
      <c r="BJ99" s="1096"/>
      <c r="BK99" s="1096"/>
      <c r="BL99" s="1096"/>
      <c r="BM99" s="1096"/>
      <c r="BN99" s="1096"/>
      <c r="BO99" s="1096"/>
      <c r="BP99" s="1096"/>
      <c r="BQ99" s="1096"/>
      <c r="BR99" s="1096"/>
      <c r="BS99" s="1096"/>
      <c r="BT99" s="1096"/>
      <c r="BU99" s="1096"/>
    </row>
    <row r="100" spans="1:73" ht="26" x14ac:dyDescent="0.3">
      <c r="A100" s="1096"/>
      <c r="B100" s="1098" t="s">
        <v>1149</v>
      </c>
      <c r="C100" s="1119" t="s">
        <v>1148</v>
      </c>
      <c r="D100" s="1" t="s">
        <v>1158</v>
      </c>
      <c r="E100" s="1098" t="s">
        <v>1154</v>
      </c>
      <c r="F100" s="1098" t="s">
        <v>1155</v>
      </c>
      <c r="G100" s="1098" t="s">
        <v>1156</v>
      </c>
      <c r="H100" s="1098" t="s">
        <v>1150</v>
      </c>
      <c r="I100" s="1098" t="s">
        <v>1151</v>
      </c>
      <c r="J100" s="1098" t="s">
        <v>1152</v>
      </c>
      <c r="K100" s="1096"/>
      <c r="L100" s="1098" t="s">
        <v>1157</v>
      </c>
      <c r="M100" s="1107" t="s">
        <v>1160</v>
      </c>
      <c r="N100" s="1107" t="s">
        <v>1143</v>
      </c>
      <c r="O100" s="1096"/>
      <c r="P100" s="1096"/>
      <c r="Q100" s="1096"/>
      <c r="R100" s="1096"/>
      <c r="S100" s="1096"/>
      <c r="T100" s="1096"/>
      <c r="U100" s="1096"/>
      <c r="V100" s="1096"/>
      <c r="W100" s="1096"/>
      <c r="X100" s="1096"/>
      <c r="Y100" s="1096"/>
      <c r="Z100" s="1096"/>
      <c r="AA100" s="1096"/>
      <c r="AB100" s="1096"/>
      <c r="AC100" s="1096"/>
      <c r="AD100" s="1096"/>
      <c r="AE100" s="1096"/>
      <c r="AF100" s="1096"/>
      <c r="AG100" s="1096"/>
      <c r="AH100" s="1096"/>
      <c r="AI100" s="1096"/>
      <c r="AJ100" s="1096"/>
      <c r="AK100" s="1096"/>
      <c r="AL100" s="1096"/>
      <c r="AM100" s="1096"/>
      <c r="AN100" s="1096"/>
      <c r="AO100" s="1096"/>
      <c r="AP100" s="1096"/>
      <c r="AQ100" s="1096"/>
      <c r="AR100" s="1096"/>
      <c r="AS100" s="1096"/>
      <c r="AT100" s="1096"/>
      <c r="AU100" s="1096"/>
      <c r="AV100" s="1096"/>
      <c r="AW100" s="1096"/>
      <c r="AX100" s="1096"/>
      <c r="AY100" s="1096"/>
      <c r="AZ100" s="1096"/>
      <c r="BA100" s="1096"/>
      <c r="BB100" s="1096"/>
      <c r="BC100" s="1096"/>
      <c r="BD100" s="1096"/>
      <c r="BE100" s="1096"/>
      <c r="BF100" s="1096"/>
      <c r="BG100" s="1096"/>
      <c r="BH100" s="1096"/>
      <c r="BI100" s="1096"/>
      <c r="BJ100" s="1096"/>
      <c r="BK100" s="1096"/>
      <c r="BL100" s="1096"/>
      <c r="BM100" s="1096"/>
      <c r="BN100" s="1096"/>
      <c r="BO100" s="1096"/>
      <c r="BP100" s="1096"/>
      <c r="BQ100" s="1096"/>
      <c r="BR100" s="1096"/>
      <c r="BS100" s="1096"/>
      <c r="BT100" s="1096"/>
      <c r="BU100" s="1096"/>
    </row>
    <row r="101" spans="1:73" ht="13" x14ac:dyDescent="0.3">
      <c r="A101" s="1096"/>
      <c r="B101" s="1096"/>
      <c r="C101" s="1120">
        <v>1</v>
      </c>
      <c r="D101" s="1100" t="str">
        <f t="shared" ref="D101:D107" ca="1" si="34">OFFSET(L$100,MATCH($C101,$N$101:$N$107,0),0)</f>
        <v>Feedstock Consumption (% of baseline)
(95%, 100%, 105%)</v>
      </c>
      <c r="E101" s="1195">
        <f t="shared" ref="E101:E107" ca="1" si="35">OFFSET(E$76,MATCH($C101,$N$101:$N$107,0)*3-2,0)</f>
        <v>2.1483109780849343</v>
      </c>
      <c r="F101" s="1195">
        <f t="shared" ref="F101:F107" si="36">+$K$51</f>
        <v>2.2167386276561176</v>
      </c>
      <c r="G101" s="1195">
        <f t="shared" ref="G101:G107" ca="1" si="37">OFFSET(E$76,MATCH($C101,$N$101:$N$107,0)*3,0)</f>
        <v>2.2851662772273</v>
      </c>
      <c r="H101" s="1100">
        <f ca="1">+E101</f>
        <v>2.1483109780849343</v>
      </c>
      <c r="I101" s="1100">
        <f ca="1">+F101-E101</f>
        <v>6.8427649571183302E-2</v>
      </c>
      <c r="J101" s="1100">
        <f ca="1">+G101-F101</f>
        <v>6.8427649571182414E-2</v>
      </c>
      <c r="K101" s="1096"/>
      <c r="L101" s="1100" t="str">
        <f ca="1">+B3&amp;"
("&amp;TEXT(H3,"0%, ")&amp;TEXT(C3,"0%, ")&amp;TEXT(I3,"0%)")</f>
        <v>Operating Capacity Factor
(95%, 90%, 86%)</v>
      </c>
      <c r="M101" s="1110">
        <f>ABS(K52-K53)+0.000000001</f>
        <v>7.2228497787647866E-2</v>
      </c>
      <c r="N101" s="1100">
        <f t="shared" ref="N101:N107" si="38">+RANK(M101,$M$101:$M$107)</f>
        <v>2</v>
      </c>
      <c r="O101" s="1107"/>
      <c r="P101" s="1096"/>
      <c r="Q101" s="1096"/>
      <c r="R101" s="1096"/>
      <c r="S101" s="1096"/>
      <c r="T101" s="1096"/>
      <c r="U101" s="1096"/>
      <c r="V101" s="1096"/>
      <c r="W101" s="1096"/>
      <c r="X101" s="1096"/>
      <c r="Y101" s="1096"/>
      <c r="Z101" s="1096"/>
      <c r="AA101" s="1096"/>
      <c r="AB101" s="1096"/>
      <c r="AC101" s="1096"/>
      <c r="AD101" s="1096"/>
      <c r="AE101" s="1096"/>
      <c r="AF101" s="1096"/>
      <c r="AG101" s="1096"/>
      <c r="AH101" s="1096"/>
      <c r="AI101" s="1096"/>
      <c r="AJ101" s="1096"/>
      <c r="AK101" s="1096"/>
      <c r="AL101" s="1096"/>
      <c r="AM101" s="1096"/>
      <c r="AN101" s="1096"/>
      <c r="AO101" s="1096"/>
      <c r="AP101" s="1096"/>
      <c r="AQ101" s="1096"/>
      <c r="AR101" s="1096"/>
      <c r="AS101" s="1096"/>
      <c r="AT101" s="1096"/>
      <c r="AU101" s="1096"/>
      <c r="AV101" s="1096"/>
      <c r="AW101" s="1096"/>
      <c r="AX101" s="1096"/>
      <c r="AY101" s="1096"/>
      <c r="AZ101" s="1096"/>
      <c r="BA101" s="1096"/>
      <c r="BB101" s="1096"/>
      <c r="BC101" s="1096"/>
      <c r="BD101" s="1096"/>
      <c r="BE101" s="1096"/>
      <c r="BF101" s="1096"/>
      <c r="BG101" s="1096"/>
      <c r="BH101" s="1096"/>
      <c r="BI101" s="1096"/>
      <c r="BJ101" s="1096"/>
      <c r="BK101" s="1096"/>
      <c r="BL101" s="1096"/>
      <c r="BM101" s="1096"/>
      <c r="BN101" s="1096"/>
      <c r="BO101" s="1096"/>
      <c r="BP101" s="1096"/>
      <c r="BQ101" s="1096"/>
      <c r="BR101" s="1096"/>
      <c r="BS101" s="1096"/>
      <c r="BT101" s="1096"/>
      <c r="BU101" s="1096"/>
    </row>
    <row r="102" spans="1:73" ht="13" x14ac:dyDescent="0.3">
      <c r="A102" s="1096"/>
      <c r="B102" s="1096"/>
      <c r="C102" s="1120">
        <v>2</v>
      </c>
      <c r="D102" s="1100" t="str">
        <f t="shared" ca="1" si="34"/>
        <v>Operating Capacity Factor
(95%, 90%, 86%)</v>
      </c>
      <c r="E102" s="1195">
        <f t="shared" ca="1" si="35"/>
        <v>2.1824300916819852</v>
      </c>
      <c r="F102" s="1195">
        <f t="shared" si="36"/>
        <v>2.2167386276561176</v>
      </c>
      <c r="G102" s="1195">
        <f t="shared" ca="1" si="37"/>
        <v>2.2546585884696331</v>
      </c>
      <c r="H102" s="1100">
        <f t="shared" ref="H102:H107" ca="1" si="39">+E102</f>
        <v>2.1824300916819852</v>
      </c>
      <c r="I102" s="1100">
        <f t="shared" ref="I102:I107" ca="1" si="40">+F102-E102</f>
        <v>3.4308535974132415E-2</v>
      </c>
      <c r="J102" s="1100">
        <f t="shared" ref="J102:J107" ca="1" si="41">+G102-F102</f>
        <v>3.7919960813515452E-2</v>
      </c>
      <c r="K102" s="1096"/>
      <c r="L102" s="1100" t="str">
        <f ca="1">+B4&amp;"
("&amp;TEXT(H4,"0,000")&amp;", "&amp;TEXT(C4,"0,000")&amp;", "&amp;TEXT(I4,"0,000")&amp;") "</f>
        <v xml:space="preserve">Plant Design Capacity (kg of H2/day)
(162,496, 154,758, 147,020) </v>
      </c>
      <c r="M102" s="1110">
        <f>+ABS(K54-K55)+0.000000002</f>
        <v>1.8208447080006629E-2</v>
      </c>
      <c r="N102" s="1100">
        <f t="shared" si="38"/>
        <v>6</v>
      </c>
      <c r="O102" s="1107"/>
      <c r="P102" s="1096"/>
      <c r="Q102" s="1096"/>
      <c r="R102" s="1096"/>
      <c r="S102" s="1096"/>
      <c r="T102" s="1096"/>
      <c r="U102" s="1096"/>
      <c r="V102" s="1096"/>
      <c r="W102" s="1096"/>
      <c r="X102" s="1096"/>
      <c r="Y102" s="1096"/>
      <c r="Z102" s="1096"/>
      <c r="AA102" s="1096"/>
      <c r="AB102" s="1096"/>
      <c r="AC102" s="1096"/>
      <c r="AD102" s="1096"/>
      <c r="AE102" s="1096"/>
      <c r="AF102" s="1096"/>
      <c r="AG102" s="1096"/>
      <c r="AH102" s="1096"/>
      <c r="AI102" s="1096"/>
      <c r="AJ102" s="1096"/>
      <c r="AK102" s="1096"/>
      <c r="AL102" s="1096"/>
      <c r="AM102" s="1096"/>
      <c r="AN102" s="1096"/>
      <c r="AO102" s="1096"/>
      <c r="AP102" s="1096"/>
      <c r="AQ102" s="1096"/>
      <c r="AR102" s="1096"/>
      <c r="AS102" s="1096"/>
      <c r="AT102" s="1096"/>
      <c r="AU102" s="1096"/>
      <c r="AV102" s="1096"/>
      <c r="AW102" s="1096"/>
      <c r="AX102" s="1096"/>
      <c r="AY102" s="1096"/>
      <c r="AZ102" s="1096"/>
      <c r="BA102" s="1096"/>
      <c r="BB102" s="1096"/>
      <c r="BC102" s="1096"/>
      <c r="BD102" s="1096"/>
      <c r="BE102" s="1096"/>
      <c r="BF102" s="1096"/>
      <c r="BG102" s="1096"/>
      <c r="BH102" s="1096"/>
      <c r="BI102" s="1096"/>
      <c r="BJ102" s="1096"/>
      <c r="BK102" s="1096"/>
      <c r="BL102" s="1096"/>
      <c r="BM102" s="1096"/>
      <c r="BN102" s="1096"/>
      <c r="BO102" s="1096"/>
      <c r="BP102" s="1096"/>
      <c r="BQ102" s="1096"/>
      <c r="BR102" s="1096"/>
      <c r="BS102" s="1096"/>
      <c r="BT102" s="1096"/>
      <c r="BU102" s="1096"/>
    </row>
    <row r="103" spans="1:73" ht="13" x14ac:dyDescent="0.3">
      <c r="A103" s="1096"/>
      <c r="B103" s="1096"/>
      <c r="C103" s="1120">
        <v>3</v>
      </c>
      <c r="D103" s="1100" t="str">
        <f t="shared" ca="1" si="34"/>
        <v xml:space="preserve">Total Capital Investment
($185,998K, $195,787K, $205,577K) </v>
      </c>
      <c r="E103" s="1195">
        <f t="shared" ca="1" si="35"/>
        <v>2.2005814457790063</v>
      </c>
      <c r="F103" s="1195">
        <f t="shared" si="36"/>
        <v>2.2167386276561176</v>
      </c>
      <c r="G103" s="1195">
        <f t="shared" ca="1" si="37"/>
        <v>2.2328958095332281</v>
      </c>
      <c r="H103" s="1100">
        <f t="shared" ca="1" si="39"/>
        <v>2.2005814457790063</v>
      </c>
      <c r="I103" s="1100">
        <f t="shared" ca="1" si="40"/>
        <v>1.6157181877111348E-2</v>
      </c>
      <c r="J103" s="1100">
        <f t="shared" ca="1" si="41"/>
        <v>1.615718187711046E-2</v>
      </c>
      <c r="K103" s="1096"/>
      <c r="L103" s="1100" t="str">
        <f ca="1">+B5&amp;"
("&amp;TEXT(H5,"0%, ")&amp;TEXT(C5,"0%, ")&amp;TEXT(I5,"0%)")</f>
        <v>After-tax Real IRR
(8%, 8%, 8%)</v>
      </c>
      <c r="M103" s="1110">
        <f>+ABS(K56-K57)+0.000000003</f>
        <v>2.3128051622079066E-2</v>
      </c>
      <c r="N103" s="1100">
        <f t="shared" si="38"/>
        <v>5</v>
      </c>
      <c r="O103" s="1107"/>
      <c r="P103" s="1096"/>
      <c r="Q103" s="1096"/>
      <c r="R103" s="1096"/>
      <c r="S103" s="1096"/>
      <c r="T103" s="1096"/>
      <c r="U103" s="1096"/>
      <c r="V103" s="1096"/>
      <c r="W103" s="1096"/>
      <c r="X103" s="1096"/>
      <c r="Y103" s="1096"/>
      <c r="Z103" s="1096"/>
      <c r="AA103" s="1096"/>
      <c r="AB103" s="1096"/>
      <c r="AC103" s="1096"/>
      <c r="AD103" s="1096"/>
      <c r="AE103" s="1096"/>
      <c r="AF103" s="1096"/>
      <c r="AG103" s="1096"/>
      <c r="AH103" s="1096"/>
      <c r="AI103" s="1096"/>
      <c r="AJ103" s="1096"/>
      <c r="AK103" s="1096"/>
      <c r="AL103" s="1096"/>
      <c r="AM103" s="1096"/>
      <c r="AN103" s="1096"/>
      <c r="AO103" s="1096"/>
      <c r="AP103" s="1096"/>
      <c r="AQ103" s="1096"/>
      <c r="AR103" s="1096"/>
      <c r="AS103" s="1096"/>
      <c r="AT103" s="1096"/>
      <c r="AU103" s="1096"/>
      <c r="AV103" s="1096"/>
      <c r="AW103" s="1096"/>
      <c r="AX103" s="1096"/>
      <c r="AY103" s="1096"/>
      <c r="AZ103" s="1096"/>
      <c r="BA103" s="1096"/>
      <c r="BB103" s="1096"/>
      <c r="BC103" s="1096"/>
      <c r="BD103" s="1096"/>
      <c r="BE103" s="1096"/>
      <c r="BF103" s="1096"/>
      <c r="BG103" s="1096"/>
      <c r="BH103" s="1096"/>
      <c r="BI103" s="1096"/>
      <c r="BJ103" s="1096"/>
      <c r="BK103" s="1096"/>
      <c r="BL103" s="1096"/>
      <c r="BM103" s="1096"/>
      <c r="BN103" s="1096"/>
      <c r="BO103" s="1096"/>
      <c r="BP103" s="1096"/>
      <c r="BQ103" s="1096"/>
      <c r="BR103" s="1096"/>
      <c r="BS103" s="1096"/>
      <c r="BT103" s="1096"/>
      <c r="BU103" s="1096"/>
    </row>
    <row r="104" spans="1:73" ht="13" x14ac:dyDescent="0.3">
      <c r="A104" s="1096"/>
      <c r="B104" s="1096"/>
      <c r="C104" s="1120">
        <v>4</v>
      </c>
      <c r="D104" s="1100" t="str">
        <f t="shared" ca="1" si="34"/>
        <v xml:space="preserve">Total Fixed Operating Cost
($11,211K, $11,801K, $12,391K) </v>
      </c>
      <c r="E104" s="1195">
        <f t="shared" ca="1" si="35"/>
        <v>2.2044409737022246</v>
      </c>
      <c r="F104" s="1195">
        <f t="shared" si="36"/>
        <v>2.2167386276561176</v>
      </c>
      <c r="G104" s="1195">
        <f t="shared" ca="1" si="37"/>
        <v>2.2290362816100093</v>
      </c>
      <c r="H104" s="1100">
        <f t="shared" ca="1" si="39"/>
        <v>2.2044409737022246</v>
      </c>
      <c r="I104" s="1100">
        <f t="shared" ca="1" si="40"/>
        <v>1.229765395389304E-2</v>
      </c>
      <c r="J104" s="1100">
        <f t="shared" ca="1" si="41"/>
        <v>1.2297653953891707E-2</v>
      </c>
      <c r="K104" s="1096"/>
      <c r="L104" s="1100" t="str">
        <f>+B6&amp;"
("&amp;TEXT(H6,"0%, ")&amp;TEXT(C6,"0%, ")&amp;TEXT(I6,"0%)")</f>
        <v>Feedstock Consumption (% of baseline)
(95%, 100%, 105%)</v>
      </c>
      <c r="M104" s="1110">
        <f>+ABS(K58-K59)+0.000000004</f>
        <v>0.13685530314236571</v>
      </c>
      <c r="N104" s="1100">
        <f t="shared" si="38"/>
        <v>1</v>
      </c>
      <c r="O104" s="1107"/>
      <c r="P104" s="1096"/>
      <c r="Q104" s="1096"/>
      <c r="R104" s="1096"/>
      <c r="S104" s="1096"/>
      <c r="T104" s="1096"/>
      <c r="U104" s="1096"/>
      <c r="V104" s="1096"/>
      <c r="W104" s="1096"/>
      <c r="X104" s="1096"/>
      <c r="Y104" s="1096"/>
      <c r="Z104" s="1096"/>
      <c r="AA104" s="1096"/>
      <c r="AB104" s="1096"/>
      <c r="AC104" s="1096"/>
      <c r="AD104" s="1096"/>
      <c r="AE104" s="1096"/>
      <c r="AF104" s="1096"/>
      <c r="AG104" s="1096"/>
      <c r="AH104" s="1096"/>
      <c r="AI104" s="1096"/>
      <c r="AJ104" s="1096"/>
      <c r="AK104" s="1096"/>
      <c r="AL104" s="1096"/>
      <c r="AM104" s="1096"/>
      <c r="AN104" s="1096"/>
      <c r="AO104" s="1096"/>
      <c r="AP104" s="1096"/>
      <c r="AQ104" s="1096"/>
      <c r="AR104" s="1096"/>
      <c r="AS104" s="1096"/>
      <c r="AT104" s="1096"/>
      <c r="AU104" s="1096"/>
      <c r="AV104" s="1096"/>
      <c r="AW104" s="1096"/>
      <c r="AX104" s="1096"/>
      <c r="AY104" s="1096"/>
      <c r="AZ104" s="1096"/>
      <c r="BA104" s="1096"/>
      <c r="BB104" s="1096"/>
      <c r="BC104" s="1096"/>
      <c r="BD104" s="1096"/>
      <c r="BE104" s="1096"/>
      <c r="BF104" s="1096"/>
      <c r="BG104" s="1096"/>
      <c r="BH104" s="1096"/>
      <c r="BI104" s="1096"/>
      <c r="BJ104" s="1096"/>
      <c r="BK104" s="1096"/>
      <c r="BL104" s="1096"/>
      <c r="BM104" s="1096"/>
      <c r="BN104" s="1096"/>
      <c r="BO104" s="1096"/>
      <c r="BP104" s="1096"/>
      <c r="BQ104" s="1096"/>
      <c r="BR104" s="1096"/>
      <c r="BS104" s="1096"/>
      <c r="BT104" s="1096"/>
      <c r="BU104" s="1096"/>
    </row>
    <row r="105" spans="1:73" ht="13" x14ac:dyDescent="0.3">
      <c r="A105" s="1096"/>
      <c r="B105" s="1096"/>
      <c r="C105" s="1120">
        <v>5</v>
      </c>
      <c r="D105" s="1100" t="str">
        <f t="shared" ca="1" si="34"/>
        <v>After-tax Real IRR
(8%, 8%, 8%)</v>
      </c>
      <c r="E105" s="1195">
        <f t="shared" ca="1" si="35"/>
        <v>2.205335690619278</v>
      </c>
      <c r="F105" s="1195">
        <f t="shared" si="36"/>
        <v>2.2167386276561176</v>
      </c>
      <c r="G105" s="1195">
        <f t="shared" ca="1" si="37"/>
        <v>2.2284637392413571</v>
      </c>
      <c r="H105" s="1100">
        <f t="shared" ref="H105" ca="1" si="42">+E105</f>
        <v>2.205335690619278</v>
      </c>
      <c r="I105" s="1100">
        <f t="shared" ref="I105" ca="1" si="43">+F105-E105</f>
        <v>1.1402937036839589E-2</v>
      </c>
      <c r="J105" s="1100">
        <f t="shared" ref="J105" ca="1" si="44">+G105-F105</f>
        <v>1.1725111585239478E-2</v>
      </c>
      <c r="K105" s="1096"/>
      <c r="L105" s="1100" t="str">
        <f>+B7&amp;"
("&amp;TEXT(H7,"0%, ")&amp;TEXT(C7,"0%, ")&amp;TEXT(I7,"0%)")</f>
        <v>Utilities Consumption (% of baseline)
(95%, 100%, 105%)</v>
      </c>
      <c r="M105" s="1110">
        <f>+ABS(K60-K61)+0.000000004</f>
        <v>1.1511293185706985E-2</v>
      </c>
      <c r="N105" s="1100">
        <f t="shared" si="38"/>
        <v>7</v>
      </c>
      <c r="O105" s="1107"/>
      <c r="P105" s="1096"/>
      <c r="Q105" s="1096"/>
      <c r="R105" s="1096"/>
      <c r="S105" s="1096"/>
      <c r="T105" s="1096"/>
      <c r="U105" s="1096"/>
      <c r="V105" s="1096"/>
      <c r="W105" s="1096"/>
      <c r="X105" s="1096"/>
      <c r="Y105" s="1096"/>
      <c r="Z105" s="1096"/>
      <c r="AA105" s="1096"/>
      <c r="AB105" s="1096"/>
      <c r="AC105" s="1096"/>
      <c r="AD105" s="1096"/>
      <c r="AE105" s="1096"/>
      <c r="AF105" s="1096"/>
      <c r="AG105" s="1096"/>
      <c r="AH105" s="1096"/>
      <c r="AI105" s="1096"/>
      <c r="AJ105" s="1096"/>
      <c r="AK105" s="1096"/>
      <c r="AL105" s="1096"/>
      <c r="AM105" s="1096"/>
      <c r="AN105" s="1096"/>
      <c r="AO105" s="1096"/>
      <c r="AP105" s="1096"/>
      <c r="AQ105" s="1096"/>
      <c r="AR105" s="1096"/>
      <c r="AS105" s="1096"/>
      <c r="AT105" s="1096"/>
      <c r="AU105" s="1096"/>
      <c r="AV105" s="1096"/>
      <c r="AW105" s="1096"/>
      <c r="AX105" s="1096"/>
      <c r="AY105" s="1096"/>
      <c r="AZ105" s="1096"/>
      <c r="BA105" s="1096"/>
      <c r="BB105" s="1096"/>
      <c r="BC105" s="1096"/>
      <c r="BD105" s="1096"/>
      <c r="BE105" s="1096"/>
      <c r="BF105" s="1096"/>
      <c r="BG105" s="1096"/>
      <c r="BH105" s="1096"/>
      <c r="BI105" s="1096"/>
      <c r="BJ105" s="1096"/>
      <c r="BK105" s="1096"/>
      <c r="BL105" s="1096"/>
      <c r="BM105" s="1096"/>
      <c r="BN105" s="1096"/>
      <c r="BO105" s="1096"/>
      <c r="BP105" s="1096"/>
      <c r="BQ105" s="1096"/>
      <c r="BR105" s="1096"/>
      <c r="BS105" s="1096"/>
      <c r="BT105" s="1096"/>
      <c r="BU105" s="1096"/>
    </row>
    <row r="106" spans="1:73" ht="13" x14ac:dyDescent="0.3">
      <c r="A106" s="1096"/>
      <c r="B106" s="1096"/>
      <c r="C106" s="1120">
        <v>6</v>
      </c>
      <c r="D106" s="1100" t="str">
        <f t="shared" ca="1" si="34"/>
        <v xml:space="preserve">Plant Design Capacity (kg of H2/day)
(162,496, 154,758, 147,020) </v>
      </c>
      <c r="E106" s="1195">
        <f t="shared" ca="1" si="35"/>
        <v>2.2079946666505683</v>
      </c>
      <c r="F106" s="1195">
        <f t="shared" si="36"/>
        <v>2.2167386276561176</v>
      </c>
      <c r="G106" s="1195">
        <f t="shared" ca="1" si="37"/>
        <v>2.2262031117305749</v>
      </c>
      <c r="H106" s="1100">
        <f t="shared" ca="1" si="39"/>
        <v>2.2079946666505683</v>
      </c>
      <c r="I106" s="1100">
        <f t="shared" ca="1" si="40"/>
        <v>8.7439610055493056E-3</v>
      </c>
      <c r="J106" s="1100">
        <f t="shared" ca="1" si="41"/>
        <v>9.4644840744573244E-3</v>
      </c>
      <c r="K106" s="1096"/>
      <c r="L106" s="1100" t="str">
        <f ca="1">+B8&amp;"
("&amp;TEXT(H8/1000,"$0,000K")&amp;", "&amp;TEXT(C8/1000,"$0,000K")&amp;", "&amp;TEXT(I8/1000,"$0,000K")&amp;") "</f>
        <v xml:space="preserve">Total Capital Investment
($185,998K, $195,787K, $205,577K) </v>
      </c>
      <c r="M106" s="1110">
        <f>+ABS(K62-K63)+0.000000006</f>
        <v>3.2314369754221806E-2</v>
      </c>
      <c r="N106" s="1100">
        <f t="shared" si="38"/>
        <v>3</v>
      </c>
      <c r="O106" s="1107"/>
      <c r="P106" s="1096"/>
      <c r="Q106" s="1096"/>
      <c r="R106" s="1096"/>
      <c r="S106" s="1096"/>
      <c r="T106" s="1096"/>
      <c r="U106" s="1096"/>
      <c r="V106" s="1096"/>
      <c r="W106" s="1096"/>
      <c r="X106" s="1096"/>
      <c r="Y106" s="1096"/>
      <c r="Z106" s="1096"/>
      <c r="AA106" s="1096"/>
      <c r="AB106" s="1096"/>
      <c r="AC106" s="1096"/>
      <c r="AD106" s="1096"/>
      <c r="AE106" s="1096"/>
      <c r="AF106" s="1096"/>
      <c r="AG106" s="1096"/>
      <c r="AH106" s="1096"/>
      <c r="AI106" s="1096"/>
      <c r="AJ106" s="1096"/>
      <c r="AK106" s="1096"/>
      <c r="AL106" s="1096"/>
      <c r="AM106" s="1096"/>
      <c r="AN106" s="1096"/>
      <c r="AO106" s="1096"/>
      <c r="AP106" s="1096"/>
      <c r="AQ106" s="1096"/>
      <c r="AR106" s="1096"/>
      <c r="AS106" s="1096"/>
      <c r="AT106" s="1096"/>
      <c r="AU106" s="1096"/>
      <c r="AV106" s="1096"/>
      <c r="AW106" s="1096"/>
      <c r="AX106" s="1096"/>
      <c r="AY106" s="1096"/>
      <c r="AZ106" s="1096"/>
      <c r="BA106" s="1096"/>
      <c r="BB106" s="1096"/>
      <c r="BC106" s="1096"/>
      <c r="BD106" s="1096"/>
      <c r="BE106" s="1096"/>
      <c r="BF106" s="1096"/>
      <c r="BG106" s="1096"/>
      <c r="BH106" s="1096"/>
      <c r="BI106" s="1096"/>
      <c r="BJ106" s="1096"/>
      <c r="BK106" s="1096"/>
      <c r="BL106" s="1096"/>
      <c r="BM106" s="1096"/>
      <c r="BN106" s="1096"/>
      <c r="BO106" s="1096"/>
      <c r="BP106" s="1096"/>
      <c r="BQ106" s="1096"/>
      <c r="BR106" s="1096"/>
      <c r="BS106" s="1096"/>
      <c r="BT106" s="1096"/>
      <c r="BU106" s="1096"/>
    </row>
    <row r="107" spans="1:73" ht="13" x14ac:dyDescent="0.3">
      <c r="A107" s="1096"/>
      <c r="B107" s="1096"/>
      <c r="C107" s="1120">
        <v>7</v>
      </c>
      <c r="D107" s="1100" t="str">
        <f t="shared" ca="1" si="34"/>
        <v>Utilities Consumption (% of baseline)
(95%, 100%, 105%)</v>
      </c>
      <c r="E107" s="1195">
        <f t="shared" ca="1" si="35"/>
        <v>2.2109829830632637</v>
      </c>
      <c r="F107" s="1195">
        <f t="shared" si="36"/>
        <v>2.2167386276561176</v>
      </c>
      <c r="G107" s="1195">
        <f t="shared" ca="1" si="37"/>
        <v>2.2224942722489707</v>
      </c>
      <c r="H107" s="1100">
        <f t="shared" ca="1" si="39"/>
        <v>2.2109829830632637</v>
      </c>
      <c r="I107" s="1100">
        <f t="shared" ca="1" si="40"/>
        <v>5.7556445928539368E-3</v>
      </c>
      <c r="J107" s="1100">
        <f t="shared" ca="1" si="41"/>
        <v>5.7556445928530486E-3</v>
      </c>
      <c r="K107" s="1096"/>
      <c r="L107" s="1100" t="str">
        <f ca="1">+B9&amp;"
("&amp;TEXT(H9/1000,"$0,000K")&amp;", "&amp;TEXT(C9/1000,"$0,000K")&amp;", "&amp;TEXT(I9/1000,"$0,000K")&amp;") "</f>
        <v xml:space="preserve">Total Fixed Operating Cost
($11,211K, $11,801K, $12,391K) </v>
      </c>
      <c r="M107" s="1110">
        <f>+ABS(K64-K65)+0.00000007</f>
        <v>2.4595377907784748E-2</v>
      </c>
      <c r="N107" s="1100">
        <f t="shared" si="38"/>
        <v>4</v>
      </c>
      <c r="O107" s="1107"/>
      <c r="P107" s="1096"/>
      <c r="Q107" s="1096"/>
      <c r="R107" s="1096"/>
      <c r="S107" s="1096"/>
      <c r="T107" s="1096"/>
      <c r="U107" s="1096"/>
      <c r="V107" s="1096"/>
      <c r="W107" s="1096"/>
      <c r="X107" s="1096"/>
      <c r="Y107" s="1096"/>
      <c r="Z107" s="1096"/>
      <c r="AA107" s="1096"/>
      <c r="AB107" s="1096"/>
      <c r="AC107" s="1096"/>
      <c r="AD107" s="1096"/>
      <c r="AE107" s="1096"/>
      <c r="AF107" s="1096"/>
      <c r="AG107" s="1096"/>
      <c r="AH107" s="1096"/>
      <c r="AI107" s="1096"/>
      <c r="AJ107" s="1096"/>
      <c r="AK107" s="1096"/>
      <c r="AL107" s="1096"/>
      <c r="AM107" s="1096"/>
      <c r="AN107" s="1096"/>
      <c r="AO107" s="1096"/>
      <c r="AP107" s="1096"/>
      <c r="AQ107" s="1096"/>
      <c r="AR107" s="1096"/>
      <c r="AS107" s="1096"/>
      <c r="AT107" s="1096"/>
      <c r="AU107" s="1096"/>
      <c r="AV107" s="1096"/>
      <c r="AW107" s="1096"/>
      <c r="AX107" s="1096"/>
      <c r="AY107" s="1096"/>
      <c r="AZ107" s="1096"/>
      <c r="BA107" s="1096"/>
      <c r="BB107" s="1096"/>
      <c r="BC107" s="1096"/>
      <c r="BD107" s="1096"/>
      <c r="BE107" s="1096"/>
      <c r="BF107" s="1096"/>
      <c r="BG107" s="1096"/>
      <c r="BH107" s="1096"/>
      <c r="BI107" s="1096"/>
      <c r="BJ107" s="1096"/>
      <c r="BK107" s="1096"/>
      <c r="BL107" s="1096"/>
      <c r="BM107" s="1096"/>
      <c r="BN107" s="1096"/>
      <c r="BO107" s="1096"/>
      <c r="BP107" s="1096"/>
      <c r="BQ107" s="1096"/>
      <c r="BR107" s="1096"/>
      <c r="BS107" s="1096"/>
      <c r="BT107" s="1096"/>
      <c r="BU107" s="1096"/>
    </row>
    <row r="108" spans="1:73" x14ac:dyDescent="0.25">
      <c r="A108" s="1096"/>
      <c r="B108" s="1096"/>
      <c r="C108" s="1096"/>
      <c r="D108" s="1096"/>
      <c r="E108" s="1096"/>
      <c r="F108" s="1096"/>
      <c r="G108" s="1096"/>
      <c r="H108" s="1096"/>
      <c r="I108" s="1096"/>
      <c r="J108" s="1096"/>
      <c r="K108" s="1096"/>
      <c r="L108" s="1096"/>
      <c r="M108" s="1096"/>
      <c r="N108" s="1096"/>
      <c r="O108" s="1096"/>
      <c r="P108" s="1096"/>
      <c r="Q108" s="1096"/>
      <c r="R108" s="1096"/>
      <c r="S108" s="1096"/>
      <c r="T108" s="1096"/>
      <c r="U108" s="1096"/>
      <c r="V108" s="1096"/>
      <c r="W108" s="1096"/>
      <c r="X108" s="1096"/>
      <c r="Y108" s="1096"/>
      <c r="Z108" s="1096"/>
      <c r="AA108" s="1096"/>
      <c r="AB108" s="1096"/>
      <c r="AC108" s="1096"/>
      <c r="AD108" s="1096"/>
      <c r="AE108" s="1096"/>
      <c r="AF108" s="1096"/>
      <c r="AG108" s="1096"/>
      <c r="AH108" s="1096"/>
      <c r="AI108" s="1096"/>
      <c r="AJ108" s="1096"/>
      <c r="AK108" s="1096"/>
      <c r="AL108" s="1096"/>
      <c r="AM108" s="1096"/>
      <c r="AN108" s="1096"/>
      <c r="AO108" s="1096"/>
      <c r="AP108" s="1096"/>
      <c r="AQ108" s="1096"/>
      <c r="AR108" s="1096"/>
      <c r="AS108" s="1096"/>
      <c r="AT108" s="1096"/>
      <c r="AU108" s="1096"/>
      <c r="AV108" s="1096"/>
      <c r="AW108" s="1096"/>
      <c r="AX108" s="1096"/>
      <c r="AY108" s="1096"/>
      <c r="AZ108" s="1096"/>
      <c r="BA108" s="1096"/>
      <c r="BB108" s="1096"/>
      <c r="BC108" s="1096"/>
      <c r="BD108" s="1096"/>
      <c r="BE108" s="1096"/>
      <c r="BF108" s="1096"/>
      <c r="BG108" s="1096"/>
      <c r="BH108" s="1096"/>
      <c r="BI108" s="1096"/>
      <c r="BJ108" s="1096"/>
      <c r="BK108" s="1096"/>
      <c r="BL108" s="1096"/>
      <c r="BM108" s="1096"/>
      <c r="BN108" s="1096"/>
      <c r="BO108" s="1096"/>
      <c r="BP108" s="1096"/>
      <c r="BQ108" s="1096"/>
      <c r="BR108" s="1096"/>
      <c r="BS108" s="1096"/>
      <c r="BT108" s="1096"/>
      <c r="BU108" s="1096"/>
    </row>
    <row r="109" spans="1:73" x14ac:dyDescent="0.25">
      <c r="A109" s="1096"/>
      <c r="B109" s="1096"/>
      <c r="C109" s="1096"/>
      <c r="D109" s="1096"/>
      <c r="E109" s="1096"/>
      <c r="F109" s="1096"/>
      <c r="G109" s="1096"/>
      <c r="H109" s="1096"/>
      <c r="I109" s="1096"/>
      <c r="J109" s="1096"/>
      <c r="K109" s="1096"/>
      <c r="L109" s="1096"/>
      <c r="M109" s="1096"/>
      <c r="N109" s="1096"/>
      <c r="O109" s="1096"/>
      <c r="P109" s="1096"/>
      <c r="Q109" s="1096"/>
      <c r="R109" s="1096"/>
      <c r="S109" s="1096"/>
      <c r="T109" s="1096"/>
      <c r="U109" s="1096"/>
      <c r="V109" s="1096"/>
      <c r="W109" s="1096"/>
      <c r="X109" s="1096"/>
      <c r="Y109" s="1096"/>
      <c r="Z109" s="1096"/>
      <c r="AA109" s="1096"/>
      <c r="AB109" s="1096"/>
      <c r="AC109" s="1096"/>
      <c r="AD109" s="1096"/>
      <c r="AE109" s="1096"/>
      <c r="AF109" s="1096"/>
      <c r="AG109" s="1096"/>
      <c r="AH109" s="1096"/>
      <c r="AI109" s="1096"/>
      <c r="AJ109" s="1096"/>
      <c r="AK109" s="1096"/>
      <c r="AL109" s="1096"/>
      <c r="AM109" s="1096"/>
      <c r="AN109" s="1096"/>
      <c r="AO109" s="1096"/>
      <c r="AP109" s="1096"/>
      <c r="AQ109" s="1096"/>
      <c r="AR109" s="1096"/>
      <c r="AS109" s="1096"/>
      <c r="AT109" s="1096"/>
      <c r="AU109" s="1096"/>
      <c r="AV109" s="1096"/>
      <c r="AW109" s="1096"/>
      <c r="AX109" s="1096"/>
      <c r="AY109" s="1096"/>
      <c r="AZ109" s="1096"/>
      <c r="BA109" s="1096"/>
      <c r="BB109" s="1096"/>
      <c r="BC109" s="1096"/>
      <c r="BD109" s="1096"/>
      <c r="BE109" s="1096"/>
      <c r="BF109" s="1096"/>
      <c r="BG109" s="1096"/>
      <c r="BH109" s="1096"/>
      <c r="BI109" s="1096"/>
      <c r="BJ109" s="1096"/>
      <c r="BK109" s="1096"/>
      <c r="BL109" s="1096"/>
      <c r="BM109" s="1096"/>
      <c r="BN109" s="1096"/>
      <c r="BO109" s="1096"/>
      <c r="BP109" s="1096"/>
      <c r="BQ109" s="1096"/>
      <c r="BR109" s="1096"/>
      <c r="BS109" s="1096"/>
      <c r="BT109" s="1096"/>
      <c r="BU109" s="1096"/>
    </row>
    <row r="110" spans="1:73" ht="52" x14ac:dyDescent="0.3">
      <c r="A110" s="1096"/>
      <c r="B110" s="1098" t="s">
        <v>1161</v>
      </c>
      <c r="C110" s="1119" t="s">
        <v>1148</v>
      </c>
      <c r="D110" s="1107" t="str">
        <f t="shared" ref="D110:G110" si="45">+D76</f>
        <v>Chart titles</v>
      </c>
      <c r="E110" s="1107" t="s">
        <v>1181</v>
      </c>
      <c r="F110" s="1107" t="s">
        <v>1182</v>
      </c>
      <c r="G110" s="1107" t="str">
        <f t="shared" si="45"/>
        <v>Salvage Value</v>
      </c>
      <c r="H110" s="1107" t="str">
        <f t="shared" ref="H110:S110" si="46">+H76</f>
        <v>Initial Equity Depreciable Capital</v>
      </c>
      <c r="I110" s="1107" t="str">
        <f t="shared" si="46"/>
        <v>Yearly Replacement Costs</v>
      </c>
      <c r="J110" s="1107" t="str">
        <f t="shared" si="46"/>
        <v>Cash for Working Capital Reserve</v>
      </c>
      <c r="K110" s="1107" t="str">
        <f t="shared" si="46"/>
        <v>Other Non-Depreciable Capital Costs</v>
      </c>
      <c r="L110" s="1107" t="str">
        <f t="shared" si="46"/>
        <v>Decommissioning Costs</v>
      </c>
      <c r="M110" s="1107" t="str">
        <f t="shared" si="46"/>
        <v>Fixed Operating Cost</v>
      </c>
      <c r="N110" s="1107" t="str">
        <f t="shared" si="46"/>
        <v>Feedstock Cost</v>
      </c>
      <c r="O110" s="1107" t="str">
        <f t="shared" si="46"/>
        <v>Other Raw Material Cost</v>
      </c>
      <c r="P110" s="1107" t="str">
        <f t="shared" si="46"/>
        <v>Other Variable Operating Costs</v>
      </c>
      <c r="Q110" s="1107" t="str">
        <f t="shared" si="46"/>
        <v>Debt Interest</v>
      </c>
      <c r="R110" s="1107" t="str">
        <f t="shared" si="46"/>
        <v>Taxes</v>
      </c>
      <c r="S110" s="1107" t="str">
        <f t="shared" si="46"/>
        <v>Principal Payment</v>
      </c>
      <c r="T110" s="1096"/>
      <c r="U110" s="1096"/>
      <c r="V110" s="1096"/>
      <c r="W110" s="1096"/>
      <c r="X110" s="1096"/>
      <c r="Y110" s="1096"/>
      <c r="Z110" s="1096"/>
      <c r="AA110" s="1096"/>
      <c r="AB110" s="1096"/>
      <c r="AC110" s="1096"/>
      <c r="AD110" s="1096"/>
      <c r="AE110" s="1096"/>
      <c r="AF110" s="1096"/>
      <c r="AG110" s="1096"/>
      <c r="AH110" s="1096"/>
      <c r="AI110" s="1096"/>
      <c r="AJ110" s="1096"/>
      <c r="AK110" s="1096"/>
      <c r="AL110" s="1096"/>
      <c r="AM110" s="1096"/>
      <c r="AN110" s="1096"/>
      <c r="AO110" s="1096"/>
      <c r="AP110" s="1096"/>
      <c r="AQ110" s="1096"/>
      <c r="AR110" s="1096"/>
      <c r="AS110" s="1096"/>
      <c r="AT110" s="1096"/>
      <c r="AU110" s="1096"/>
      <c r="AV110" s="1096"/>
      <c r="AW110" s="1096"/>
      <c r="AX110" s="1096"/>
      <c r="AY110" s="1096"/>
      <c r="AZ110" s="1096"/>
      <c r="BA110" s="1096"/>
      <c r="BB110" s="1096"/>
      <c r="BC110" s="1096"/>
      <c r="BD110" s="1096"/>
      <c r="BE110" s="1096"/>
      <c r="BF110" s="1096"/>
      <c r="BG110" s="1096"/>
      <c r="BH110" s="1096"/>
      <c r="BI110" s="1096"/>
      <c r="BJ110" s="1096"/>
      <c r="BK110" s="1096"/>
      <c r="BL110" s="1096"/>
      <c r="BM110" s="1096"/>
      <c r="BN110" s="1096"/>
      <c r="BO110" s="1096"/>
      <c r="BP110" s="1096"/>
      <c r="BQ110" s="1096"/>
      <c r="BR110" s="1096"/>
      <c r="BS110" s="1096"/>
      <c r="BT110" s="1096"/>
      <c r="BU110" s="1096"/>
    </row>
    <row r="111" spans="1:73" x14ac:dyDescent="0.25">
      <c r="A111" s="1096"/>
      <c r="B111" s="1096"/>
      <c r="C111" s="1120">
        <v>1</v>
      </c>
      <c r="D111" s="1099" t="s">
        <v>1180</v>
      </c>
      <c r="E111" s="1113">
        <f ca="1">OFFSET(E$76,MATCH($C111,$N$101:$N$107,0)*3-1,0)</f>
        <v>2.2167386276561176</v>
      </c>
      <c r="F111" s="1113">
        <f ca="1">OFFSET(F$76,MATCH($C111,$N$101:$N$107,0)*3-1,0)</f>
        <v>0</v>
      </c>
      <c r="G111" s="1113">
        <f ca="1">OFFSET(G$76,MATCH($C111,$N$101:$N$107,0)*3-1,0)</f>
        <v>1.5466729916409979E-3</v>
      </c>
      <c r="H111" s="1100"/>
      <c r="I111" s="1100"/>
      <c r="J111" s="1100"/>
      <c r="K111" s="1100"/>
      <c r="L111" s="1100"/>
      <c r="M111" s="1100"/>
      <c r="N111" s="1100"/>
      <c r="O111" s="1100"/>
      <c r="P111" s="1100"/>
      <c r="Q111" s="1100"/>
      <c r="R111" s="1100"/>
      <c r="S111" s="1100"/>
      <c r="T111" s="1096"/>
      <c r="U111" s="1096"/>
      <c r="V111" s="1096"/>
      <c r="W111" s="1096"/>
      <c r="X111" s="1096"/>
      <c r="Y111" s="1096"/>
      <c r="Z111" s="1096"/>
      <c r="AA111" s="1096"/>
      <c r="AB111" s="1096"/>
      <c r="AC111" s="1096"/>
      <c r="AD111" s="1096"/>
      <c r="AE111" s="1096"/>
      <c r="AF111" s="1096"/>
      <c r="AG111" s="1096"/>
      <c r="AH111" s="1096"/>
      <c r="AI111" s="1096"/>
      <c r="AJ111" s="1096"/>
      <c r="AK111" s="1096"/>
      <c r="AL111" s="1096"/>
      <c r="AM111" s="1096"/>
      <c r="AN111" s="1096"/>
      <c r="AO111" s="1096"/>
      <c r="AP111" s="1096"/>
      <c r="AQ111" s="1096"/>
      <c r="AR111" s="1096"/>
      <c r="AS111" s="1096"/>
      <c r="AT111" s="1096"/>
      <c r="AU111" s="1096"/>
      <c r="AV111" s="1096"/>
      <c r="AW111" s="1096"/>
      <c r="AX111" s="1096"/>
      <c r="AY111" s="1096"/>
      <c r="AZ111" s="1096"/>
      <c r="BA111" s="1096"/>
      <c r="BB111" s="1096"/>
      <c r="BC111" s="1096"/>
      <c r="BD111" s="1096"/>
      <c r="BE111" s="1096"/>
      <c r="BF111" s="1096"/>
      <c r="BG111" s="1096"/>
      <c r="BH111" s="1096"/>
      <c r="BI111" s="1096"/>
      <c r="BJ111" s="1096"/>
      <c r="BK111" s="1096"/>
      <c r="BL111" s="1096"/>
      <c r="BM111" s="1096"/>
      <c r="BN111" s="1096"/>
      <c r="BO111" s="1096"/>
      <c r="BP111" s="1096"/>
      <c r="BQ111" s="1096"/>
      <c r="BR111" s="1096"/>
      <c r="BS111" s="1096"/>
      <c r="BT111" s="1096"/>
      <c r="BU111" s="1096"/>
    </row>
    <row r="112" spans="1:73" ht="13" x14ac:dyDescent="0.3">
      <c r="A112" s="1096"/>
      <c r="B112" s="1098"/>
      <c r="C112" s="1201"/>
      <c r="D112" s="1202"/>
      <c r="E112" s="1203"/>
      <c r="F112" s="1203"/>
      <c r="G112" s="1203"/>
      <c r="H112" s="1113">
        <f t="shared" ref="H112:S112" ca="1" si="47">OFFSET(H$76,MATCH($C111,$N$101:$N$107,0)*3-1,0)</f>
        <v>0.14063856670484737</v>
      </c>
      <c r="I112" s="1113">
        <f t="shared" ca="1" si="47"/>
        <v>1.9752209149708037E-2</v>
      </c>
      <c r="J112" s="1113">
        <f t="shared" ca="1" si="47"/>
        <v>2.6099437030722344E-2</v>
      </c>
      <c r="K112" s="1113">
        <f t="shared" ca="1" si="47"/>
        <v>5.5084601150012609E-3</v>
      </c>
      <c r="L112" s="1113">
        <f t="shared" ca="1" si="47"/>
        <v>1.5249343462242497E-3</v>
      </c>
      <c r="M112" s="1113">
        <f t="shared" ca="1" si="47"/>
        <v>0.24151439550643775</v>
      </c>
      <c r="N112" s="1113">
        <f t="shared" ca="1" si="47"/>
        <v>1.3438636580768006</v>
      </c>
      <c r="O112" s="1113">
        <f t="shared" ca="1" si="47"/>
        <v>0.14277252538404067</v>
      </c>
      <c r="P112" s="1113">
        <f t="shared" ca="1" si="47"/>
        <v>0.18472633156029178</v>
      </c>
      <c r="Q112" s="1113">
        <f t="shared" ca="1" si="47"/>
        <v>9.2389977839911513E-2</v>
      </c>
      <c r="R112" s="1113">
        <f t="shared" ca="1" si="47"/>
        <v>1.5344436337820982E-2</v>
      </c>
      <c r="S112" s="1113">
        <f t="shared" ca="1" si="47"/>
        <v>4.1503685959502759E-3</v>
      </c>
      <c r="T112" s="1096"/>
      <c r="U112" s="1096"/>
      <c r="V112" s="1096"/>
      <c r="W112" s="1096"/>
      <c r="X112" s="1096"/>
      <c r="Y112" s="1096"/>
      <c r="Z112" s="1096"/>
      <c r="AA112" s="1096"/>
      <c r="AB112" s="1096"/>
      <c r="AC112" s="1096"/>
      <c r="AD112" s="1096"/>
      <c r="AE112" s="1096"/>
      <c r="AF112" s="1096"/>
      <c r="AG112" s="1096"/>
      <c r="AH112" s="1096"/>
      <c r="AI112" s="1096"/>
      <c r="AJ112" s="1096"/>
      <c r="AK112" s="1096"/>
      <c r="AL112" s="1096"/>
      <c r="AM112" s="1096"/>
      <c r="AN112" s="1096"/>
      <c r="AO112" s="1096"/>
      <c r="AP112" s="1096"/>
      <c r="AQ112" s="1096"/>
      <c r="AR112" s="1096"/>
      <c r="AS112" s="1096"/>
      <c r="AT112" s="1096"/>
      <c r="AU112" s="1096"/>
      <c r="AV112" s="1096"/>
      <c r="AW112" s="1096"/>
      <c r="AX112" s="1096"/>
      <c r="AY112" s="1096"/>
      <c r="AZ112" s="1096"/>
      <c r="BA112" s="1096"/>
      <c r="BB112" s="1096"/>
      <c r="BC112" s="1096"/>
      <c r="BD112" s="1096"/>
      <c r="BE112" s="1096"/>
      <c r="BF112" s="1096"/>
      <c r="BG112" s="1096"/>
      <c r="BH112" s="1096"/>
      <c r="BI112" s="1096"/>
      <c r="BJ112" s="1096"/>
      <c r="BK112" s="1096"/>
      <c r="BL112" s="1096"/>
      <c r="BM112" s="1096"/>
      <c r="BN112" s="1096"/>
      <c r="BO112" s="1096"/>
      <c r="BP112" s="1096"/>
      <c r="BQ112" s="1096"/>
      <c r="BR112" s="1096"/>
      <c r="BS112" s="1096"/>
      <c r="BT112" s="1096"/>
      <c r="BU112" s="1096"/>
    </row>
    <row r="113" spans="1:73" ht="13" x14ac:dyDescent="0.3">
      <c r="A113" s="1096"/>
      <c r="B113" s="1098"/>
      <c r="C113" s="1201"/>
      <c r="D113" s="1202"/>
      <c r="E113" s="1203"/>
      <c r="F113" s="1203"/>
      <c r="G113" s="1203"/>
      <c r="H113" s="1113"/>
      <c r="I113" s="1113"/>
      <c r="J113" s="1113"/>
      <c r="K113" s="1113"/>
      <c r="L113" s="1113"/>
      <c r="M113" s="1113"/>
      <c r="N113" s="1113"/>
      <c r="O113" s="1113"/>
      <c r="P113" s="1113"/>
      <c r="Q113" s="1113"/>
      <c r="R113" s="1113"/>
      <c r="S113" s="1113"/>
      <c r="T113" s="1096"/>
      <c r="U113" s="1096"/>
      <c r="V113" s="1096"/>
      <c r="W113" s="1096"/>
      <c r="X113" s="1096"/>
      <c r="Y113" s="1096"/>
      <c r="Z113" s="1096"/>
      <c r="AA113" s="1096"/>
      <c r="AB113" s="1096"/>
      <c r="AC113" s="1096"/>
      <c r="AD113" s="1096"/>
      <c r="AE113" s="1096"/>
      <c r="AF113" s="1096"/>
      <c r="AG113" s="1096"/>
      <c r="AH113" s="1096"/>
      <c r="AI113" s="1096"/>
      <c r="AJ113" s="1096"/>
      <c r="AK113" s="1096"/>
      <c r="AL113" s="1096"/>
      <c r="AM113" s="1096"/>
      <c r="AN113" s="1096"/>
      <c r="AO113" s="1096"/>
      <c r="AP113" s="1096"/>
      <c r="AQ113" s="1096"/>
      <c r="AR113" s="1096"/>
      <c r="AS113" s="1096"/>
      <c r="AT113" s="1096"/>
      <c r="AU113" s="1096"/>
      <c r="AV113" s="1096"/>
      <c r="AW113" s="1096"/>
      <c r="AX113" s="1096"/>
      <c r="AY113" s="1096"/>
      <c r="AZ113" s="1096"/>
      <c r="BA113" s="1096"/>
      <c r="BB113" s="1096"/>
      <c r="BC113" s="1096"/>
      <c r="BD113" s="1096"/>
      <c r="BE113" s="1096"/>
      <c r="BF113" s="1096"/>
      <c r="BG113" s="1096"/>
      <c r="BH113" s="1096"/>
      <c r="BI113" s="1096"/>
      <c r="BJ113" s="1096"/>
      <c r="BK113" s="1096"/>
      <c r="BL113" s="1096"/>
      <c r="BM113" s="1096"/>
      <c r="BN113" s="1096"/>
      <c r="BO113" s="1096"/>
      <c r="BP113" s="1096"/>
      <c r="BQ113" s="1096"/>
      <c r="BR113" s="1096"/>
      <c r="BS113" s="1096"/>
      <c r="BT113" s="1096"/>
      <c r="BU113" s="1096"/>
    </row>
    <row r="114" spans="1:73" ht="13" x14ac:dyDescent="0.3">
      <c r="A114" s="1096"/>
      <c r="B114" s="1098"/>
      <c r="C114" s="1201"/>
      <c r="D114" s="1203"/>
      <c r="E114" s="1203"/>
      <c r="F114" s="1203"/>
      <c r="G114" s="1203"/>
      <c r="H114" s="1203"/>
      <c r="I114" s="1203"/>
      <c r="J114" s="1203"/>
      <c r="K114" s="1203"/>
      <c r="L114" s="1203"/>
      <c r="M114" s="1203"/>
      <c r="N114" s="1203"/>
      <c r="O114" s="1203"/>
      <c r="P114" s="1203"/>
      <c r="Q114" s="1203"/>
      <c r="R114" s="1203"/>
      <c r="S114" s="1203"/>
      <c r="T114" s="1096"/>
      <c r="U114" s="1096"/>
      <c r="V114" s="1096"/>
      <c r="W114" s="1096"/>
      <c r="X114" s="1096"/>
      <c r="Y114" s="1096"/>
      <c r="Z114" s="1096"/>
      <c r="AA114" s="1096"/>
      <c r="AB114" s="1096"/>
      <c r="AC114" s="1096"/>
      <c r="AD114" s="1096"/>
      <c r="AE114" s="1096"/>
      <c r="AF114" s="1096"/>
      <c r="AG114" s="1096"/>
      <c r="AH114" s="1096"/>
      <c r="AI114" s="1096"/>
      <c r="AJ114" s="1096"/>
      <c r="AK114" s="1096"/>
      <c r="AL114" s="1096"/>
      <c r="AM114" s="1096"/>
      <c r="AN114" s="1096"/>
      <c r="AO114" s="1096"/>
      <c r="AP114" s="1096"/>
      <c r="AQ114" s="1096"/>
      <c r="AR114" s="1096"/>
      <c r="AS114" s="1096"/>
      <c r="AT114" s="1096"/>
      <c r="AU114" s="1096"/>
      <c r="AV114" s="1096"/>
      <c r="AW114" s="1096"/>
      <c r="AX114" s="1096"/>
      <c r="AY114" s="1096"/>
      <c r="AZ114" s="1096"/>
      <c r="BA114" s="1096"/>
      <c r="BB114" s="1096"/>
      <c r="BC114" s="1096"/>
      <c r="BD114" s="1096"/>
      <c r="BE114" s="1096"/>
      <c r="BF114" s="1096"/>
      <c r="BG114" s="1096"/>
      <c r="BH114" s="1096"/>
      <c r="BI114" s="1096"/>
      <c r="BJ114" s="1096"/>
      <c r="BK114" s="1096"/>
      <c r="BL114" s="1096"/>
      <c r="BM114" s="1096"/>
      <c r="BN114" s="1096"/>
      <c r="BO114" s="1096"/>
      <c r="BP114" s="1096"/>
      <c r="BQ114" s="1096"/>
      <c r="BR114" s="1096"/>
      <c r="BS114" s="1096"/>
      <c r="BT114" s="1096"/>
      <c r="BU114" s="1096"/>
    </row>
    <row r="115" spans="1:73" ht="13" x14ac:dyDescent="0.3">
      <c r="A115" s="1096"/>
      <c r="B115" s="1098"/>
      <c r="C115" s="1120">
        <v>1</v>
      </c>
      <c r="D115" s="1100" t="str">
        <f t="shared" ref="D115:G115" ca="1" si="48">OFFSET(D$76,MATCH($C115,$N$101:$N$107,0)*3-2,0)</f>
        <v>Feedstock Consumption (% of baseline) = 95%</v>
      </c>
      <c r="E115" s="1113">
        <f t="shared" ca="1" si="48"/>
        <v>2.1483109780849343</v>
      </c>
      <c r="F115" s="1113">
        <f t="shared" ca="1" si="48"/>
        <v>0</v>
      </c>
      <c r="G115" s="1113">
        <f t="shared" ca="1" si="48"/>
        <v>1.5466729916409979E-3</v>
      </c>
      <c r="H115" s="1203"/>
      <c r="I115" s="1203"/>
      <c r="J115" s="1203"/>
      <c r="K115" s="1203"/>
      <c r="L115" s="1203"/>
      <c r="M115" s="1203"/>
      <c r="N115" s="1203"/>
      <c r="O115" s="1203"/>
      <c r="P115" s="1203"/>
      <c r="Q115" s="1203"/>
      <c r="R115" s="1203"/>
      <c r="S115" s="1203"/>
      <c r="T115" s="1096"/>
      <c r="U115" s="1096"/>
      <c r="V115" s="1096"/>
      <c r="W115" s="1096"/>
      <c r="X115" s="1096"/>
      <c r="Y115" s="1096"/>
      <c r="Z115" s="1096"/>
      <c r="AA115" s="1096"/>
      <c r="AB115" s="1096"/>
      <c r="AC115" s="1096"/>
      <c r="AD115" s="1096"/>
      <c r="AE115" s="1096"/>
      <c r="AF115" s="1096"/>
      <c r="AG115" s="1096"/>
      <c r="AH115" s="1096"/>
      <c r="AI115" s="1096"/>
      <c r="AJ115" s="1096"/>
      <c r="AK115" s="1096"/>
      <c r="AL115" s="1096"/>
      <c r="AM115" s="1096"/>
      <c r="AN115" s="1096"/>
      <c r="AO115" s="1096"/>
      <c r="AP115" s="1096"/>
      <c r="AQ115" s="1096"/>
      <c r="AR115" s="1096"/>
      <c r="AS115" s="1096"/>
      <c r="AT115" s="1096"/>
      <c r="AU115" s="1096"/>
      <c r="AV115" s="1096"/>
      <c r="AW115" s="1096"/>
      <c r="AX115" s="1096"/>
      <c r="AY115" s="1096"/>
      <c r="AZ115" s="1096"/>
      <c r="BA115" s="1096"/>
      <c r="BB115" s="1096"/>
      <c r="BC115" s="1096"/>
      <c r="BD115" s="1096"/>
      <c r="BE115" s="1096"/>
      <c r="BF115" s="1096"/>
      <c r="BG115" s="1096"/>
      <c r="BH115" s="1096"/>
      <c r="BI115" s="1096"/>
      <c r="BJ115" s="1096"/>
      <c r="BK115" s="1096"/>
      <c r="BL115" s="1096"/>
      <c r="BM115" s="1096"/>
      <c r="BN115" s="1096"/>
      <c r="BO115" s="1096"/>
      <c r="BP115" s="1096"/>
      <c r="BQ115" s="1096"/>
      <c r="BR115" s="1096"/>
      <c r="BS115" s="1096"/>
      <c r="BT115" s="1096"/>
      <c r="BU115" s="1096"/>
    </row>
    <row r="116" spans="1:73" ht="13" x14ac:dyDescent="0.3">
      <c r="A116" s="1096"/>
      <c r="B116" s="1098"/>
      <c r="C116" s="1100"/>
      <c r="D116" s="1100"/>
      <c r="E116" s="1100"/>
      <c r="F116" s="1100"/>
      <c r="G116" s="1100"/>
      <c r="H116" s="1113">
        <f t="shared" ref="H116:S116" ca="1" si="49">OFFSET(H$76,MATCH($C115,$N$101:$N$107,0)*3-2,0)</f>
        <v>0.14063856670484737</v>
      </c>
      <c r="I116" s="1113">
        <f t="shared" ca="1" si="49"/>
        <v>1.9752209149708037E-2</v>
      </c>
      <c r="J116" s="1113">
        <f t="shared" ca="1" si="49"/>
        <v>2.5182722083553606E-2</v>
      </c>
      <c r="K116" s="1113">
        <f t="shared" ca="1" si="49"/>
        <v>5.5084601150012609E-3</v>
      </c>
      <c r="L116" s="1113">
        <f t="shared" ca="1" si="49"/>
        <v>1.5249343462242497E-3</v>
      </c>
      <c r="M116" s="1113">
        <f t="shared" ca="1" si="49"/>
        <v>0.24151439550643775</v>
      </c>
      <c r="N116" s="1113">
        <f t="shared" ca="1" si="49"/>
        <v>1.2766704751729607</v>
      </c>
      <c r="O116" s="1113">
        <f t="shared" ca="1" si="49"/>
        <v>0.14277252538404067</v>
      </c>
      <c r="P116" s="1113">
        <f t="shared" ca="1" si="49"/>
        <v>0.18472633156029178</v>
      </c>
      <c r="Q116" s="1113">
        <f t="shared" ca="1" si="49"/>
        <v>9.2389977839911513E-2</v>
      </c>
      <c r="R116" s="1113">
        <f t="shared" ca="1" si="49"/>
        <v>1.5026684617646946E-2</v>
      </c>
      <c r="S116" s="1113">
        <f t="shared" ca="1" si="49"/>
        <v>4.1503685959502759E-3</v>
      </c>
      <c r="T116" s="1096"/>
      <c r="U116" s="1096"/>
      <c r="V116" s="1096"/>
      <c r="W116" s="1096"/>
      <c r="X116" s="1096"/>
      <c r="Y116" s="1096"/>
      <c r="Z116" s="1096"/>
      <c r="AA116" s="1096"/>
      <c r="AB116" s="1096"/>
      <c r="AC116" s="1096"/>
      <c r="AD116" s="1096"/>
      <c r="AE116" s="1096"/>
      <c r="AF116" s="1096"/>
      <c r="AG116" s="1096"/>
      <c r="AH116" s="1096"/>
      <c r="AI116" s="1096"/>
      <c r="AJ116" s="1096"/>
      <c r="AK116" s="1096"/>
      <c r="AL116" s="1096"/>
      <c r="AM116" s="1096"/>
      <c r="AN116" s="1096"/>
      <c r="AO116" s="1096"/>
      <c r="AP116" s="1096"/>
      <c r="AQ116" s="1096"/>
      <c r="AR116" s="1096"/>
      <c r="AS116" s="1096"/>
      <c r="AT116" s="1096"/>
      <c r="AU116" s="1096"/>
      <c r="AV116" s="1096"/>
      <c r="AW116" s="1096"/>
      <c r="AX116" s="1096"/>
      <c r="AY116" s="1096"/>
      <c r="AZ116" s="1096"/>
      <c r="BA116" s="1096"/>
      <c r="BB116" s="1096"/>
      <c r="BC116" s="1096"/>
      <c r="BD116" s="1096"/>
      <c r="BE116" s="1096"/>
      <c r="BF116" s="1096"/>
      <c r="BG116" s="1096"/>
      <c r="BH116" s="1096"/>
      <c r="BI116" s="1096"/>
      <c r="BJ116" s="1096"/>
      <c r="BK116" s="1096"/>
      <c r="BL116" s="1096"/>
      <c r="BM116" s="1096"/>
      <c r="BN116" s="1096"/>
      <c r="BO116" s="1096"/>
      <c r="BP116" s="1096"/>
      <c r="BQ116" s="1096"/>
      <c r="BR116" s="1096"/>
      <c r="BS116" s="1096"/>
      <c r="BT116" s="1096"/>
      <c r="BU116" s="1096"/>
    </row>
    <row r="117" spans="1:73" ht="13" x14ac:dyDescent="0.3">
      <c r="A117" s="1096"/>
      <c r="B117" s="1098"/>
      <c r="C117" s="1120">
        <v>1</v>
      </c>
      <c r="D117" s="1100" t="str">
        <f t="shared" ref="D117:G117" ca="1" si="50">OFFSET(D$76,MATCH($C117,$N$101:$N$107,0)*3,0)</f>
        <v>Feedstock Consumption (% of baseline) = 105%</v>
      </c>
      <c r="E117" s="1113">
        <f t="shared" ca="1" si="50"/>
        <v>2.2851662772273</v>
      </c>
      <c r="F117" s="1113">
        <f t="shared" ca="1" si="50"/>
        <v>0</v>
      </c>
      <c r="G117" s="1113">
        <f t="shared" ca="1" si="50"/>
        <v>1.5466729916409979E-3</v>
      </c>
      <c r="H117" s="1100"/>
      <c r="I117" s="1100"/>
      <c r="J117" s="1100"/>
      <c r="K117" s="1100"/>
      <c r="L117" s="1100"/>
      <c r="M117" s="1100"/>
      <c r="N117" s="1100"/>
      <c r="O117" s="1100"/>
      <c r="P117" s="1100"/>
      <c r="Q117" s="1100"/>
      <c r="R117" s="1100"/>
      <c r="S117" s="1100"/>
      <c r="T117" s="1096"/>
      <c r="U117" s="1096"/>
      <c r="V117" s="1096"/>
      <c r="W117" s="1096"/>
      <c r="X117" s="1096"/>
      <c r="Y117" s="1096"/>
      <c r="Z117" s="1096"/>
      <c r="AA117" s="1096"/>
      <c r="AB117" s="1096"/>
      <c r="AC117" s="1096"/>
      <c r="AD117" s="1096"/>
      <c r="AE117" s="1096"/>
      <c r="AF117" s="1096"/>
      <c r="AG117" s="1096"/>
      <c r="AH117" s="1096"/>
      <c r="AI117" s="1096"/>
      <c r="AJ117" s="1096"/>
      <c r="AK117" s="1096"/>
      <c r="AL117" s="1096"/>
      <c r="AM117" s="1096"/>
      <c r="AN117" s="1096"/>
      <c r="AO117" s="1096"/>
      <c r="AP117" s="1096"/>
      <c r="AQ117" s="1096"/>
      <c r="AR117" s="1096"/>
      <c r="AS117" s="1096"/>
      <c r="AT117" s="1096"/>
      <c r="AU117" s="1096"/>
      <c r="AV117" s="1096"/>
      <c r="AW117" s="1096"/>
      <c r="AX117" s="1096"/>
      <c r="AY117" s="1096"/>
      <c r="AZ117" s="1096"/>
      <c r="BA117" s="1096"/>
      <c r="BB117" s="1096"/>
      <c r="BC117" s="1096"/>
      <c r="BD117" s="1096"/>
      <c r="BE117" s="1096"/>
      <c r="BF117" s="1096"/>
      <c r="BG117" s="1096"/>
      <c r="BH117" s="1096"/>
      <c r="BI117" s="1096"/>
      <c r="BJ117" s="1096"/>
      <c r="BK117" s="1096"/>
      <c r="BL117" s="1096"/>
      <c r="BM117" s="1096"/>
      <c r="BN117" s="1096"/>
      <c r="BO117" s="1096"/>
      <c r="BP117" s="1096"/>
      <c r="BQ117" s="1096"/>
      <c r="BR117" s="1096"/>
      <c r="BS117" s="1096"/>
      <c r="BT117" s="1096"/>
      <c r="BU117" s="1096"/>
    </row>
    <row r="118" spans="1:73" ht="13" x14ac:dyDescent="0.3">
      <c r="A118" s="1096"/>
      <c r="B118" s="1098"/>
      <c r="C118" s="1120"/>
      <c r="D118" s="1100"/>
      <c r="E118" s="1113"/>
      <c r="F118" s="1113"/>
      <c r="G118" s="1113"/>
      <c r="H118" s="1113">
        <f t="shared" ref="H118:S118" ca="1" si="51">OFFSET(H$76,MATCH($C117,$N$101:$N$107,0)*3,0)</f>
        <v>0.14063856670484737</v>
      </c>
      <c r="I118" s="1113">
        <f t="shared" ca="1" si="51"/>
        <v>1.9752209149708037E-2</v>
      </c>
      <c r="J118" s="1113">
        <f t="shared" ca="1" si="51"/>
        <v>2.7016151977891079E-2</v>
      </c>
      <c r="K118" s="1113">
        <f t="shared" ca="1" si="51"/>
        <v>5.5084601150012609E-3</v>
      </c>
      <c r="L118" s="1113">
        <f t="shared" ca="1" si="51"/>
        <v>1.5249343462242497E-3</v>
      </c>
      <c r="M118" s="1113">
        <f t="shared" ca="1" si="51"/>
        <v>0.24151439550643775</v>
      </c>
      <c r="N118" s="1113">
        <f t="shared" ca="1" si="51"/>
        <v>1.4110568409806403</v>
      </c>
      <c r="O118" s="1113">
        <f t="shared" ca="1" si="51"/>
        <v>0.14277252538404067</v>
      </c>
      <c r="P118" s="1113">
        <f t="shared" ca="1" si="51"/>
        <v>0.18472633156029178</v>
      </c>
      <c r="Q118" s="1113">
        <f t="shared" ca="1" si="51"/>
        <v>9.2389977839911513E-2</v>
      </c>
      <c r="R118" s="1113">
        <f t="shared" ca="1" si="51"/>
        <v>1.5662188057994856E-2</v>
      </c>
      <c r="S118" s="1113">
        <f t="shared" ca="1" si="51"/>
        <v>4.1503685959502759E-3</v>
      </c>
      <c r="T118" s="1096"/>
      <c r="U118" s="1096"/>
      <c r="V118" s="1096"/>
      <c r="W118" s="1096"/>
      <c r="X118" s="1096"/>
      <c r="Y118" s="1096"/>
      <c r="Z118" s="1096"/>
      <c r="AA118" s="1096"/>
      <c r="AB118" s="1096"/>
      <c r="AC118" s="1096"/>
      <c r="AD118" s="1096"/>
      <c r="AE118" s="1096"/>
      <c r="AF118" s="1096"/>
      <c r="AG118" s="1096"/>
      <c r="AH118" s="1096"/>
      <c r="AI118" s="1096"/>
      <c r="AJ118" s="1096"/>
      <c r="AK118" s="1096"/>
      <c r="AL118" s="1096"/>
      <c r="AM118" s="1096"/>
      <c r="AN118" s="1096"/>
      <c r="AO118" s="1096"/>
      <c r="AP118" s="1096"/>
      <c r="AQ118" s="1096"/>
      <c r="AR118" s="1096"/>
      <c r="AS118" s="1096"/>
      <c r="AT118" s="1096"/>
      <c r="AU118" s="1096"/>
      <c r="AV118" s="1096"/>
      <c r="AW118" s="1096"/>
      <c r="AX118" s="1096"/>
      <c r="AY118" s="1096"/>
      <c r="AZ118" s="1096"/>
      <c r="BA118" s="1096"/>
      <c r="BB118" s="1096"/>
      <c r="BC118" s="1096"/>
      <c r="BD118" s="1096"/>
      <c r="BE118" s="1096"/>
      <c r="BF118" s="1096"/>
      <c r="BG118" s="1096"/>
      <c r="BH118" s="1096"/>
      <c r="BI118" s="1096"/>
      <c r="BJ118" s="1096"/>
      <c r="BK118" s="1096"/>
      <c r="BL118" s="1096"/>
      <c r="BM118" s="1096"/>
      <c r="BN118" s="1096"/>
      <c r="BO118" s="1096"/>
      <c r="BP118" s="1096"/>
      <c r="BQ118" s="1096"/>
      <c r="BR118" s="1096"/>
      <c r="BS118" s="1096"/>
      <c r="BT118" s="1096"/>
      <c r="BU118" s="1096"/>
    </row>
    <row r="119" spans="1:73" ht="13" x14ac:dyDescent="0.3">
      <c r="A119" s="1096"/>
      <c r="B119" s="1098"/>
      <c r="C119" s="1120"/>
      <c r="D119" s="1100"/>
      <c r="E119" s="1113"/>
      <c r="F119" s="1113"/>
      <c r="G119" s="1113"/>
      <c r="H119" s="1113"/>
      <c r="I119" s="1113"/>
      <c r="J119" s="1113"/>
      <c r="K119" s="1113"/>
      <c r="L119" s="1113"/>
      <c r="M119" s="1113"/>
      <c r="N119" s="1113"/>
      <c r="O119" s="1113"/>
      <c r="P119" s="1113"/>
      <c r="Q119" s="1113"/>
      <c r="R119" s="1113"/>
      <c r="S119" s="1113"/>
      <c r="T119" s="1096"/>
      <c r="U119" s="1096"/>
      <c r="V119" s="1096"/>
      <c r="W119" s="1096"/>
      <c r="X119" s="1096"/>
      <c r="Y119" s="1096"/>
      <c r="Z119" s="1096"/>
      <c r="AA119" s="1096"/>
      <c r="AB119" s="1096"/>
      <c r="AC119" s="1096"/>
      <c r="AD119" s="1096"/>
      <c r="AE119" s="1096"/>
      <c r="AF119" s="1096"/>
      <c r="AG119" s="1096"/>
      <c r="AH119" s="1096"/>
      <c r="AI119" s="1096"/>
      <c r="AJ119" s="1096"/>
      <c r="AK119" s="1096"/>
      <c r="AL119" s="1096"/>
      <c r="AM119" s="1096"/>
      <c r="AN119" s="1096"/>
      <c r="AO119" s="1096"/>
      <c r="AP119" s="1096"/>
      <c r="AQ119" s="1096"/>
      <c r="AR119" s="1096"/>
      <c r="AS119" s="1096"/>
      <c r="AT119" s="1096"/>
      <c r="AU119" s="1096"/>
      <c r="AV119" s="1096"/>
      <c r="AW119" s="1096"/>
      <c r="AX119" s="1096"/>
      <c r="AY119" s="1096"/>
      <c r="AZ119" s="1096"/>
      <c r="BA119" s="1096"/>
      <c r="BB119" s="1096"/>
      <c r="BC119" s="1096"/>
      <c r="BD119" s="1096"/>
      <c r="BE119" s="1096"/>
      <c r="BF119" s="1096"/>
      <c r="BG119" s="1096"/>
      <c r="BH119" s="1096"/>
      <c r="BI119" s="1096"/>
      <c r="BJ119" s="1096"/>
      <c r="BK119" s="1096"/>
      <c r="BL119" s="1096"/>
      <c r="BM119" s="1096"/>
      <c r="BN119" s="1096"/>
      <c r="BO119" s="1096"/>
      <c r="BP119" s="1096"/>
      <c r="BQ119" s="1096"/>
      <c r="BR119" s="1096"/>
      <c r="BS119" s="1096"/>
      <c r="BT119" s="1096"/>
      <c r="BU119" s="1096"/>
    </row>
    <row r="120" spans="1:73" x14ac:dyDescent="0.25">
      <c r="A120" s="1096"/>
      <c r="B120" s="1096"/>
      <c r="C120" s="1120">
        <v>2</v>
      </c>
      <c r="D120" s="1100" t="str">
        <f t="shared" ref="D120:G120" ca="1" si="52">OFFSET(D$76,MATCH($C120,$N$101:$N$107,0)*3-2,0)</f>
        <v>Operating Capacity Factor = 94.5%</v>
      </c>
      <c r="E120" s="1113">
        <f t="shared" ca="1" si="52"/>
        <v>2.1824300916819852</v>
      </c>
      <c r="F120" s="1113">
        <f t="shared" ca="1" si="52"/>
        <v>0</v>
      </c>
      <c r="G120" s="1113">
        <f t="shared" ca="1" si="52"/>
        <v>1.4730218968009509E-3</v>
      </c>
      <c r="H120" s="1113"/>
      <c r="I120" s="1113"/>
      <c r="J120" s="1113"/>
      <c r="K120" s="1113"/>
      <c r="L120" s="1113"/>
      <c r="M120" s="1113"/>
      <c r="N120" s="1113"/>
      <c r="O120" s="1113"/>
      <c r="P120" s="1113"/>
      <c r="Q120" s="1113"/>
      <c r="R120" s="1113"/>
      <c r="S120" s="1113"/>
      <c r="T120" s="1096"/>
      <c r="U120" s="1096"/>
      <c r="V120" s="1096"/>
      <c r="W120" s="1096"/>
      <c r="X120" s="1096"/>
      <c r="Y120" s="1096"/>
      <c r="Z120" s="1096"/>
      <c r="AA120" s="1096"/>
      <c r="AB120" s="1096"/>
      <c r="AC120" s="1096"/>
      <c r="AD120" s="1096"/>
      <c r="AE120" s="1096"/>
      <c r="AF120" s="1096"/>
      <c r="AG120" s="1096"/>
      <c r="AH120" s="1096"/>
      <c r="AI120" s="1096"/>
      <c r="AJ120" s="1096"/>
      <c r="AK120" s="1096"/>
      <c r="AL120" s="1096"/>
      <c r="AM120" s="1096"/>
      <c r="AN120" s="1096"/>
      <c r="AO120" s="1096"/>
      <c r="AP120" s="1096"/>
      <c r="AQ120" s="1096"/>
      <c r="AR120" s="1096"/>
      <c r="AS120" s="1096"/>
      <c r="AT120" s="1096"/>
      <c r="AU120" s="1096"/>
      <c r="AV120" s="1096"/>
      <c r="AW120" s="1096"/>
      <c r="AX120" s="1096"/>
      <c r="AY120" s="1096"/>
      <c r="AZ120" s="1096"/>
      <c r="BA120" s="1096"/>
      <c r="BB120" s="1096"/>
      <c r="BC120" s="1096"/>
      <c r="BD120" s="1096"/>
      <c r="BE120" s="1096"/>
      <c r="BF120" s="1096"/>
      <c r="BG120" s="1096"/>
      <c r="BH120" s="1096"/>
      <c r="BI120" s="1096"/>
      <c r="BJ120" s="1096"/>
      <c r="BK120" s="1096"/>
      <c r="BL120" s="1096"/>
      <c r="BM120" s="1096"/>
      <c r="BN120" s="1096"/>
      <c r="BO120" s="1096"/>
      <c r="BP120" s="1096"/>
      <c r="BQ120" s="1096"/>
      <c r="BR120" s="1096"/>
      <c r="BS120" s="1096"/>
      <c r="BT120" s="1096"/>
      <c r="BU120" s="1096"/>
    </row>
    <row r="121" spans="1:73" x14ac:dyDescent="0.25">
      <c r="A121" s="1096"/>
      <c r="B121" s="1096"/>
      <c r="C121" s="1120"/>
      <c r="D121" s="1100"/>
      <c r="E121" s="1113"/>
      <c r="F121" s="1113"/>
      <c r="G121" s="1113"/>
      <c r="H121" s="1113">
        <f t="shared" ref="H121:S121" ca="1" si="53">OFFSET(H$76,MATCH($C120,$N$101:$N$107,0)*3-2,0)</f>
        <v>0.13394149209985468</v>
      </c>
      <c r="I121" s="1113">
        <f t="shared" ca="1" si="53"/>
        <v>1.8811627761626707E-2</v>
      </c>
      <c r="J121" s="1113">
        <f t="shared" ca="1" si="53"/>
        <v>2.5811144183943691E-2</v>
      </c>
      <c r="K121" s="1113">
        <f t="shared" ca="1" si="53"/>
        <v>5.2461524904773927E-3</v>
      </c>
      <c r="L121" s="1113">
        <f t="shared" ca="1" si="53"/>
        <v>1.4523184249754762E-3</v>
      </c>
      <c r="M121" s="1113">
        <f t="shared" ca="1" si="53"/>
        <v>0.23001371000613122</v>
      </c>
      <c r="N121" s="1113">
        <f t="shared" ca="1" si="53"/>
        <v>1.3438636580768006</v>
      </c>
      <c r="O121" s="1113">
        <f t="shared" ca="1" si="53"/>
        <v>0.13597383369908642</v>
      </c>
      <c r="P121" s="1113">
        <f t="shared" ca="1" si="53"/>
        <v>0.18190137909228016</v>
      </c>
      <c r="Q121" s="1113">
        <f t="shared" ca="1" si="53"/>
        <v>8.7990455085630012E-2</v>
      </c>
      <c r="R121" s="1113">
        <f t="shared" ca="1" si="53"/>
        <v>1.494461066183474E-2</v>
      </c>
      <c r="S121" s="1113">
        <f t="shared" ca="1" si="53"/>
        <v>3.9527319961431212E-3</v>
      </c>
      <c r="T121" s="1096"/>
      <c r="U121" s="1096"/>
      <c r="V121" s="1096"/>
      <c r="W121" s="1096"/>
      <c r="X121" s="1096"/>
      <c r="Y121" s="1096"/>
      <c r="Z121" s="1096"/>
      <c r="AA121" s="1096"/>
      <c r="AB121" s="1096"/>
      <c r="AC121" s="1096"/>
      <c r="AD121" s="1096"/>
      <c r="AE121" s="1096"/>
      <c r="AF121" s="1096"/>
      <c r="AG121" s="1096"/>
      <c r="AH121" s="1096"/>
      <c r="AI121" s="1096"/>
      <c r="AJ121" s="1096"/>
      <c r="AK121" s="1096"/>
      <c r="AL121" s="1096"/>
      <c r="AM121" s="1096"/>
      <c r="AN121" s="1096"/>
      <c r="AO121" s="1096"/>
      <c r="AP121" s="1096"/>
      <c r="AQ121" s="1096"/>
      <c r="AR121" s="1096"/>
      <c r="AS121" s="1096"/>
      <c r="AT121" s="1096"/>
      <c r="AU121" s="1096"/>
      <c r="AV121" s="1096"/>
      <c r="AW121" s="1096"/>
      <c r="AX121" s="1096"/>
      <c r="AY121" s="1096"/>
      <c r="AZ121" s="1096"/>
      <c r="BA121" s="1096"/>
      <c r="BB121" s="1096"/>
      <c r="BC121" s="1096"/>
      <c r="BD121" s="1096"/>
      <c r="BE121" s="1096"/>
      <c r="BF121" s="1096"/>
      <c r="BG121" s="1096"/>
      <c r="BH121" s="1096"/>
      <c r="BI121" s="1096"/>
      <c r="BJ121" s="1096"/>
      <c r="BK121" s="1096"/>
      <c r="BL121" s="1096"/>
      <c r="BM121" s="1096"/>
      <c r="BN121" s="1096"/>
      <c r="BO121" s="1096"/>
      <c r="BP121" s="1096"/>
      <c r="BQ121" s="1096"/>
      <c r="BR121" s="1096"/>
      <c r="BS121" s="1096"/>
      <c r="BT121" s="1096"/>
      <c r="BU121" s="1096"/>
    </row>
    <row r="122" spans="1:73" x14ac:dyDescent="0.25">
      <c r="A122" s="1096"/>
      <c r="B122" s="1096"/>
      <c r="C122" s="1120">
        <v>2</v>
      </c>
      <c r="D122" s="1100" t="str">
        <f t="shared" ref="D122:G122" ca="1" si="54">OFFSET(D$76,MATCH($C122,$N$101:$N$107,0)*3,0)</f>
        <v>Operating Capacity Factor = 85.5%</v>
      </c>
      <c r="E122" s="1113">
        <f t="shared" ca="1" si="54"/>
        <v>2.2546585884696331</v>
      </c>
      <c r="F122" s="1113">
        <f t="shared" ca="1" si="54"/>
        <v>0</v>
      </c>
      <c r="G122" s="1113">
        <f t="shared" ca="1" si="54"/>
        <v>1.6280768333063137E-3</v>
      </c>
      <c r="H122" s="1113"/>
      <c r="I122" s="1113"/>
      <c r="J122" s="1113"/>
      <c r="K122" s="1113"/>
      <c r="L122" s="1113"/>
      <c r="M122" s="1113"/>
      <c r="N122" s="1113"/>
      <c r="O122" s="1113"/>
      <c r="P122" s="1113"/>
      <c r="Q122" s="1113"/>
      <c r="R122" s="1113"/>
      <c r="S122" s="1113"/>
      <c r="T122" s="1096"/>
      <c r="U122" s="1096"/>
      <c r="V122" s="1096"/>
      <c r="W122" s="1096"/>
      <c r="X122" s="1096"/>
      <c r="Y122" s="1096"/>
      <c r="Z122" s="1096"/>
      <c r="AA122" s="1096"/>
      <c r="AB122" s="1096"/>
      <c r="AC122" s="1096"/>
      <c r="AD122" s="1096"/>
      <c r="AE122" s="1096"/>
      <c r="AF122" s="1096"/>
      <c r="AG122" s="1096"/>
      <c r="AH122" s="1096"/>
      <c r="AI122" s="1096"/>
      <c r="AJ122" s="1096"/>
      <c r="AK122" s="1096"/>
      <c r="AL122" s="1096"/>
      <c r="AM122" s="1096"/>
      <c r="AN122" s="1096"/>
      <c r="AO122" s="1096"/>
      <c r="AP122" s="1096"/>
      <c r="AQ122" s="1096"/>
      <c r="AR122" s="1096"/>
      <c r="AS122" s="1096"/>
      <c r="AT122" s="1096"/>
      <c r="AU122" s="1096"/>
      <c r="AV122" s="1096"/>
      <c r="AW122" s="1096"/>
      <c r="AX122" s="1096"/>
      <c r="AY122" s="1096"/>
      <c r="AZ122" s="1096"/>
      <c r="BA122" s="1096"/>
      <c r="BB122" s="1096"/>
      <c r="BC122" s="1096"/>
      <c r="BD122" s="1096"/>
      <c r="BE122" s="1096"/>
      <c r="BF122" s="1096"/>
      <c r="BG122" s="1096"/>
      <c r="BH122" s="1096"/>
      <c r="BI122" s="1096"/>
      <c r="BJ122" s="1096"/>
      <c r="BK122" s="1096"/>
      <c r="BL122" s="1096"/>
      <c r="BM122" s="1096"/>
      <c r="BN122" s="1096"/>
      <c r="BO122" s="1096"/>
      <c r="BP122" s="1096"/>
      <c r="BQ122" s="1096"/>
      <c r="BR122" s="1096"/>
      <c r="BS122" s="1096"/>
      <c r="BT122" s="1096"/>
      <c r="BU122" s="1096"/>
    </row>
    <row r="123" spans="1:73" x14ac:dyDescent="0.25">
      <c r="A123" s="1096"/>
      <c r="B123" s="1096"/>
      <c r="C123" s="1120"/>
      <c r="D123" s="1100"/>
      <c r="E123" s="1113"/>
      <c r="F123" s="1113"/>
      <c r="G123" s="1113"/>
      <c r="H123" s="1113">
        <f t="shared" ref="H123:S123" ca="1" si="55">OFFSET(H$76,MATCH($C122,$N$101:$N$107,0)*3,0)</f>
        <v>0.14804059653141827</v>
      </c>
      <c r="I123" s="1113">
        <f t="shared" ca="1" si="55"/>
        <v>2.0791799104955828E-2</v>
      </c>
      <c r="J123" s="1113">
        <f t="shared" ca="1" si="55"/>
        <v>2.641807649295138E-2</v>
      </c>
      <c r="K123" s="1113">
        <f t="shared" ca="1" si="55"/>
        <v>5.7983790684223791E-3</v>
      </c>
      <c r="L123" s="1113">
        <f t="shared" ca="1" si="55"/>
        <v>1.6051940486571049E-3</v>
      </c>
      <c r="M123" s="1113">
        <f t="shared" ca="1" si="55"/>
        <v>0.25422567948046076</v>
      </c>
      <c r="N123" s="1113">
        <f t="shared" ca="1" si="55"/>
        <v>1.3438636580768006</v>
      </c>
      <c r="O123" s="1113">
        <f t="shared" ca="1" si="55"/>
        <v>0.15028686882530598</v>
      </c>
      <c r="P123" s="1113">
        <f t="shared" ca="1" si="55"/>
        <v>0.18784864744598892</v>
      </c>
      <c r="Q123" s="1113">
        <f t="shared" ca="1" si="55"/>
        <v>9.7252608252538439E-2</v>
      </c>
      <c r="R123" s="1113">
        <f t="shared" ca="1" si="55"/>
        <v>1.5786348927068879E-2</v>
      </c>
      <c r="S123" s="1113">
        <f t="shared" ca="1" si="55"/>
        <v>4.3688090483687114E-3</v>
      </c>
      <c r="T123" s="1096"/>
      <c r="U123" s="1096"/>
      <c r="V123" s="1096"/>
      <c r="W123" s="1096"/>
      <c r="X123" s="1096"/>
      <c r="Y123" s="1096"/>
      <c r="Z123" s="1096"/>
      <c r="AA123" s="1096"/>
      <c r="AB123" s="1096"/>
      <c r="AC123" s="1096"/>
      <c r="AD123" s="1096"/>
      <c r="AE123" s="1096"/>
      <c r="AF123" s="1096"/>
      <c r="AG123" s="1096"/>
      <c r="AH123" s="1096"/>
      <c r="AI123" s="1096"/>
      <c r="AJ123" s="1096"/>
      <c r="AK123" s="1096"/>
      <c r="AL123" s="1096"/>
      <c r="AM123" s="1096"/>
      <c r="AN123" s="1096"/>
      <c r="AO123" s="1096"/>
      <c r="AP123" s="1096"/>
      <c r="AQ123" s="1096"/>
      <c r="AR123" s="1096"/>
      <c r="AS123" s="1096"/>
      <c r="AT123" s="1096"/>
      <c r="AU123" s="1096"/>
      <c r="AV123" s="1096"/>
      <c r="AW123" s="1096"/>
      <c r="AX123" s="1096"/>
      <c r="AY123" s="1096"/>
      <c r="AZ123" s="1096"/>
      <c r="BA123" s="1096"/>
      <c r="BB123" s="1096"/>
      <c r="BC123" s="1096"/>
      <c r="BD123" s="1096"/>
      <c r="BE123" s="1096"/>
      <c r="BF123" s="1096"/>
      <c r="BG123" s="1096"/>
      <c r="BH123" s="1096"/>
      <c r="BI123" s="1096"/>
      <c r="BJ123" s="1096"/>
      <c r="BK123" s="1096"/>
      <c r="BL123" s="1096"/>
      <c r="BM123" s="1096"/>
      <c r="BN123" s="1096"/>
      <c r="BO123" s="1096"/>
      <c r="BP123" s="1096"/>
      <c r="BQ123" s="1096"/>
      <c r="BR123" s="1096"/>
      <c r="BS123" s="1096"/>
      <c r="BT123" s="1096"/>
      <c r="BU123" s="1096"/>
    </row>
    <row r="124" spans="1:73" x14ac:dyDescent="0.25">
      <c r="A124" s="1096"/>
      <c r="B124" s="1096"/>
      <c r="C124" s="1120"/>
      <c r="D124" s="1100"/>
      <c r="E124" s="1113"/>
      <c r="F124" s="1113"/>
      <c r="G124" s="1113"/>
      <c r="H124" s="1113"/>
      <c r="I124" s="1113"/>
      <c r="J124" s="1113"/>
      <c r="K124" s="1113"/>
      <c r="L124" s="1113"/>
      <c r="M124" s="1113"/>
      <c r="N124" s="1113"/>
      <c r="O124" s="1113"/>
      <c r="P124" s="1113"/>
      <c r="Q124" s="1113"/>
      <c r="R124" s="1113"/>
      <c r="S124" s="1113"/>
      <c r="T124" s="1096"/>
      <c r="U124" s="1096"/>
      <c r="V124" s="1096"/>
      <c r="W124" s="1096"/>
      <c r="X124" s="1096"/>
      <c r="Y124" s="1096"/>
      <c r="Z124" s="1096"/>
      <c r="AA124" s="1096"/>
      <c r="AB124" s="1096"/>
      <c r="AC124" s="1096"/>
      <c r="AD124" s="1096"/>
      <c r="AE124" s="1096"/>
      <c r="AF124" s="1096"/>
      <c r="AG124" s="1096"/>
      <c r="AH124" s="1096"/>
      <c r="AI124" s="1096"/>
      <c r="AJ124" s="1096"/>
      <c r="AK124" s="1096"/>
      <c r="AL124" s="1096"/>
      <c r="AM124" s="1096"/>
      <c r="AN124" s="1096"/>
      <c r="AO124" s="1096"/>
      <c r="AP124" s="1096"/>
      <c r="AQ124" s="1096"/>
      <c r="AR124" s="1096"/>
      <c r="AS124" s="1096"/>
      <c r="AT124" s="1096"/>
      <c r="AU124" s="1096"/>
      <c r="AV124" s="1096"/>
      <c r="AW124" s="1096"/>
      <c r="AX124" s="1096"/>
      <c r="AY124" s="1096"/>
      <c r="AZ124" s="1096"/>
      <c r="BA124" s="1096"/>
      <c r="BB124" s="1096"/>
      <c r="BC124" s="1096"/>
      <c r="BD124" s="1096"/>
      <c r="BE124" s="1096"/>
      <c r="BF124" s="1096"/>
      <c r="BG124" s="1096"/>
      <c r="BH124" s="1096"/>
      <c r="BI124" s="1096"/>
      <c r="BJ124" s="1096"/>
      <c r="BK124" s="1096"/>
      <c r="BL124" s="1096"/>
      <c r="BM124" s="1096"/>
      <c r="BN124" s="1096"/>
      <c r="BO124" s="1096"/>
      <c r="BP124" s="1096"/>
      <c r="BQ124" s="1096"/>
      <c r="BR124" s="1096"/>
      <c r="BS124" s="1096"/>
      <c r="BT124" s="1096"/>
      <c r="BU124" s="1096"/>
    </row>
    <row r="125" spans="1:73" x14ac:dyDescent="0.25">
      <c r="A125" s="1096"/>
      <c r="B125" s="1096"/>
      <c r="C125" s="1120">
        <v>3</v>
      </c>
      <c r="D125" s="1100" t="str">
        <f t="shared" ref="D125:G125" ca="1" si="56">OFFSET(D$76,MATCH($C125,$N$101:$N$107,0)*3-2,0)</f>
        <v>Total Capital Investment = $185,998K</v>
      </c>
      <c r="E125" s="1113">
        <f t="shared" ca="1" si="56"/>
        <v>2.2005814457790063</v>
      </c>
      <c r="F125" s="1113">
        <f t="shared" ca="1" si="56"/>
        <v>0</v>
      </c>
      <c r="G125" s="1113">
        <f t="shared" ca="1" si="56"/>
        <v>1.4693393420589479E-3</v>
      </c>
      <c r="H125" s="1113"/>
      <c r="I125" s="1113"/>
      <c r="J125" s="1113"/>
      <c r="K125" s="1113"/>
      <c r="L125" s="1113"/>
      <c r="M125" s="1113"/>
      <c r="N125" s="1113"/>
      <c r="O125" s="1113"/>
      <c r="P125" s="1113"/>
      <c r="Q125" s="1113"/>
      <c r="R125" s="1113"/>
      <c r="S125" s="1113"/>
      <c r="T125" s="1096"/>
      <c r="U125" s="1096"/>
      <c r="V125" s="1096"/>
      <c r="W125" s="1096"/>
      <c r="X125" s="1096"/>
      <c r="Y125" s="1096"/>
      <c r="Z125" s="1096"/>
      <c r="AA125" s="1096"/>
      <c r="AB125" s="1096"/>
      <c r="AC125" s="1096"/>
      <c r="AD125" s="1096"/>
      <c r="AE125" s="1096"/>
      <c r="AF125" s="1096"/>
      <c r="AG125" s="1096"/>
      <c r="AH125" s="1096"/>
      <c r="AI125" s="1096"/>
      <c r="AJ125" s="1096"/>
      <c r="AK125" s="1096"/>
      <c r="AL125" s="1096"/>
      <c r="AM125" s="1096"/>
      <c r="AN125" s="1096"/>
      <c r="AO125" s="1096"/>
      <c r="AP125" s="1096"/>
      <c r="AQ125" s="1096"/>
      <c r="AR125" s="1096"/>
      <c r="AS125" s="1096"/>
      <c r="AT125" s="1096"/>
      <c r="AU125" s="1096"/>
      <c r="AV125" s="1096"/>
      <c r="AW125" s="1096"/>
      <c r="AX125" s="1096"/>
      <c r="AY125" s="1096"/>
      <c r="AZ125" s="1096"/>
      <c r="BA125" s="1096"/>
      <c r="BB125" s="1096"/>
      <c r="BC125" s="1096"/>
      <c r="BD125" s="1096"/>
      <c r="BE125" s="1096"/>
      <c r="BF125" s="1096"/>
      <c r="BG125" s="1096"/>
      <c r="BH125" s="1096"/>
      <c r="BI125" s="1096"/>
      <c r="BJ125" s="1096"/>
      <c r="BK125" s="1096"/>
      <c r="BL125" s="1096"/>
      <c r="BM125" s="1096"/>
      <c r="BN125" s="1096"/>
      <c r="BO125" s="1096"/>
      <c r="BP125" s="1096"/>
      <c r="BQ125" s="1096"/>
      <c r="BR125" s="1096"/>
      <c r="BS125" s="1096"/>
      <c r="BT125" s="1096"/>
      <c r="BU125" s="1096"/>
    </row>
    <row r="126" spans="1:73" x14ac:dyDescent="0.25">
      <c r="A126" s="1096"/>
      <c r="B126" s="1096"/>
      <c r="C126" s="1120"/>
      <c r="D126" s="1100"/>
      <c r="E126" s="1113"/>
      <c r="F126" s="1113"/>
      <c r="G126" s="1113"/>
      <c r="H126" s="1113">
        <f t="shared" ref="H126:S126" ca="1" si="57">OFFSET(H$76,MATCH($C125,$N$101:$N$107,0)*3-2,0)</f>
        <v>0.13350639497417338</v>
      </c>
      <c r="I126" s="1113">
        <f t="shared" ca="1" si="57"/>
        <v>1.9752209149708037E-2</v>
      </c>
      <c r="J126" s="1113">
        <f t="shared" ca="1" si="57"/>
        <v>2.6044753174156225E-2</v>
      </c>
      <c r="K126" s="1113">
        <f t="shared" ca="1" si="57"/>
        <v>5.5084601150012609E-3</v>
      </c>
      <c r="L126" s="1113">
        <f t="shared" ca="1" si="57"/>
        <v>1.4476006966421997E-3</v>
      </c>
      <c r="M126" s="1113">
        <f t="shared" ca="1" si="57"/>
        <v>0.23750763829846464</v>
      </c>
      <c r="N126" s="1113">
        <f t="shared" ca="1" si="57"/>
        <v>1.3438636580768006</v>
      </c>
      <c r="O126" s="1113">
        <f t="shared" ca="1" si="57"/>
        <v>0.14277252538404067</v>
      </c>
      <c r="P126" s="1113">
        <f t="shared" ca="1" si="57"/>
        <v>0.18472633156029178</v>
      </c>
      <c r="Q126" s="1113">
        <f t="shared" ca="1" si="57"/>
        <v>8.7704625851574528E-2</v>
      </c>
      <c r="R126" s="1113">
        <f t="shared" ca="1" si="57"/>
        <v>1.5276695945391661E-2</v>
      </c>
      <c r="S126" s="1113">
        <f t="shared" ca="1" si="57"/>
        <v>3.9398918948186697E-3</v>
      </c>
      <c r="T126" s="1096"/>
      <c r="U126" s="1096"/>
      <c r="V126" s="1096"/>
      <c r="W126" s="1096"/>
      <c r="X126" s="1096"/>
      <c r="Y126" s="1096"/>
      <c r="Z126" s="1096"/>
      <c r="AA126" s="1096"/>
      <c r="AB126" s="1096"/>
      <c r="AC126" s="1096"/>
      <c r="AD126" s="1096"/>
      <c r="AE126" s="1096"/>
      <c r="AF126" s="1096"/>
      <c r="AG126" s="1096"/>
      <c r="AH126" s="1096"/>
      <c r="AI126" s="1096"/>
      <c r="AJ126" s="1096"/>
      <c r="AK126" s="1096"/>
      <c r="AL126" s="1096"/>
      <c r="AM126" s="1096"/>
      <c r="AN126" s="1096"/>
      <c r="AO126" s="1096"/>
      <c r="AP126" s="1096"/>
      <c r="AQ126" s="1096"/>
      <c r="AR126" s="1096"/>
      <c r="AS126" s="1096"/>
      <c r="AT126" s="1096"/>
      <c r="AU126" s="1096"/>
      <c r="AV126" s="1096"/>
      <c r="AW126" s="1096"/>
      <c r="AX126" s="1096"/>
      <c r="AY126" s="1096"/>
      <c r="AZ126" s="1096"/>
      <c r="BA126" s="1096"/>
      <c r="BB126" s="1096"/>
      <c r="BC126" s="1096"/>
      <c r="BD126" s="1096"/>
      <c r="BE126" s="1096"/>
      <c r="BF126" s="1096"/>
      <c r="BG126" s="1096"/>
      <c r="BH126" s="1096"/>
      <c r="BI126" s="1096"/>
      <c r="BJ126" s="1096"/>
      <c r="BK126" s="1096"/>
      <c r="BL126" s="1096"/>
      <c r="BM126" s="1096"/>
      <c r="BN126" s="1096"/>
      <c r="BO126" s="1096"/>
      <c r="BP126" s="1096"/>
      <c r="BQ126" s="1096"/>
      <c r="BR126" s="1096"/>
      <c r="BS126" s="1096"/>
      <c r="BT126" s="1096"/>
      <c r="BU126" s="1096"/>
    </row>
    <row r="127" spans="1:73" x14ac:dyDescent="0.25">
      <c r="A127" s="1096"/>
      <c r="B127" s="1096"/>
      <c r="C127" s="1120">
        <v>3</v>
      </c>
      <c r="D127" s="1100" t="str">
        <f t="shared" ref="D127:G127" ca="1" si="58">OFFSET(D$76,MATCH($C127,$N$101:$N$107,0)*3,0)</f>
        <v>Total Capital Investment = $205,577K</v>
      </c>
      <c r="E127" s="1113">
        <f t="shared" ca="1" si="58"/>
        <v>2.2328958095332281</v>
      </c>
      <c r="F127" s="1113">
        <f t="shared" ca="1" si="58"/>
        <v>0</v>
      </c>
      <c r="G127" s="1113">
        <f t="shared" ca="1" si="58"/>
        <v>1.6240066412230474E-3</v>
      </c>
      <c r="H127" s="1113"/>
      <c r="I127" s="1113"/>
      <c r="J127" s="1113"/>
      <c r="K127" s="1113"/>
      <c r="L127" s="1113"/>
      <c r="M127" s="1113"/>
      <c r="N127" s="1113"/>
      <c r="O127" s="1113"/>
      <c r="P127" s="1113"/>
      <c r="Q127" s="1113"/>
      <c r="R127" s="1113"/>
      <c r="S127" s="1113"/>
      <c r="T127" s="1096"/>
      <c r="U127" s="1096"/>
      <c r="V127" s="1096"/>
      <c r="W127" s="1096"/>
      <c r="X127" s="1096"/>
      <c r="Y127" s="1096"/>
      <c r="Z127" s="1096"/>
      <c r="AA127" s="1096"/>
      <c r="AB127" s="1096"/>
      <c r="AC127" s="1096"/>
      <c r="AD127" s="1096"/>
      <c r="AE127" s="1096"/>
      <c r="AF127" s="1096"/>
      <c r="AG127" s="1096"/>
      <c r="AH127" s="1096"/>
      <c r="AI127" s="1096"/>
      <c r="AJ127" s="1096"/>
      <c r="AK127" s="1096"/>
      <c r="AL127" s="1096"/>
      <c r="AM127" s="1096"/>
      <c r="AN127" s="1096"/>
      <c r="AO127" s="1096"/>
      <c r="AP127" s="1096"/>
      <c r="AQ127" s="1096"/>
      <c r="AR127" s="1096"/>
      <c r="AS127" s="1096"/>
      <c r="AT127" s="1096"/>
      <c r="AU127" s="1096"/>
      <c r="AV127" s="1096"/>
      <c r="AW127" s="1096"/>
      <c r="AX127" s="1096"/>
      <c r="AY127" s="1096"/>
      <c r="AZ127" s="1096"/>
      <c r="BA127" s="1096"/>
      <c r="BB127" s="1096"/>
      <c r="BC127" s="1096"/>
      <c r="BD127" s="1096"/>
      <c r="BE127" s="1096"/>
      <c r="BF127" s="1096"/>
      <c r="BG127" s="1096"/>
      <c r="BH127" s="1096"/>
      <c r="BI127" s="1096"/>
      <c r="BJ127" s="1096"/>
      <c r="BK127" s="1096"/>
      <c r="BL127" s="1096"/>
      <c r="BM127" s="1096"/>
      <c r="BN127" s="1096"/>
      <c r="BO127" s="1096"/>
      <c r="BP127" s="1096"/>
      <c r="BQ127" s="1096"/>
      <c r="BR127" s="1096"/>
      <c r="BS127" s="1096"/>
      <c r="BT127" s="1096"/>
      <c r="BU127" s="1096"/>
    </row>
    <row r="128" spans="1:73" x14ac:dyDescent="0.25">
      <c r="A128" s="1096"/>
      <c r="B128" s="1096"/>
      <c r="C128" s="1120"/>
      <c r="D128" s="1100"/>
      <c r="E128" s="1113"/>
      <c r="F128" s="1113"/>
      <c r="G128" s="1113"/>
      <c r="H128" s="1113">
        <f t="shared" ref="H128:S128" ca="1" si="59">OFFSET(H$76,MATCH($C127,$N$101:$N$107,0)*3,0)</f>
        <v>0.14777073843552135</v>
      </c>
      <c r="I128" s="1113">
        <f t="shared" ca="1" si="59"/>
        <v>1.9752209149708037E-2</v>
      </c>
      <c r="J128" s="1113">
        <f t="shared" ca="1" si="59"/>
        <v>2.6154120887288457E-2</v>
      </c>
      <c r="K128" s="1113">
        <f t="shared" ca="1" si="59"/>
        <v>5.5084601150012609E-3</v>
      </c>
      <c r="L128" s="1113">
        <f t="shared" ca="1" si="59"/>
        <v>1.6022679958062993E-3</v>
      </c>
      <c r="M128" s="1113">
        <f t="shared" ca="1" si="59"/>
        <v>0.24552115271441063</v>
      </c>
      <c r="N128" s="1113">
        <f t="shared" ca="1" si="59"/>
        <v>1.3438636580768006</v>
      </c>
      <c r="O128" s="1113">
        <f t="shared" ca="1" si="59"/>
        <v>0.14277252538404067</v>
      </c>
      <c r="P128" s="1113">
        <f t="shared" ca="1" si="59"/>
        <v>0.18472633156029178</v>
      </c>
      <c r="Q128" s="1113">
        <f t="shared" ca="1" si="59"/>
        <v>9.7075329828248416E-2</v>
      </c>
      <c r="R128" s="1113">
        <f t="shared" ca="1" si="59"/>
        <v>1.5412176730250032E-2</v>
      </c>
      <c r="S128" s="1113">
        <f t="shared" ca="1" si="59"/>
        <v>4.3608452970818829E-3</v>
      </c>
      <c r="T128" s="1096"/>
      <c r="U128" s="1096"/>
      <c r="V128" s="1096"/>
      <c r="W128" s="1096"/>
      <c r="X128" s="1096"/>
      <c r="Y128" s="1096"/>
      <c r="Z128" s="1096"/>
      <c r="AA128" s="1096"/>
      <c r="AB128" s="1096"/>
      <c r="AC128" s="1096"/>
      <c r="AD128" s="1096"/>
      <c r="AE128" s="1096"/>
      <c r="AF128" s="1096"/>
      <c r="AG128" s="1096"/>
      <c r="AH128" s="1096"/>
      <c r="AI128" s="1096"/>
      <c r="AJ128" s="1096"/>
      <c r="AK128" s="1096"/>
      <c r="AL128" s="1096"/>
      <c r="AM128" s="1096"/>
      <c r="AN128" s="1096"/>
      <c r="AO128" s="1096"/>
      <c r="AP128" s="1096"/>
      <c r="AQ128" s="1096"/>
      <c r="AR128" s="1096"/>
      <c r="AS128" s="1096"/>
      <c r="AT128" s="1096"/>
      <c r="AU128" s="1096"/>
      <c r="AV128" s="1096"/>
      <c r="AW128" s="1096"/>
      <c r="AX128" s="1096"/>
      <c r="AY128" s="1096"/>
      <c r="AZ128" s="1096"/>
      <c r="BA128" s="1096"/>
      <c r="BB128" s="1096"/>
      <c r="BC128" s="1096"/>
      <c r="BD128" s="1096"/>
      <c r="BE128" s="1096"/>
      <c r="BF128" s="1096"/>
      <c r="BG128" s="1096"/>
      <c r="BH128" s="1096"/>
      <c r="BI128" s="1096"/>
      <c r="BJ128" s="1096"/>
      <c r="BK128" s="1096"/>
      <c r="BL128" s="1096"/>
      <c r="BM128" s="1096"/>
      <c r="BN128" s="1096"/>
      <c r="BO128" s="1096"/>
      <c r="BP128" s="1096"/>
      <c r="BQ128" s="1096"/>
      <c r="BR128" s="1096"/>
      <c r="BS128" s="1096"/>
      <c r="BT128" s="1096"/>
      <c r="BU128" s="1096"/>
    </row>
    <row r="129" spans="1:73" x14ac:dyDescent="0.25">
      <c r="A129" s="1096"/>
      <c r="B129" s="1096"/>
      <c r="C129" s="1120"/>
      <c r="D129" s="1100"/>
      <c r="E129" s="1113"/>
      <c r="F129" s="1113"/>
      <c r="G129" s="1113"/>
      <c r="H129" s="1113"/>
      <c r="I129" s="1113"/>
      <c r="J129" s="1113"/>
      <c r="K129" s="1113"/>
      <c r="L129" s="1113"/>
      <c r="M129" s="1113"/>
      <c r="N129" s="1113"/>
      <c r="O129" s="1113"/>
      <c r="P129" s="1113"/>
      <c r="Q129" s="1113"/>
      <c r="R129" s="1113"/>
      <c r="S129" s="1113"/>
      <c r="T129" s="1096"/>
      <c r="U129" s="1096"/>
      <c r="V129" s="1096"/>
      <c r="W129" s="1096"/>
      <c r="X129" s="1096"/>
      <c r="Y129" s="1096"/>
      <c r="Z129" s="1096"/>
      <c r="AA129" s="1096"/>
      <c r="AB129" s="1096"/>
      <c r="AC129" s="1096"/>
      <c r="AD129" s="1096"/>
      <c r="AE129" s="1096"/>
      <c r="AF129" s="1096"/>
      <c r="AG129" s="1096"/>
      <c r="AH129" s="1096"/>
      <c r="AI129" s="1096"/>
      <c r="AJ129" s="1096"/>
      <c r="AK129" s="1096"/>
      <c r="AL129" s="1096"/>
      <c r="AM129" s="1096"/>
      <c r="AN129" s="1096"/>
      <c r="AO129" s="1096"/>
      <c r="AP129" s="1096"/>
      <c r="AQ129" s="1096"/>
      <c r="AR129" s="1096"/>
      <c r="AS129" s="1096"/>
      <c r="AT129" s="1096"/>
      <c r="AU129" s="1096"/>
      <c r="AV129" s="1096"/>
      <c r="AW129" s="1096"/>
      <c r="AX129" s="1096"/>
      <c r="AY129" s="1096"/>
      <c r="AZ129" s="1096"/>
      <c r="BA129" s="1096"/>
      <c r="BB129" s="1096"/>
      <c r="BC129" s="1096"/>
      <c r="BD129" s="1096"/>
      <c r="BE129" s="1096"/>
      <c r="BF129" s="1096"/>
      <c r="BG129" s="1096"/>
      <c r="BH129" s="1096"/>
      <c r="BI129" s="1096"/>
      <c r="BJ129" s="1096"/>
      <c r="BK129" s="1096"/>
      <c r="BL129" s="1096"/>
      <c r="BM129" s="1096"/>
      <c r="BN129" s="1096"/>
      <c r="BO129" s="1096"/>
      <c r="BP129" s="1096"/>
      <c r="BQ129" s="1096"/>
      <c r="BR129" s="1096"/>
      <c r="BS129" s="1096"/>
      <c r="BT129" s="1096"/>
      <c r="BU129" s="1096"/>
    </row>
    <row r="130" spans="1:73" x14ac:dyDescent="0.25">
      <c r="A130" s="1096"/>
      <c r="B130" s="1096"/>
      <c r="C130" s="1120">
        <v>4</v>
      </c>
      <c r="D130" s="1100" t="str">
        <f t="shared" ref="D130:G130" ca="1" si="60">OFFSET(D$76,MATCH($C130,$N$101:$N$107,0)*3-2,0)</f>
        <v>Total Fixed Operating Cost = $11,211K</v>
      </c>
      <c r="E130" s="1113">
        <f t="shared" ca="1" si="60"/>
        <v>2.2044409737022246</v>
      </c>
      <c r="F130" s="1113">
        <f t="shared" ca="1" si="60"/>
        <v>0</v>
      </c>
      <c r="G130" s="1113">
        <f t="shared" ca="1" si="60"/>
        <v>1.5466729916409979E-3</v>
      </c>
      <c r="H130" s="1113"/>
      <c r="I130" s="1113"/>
      <c r="J130" s="1113"/>
      <c r="K130" s="1113"/>
      <c r="L130" s="1113"/>
      <c r="M130" s="1113"/>
      <c r="N130" s="1113"/>
      <c r="O130" s="1113"/>
      <c r="P130" s="1113"/>
      <c r="Q130" s="1113"/>
      <c r="R130" s="1113"/>
      <c r="S130" s="1113"/>
      <c r="T130" s="1096"/>
      <c r="U130" s="1096"/>
      <c r="V130" s="1096"/>
      <c r="W130" s="1096"/>
      <c r="X130" s="1096"/>
      <c r="Y130" s="1096"/>
      <c r="Z130" s="1096"/>
      <c r="AA130" s="1096"/>
      <c r="AB130" s="1096"/>
      <c r="AC130" s="1096"/>
      <c r="AD130" s="1096"/>
      <c r="AE130" s="1096"/>
      <c r="AF130" s="1096"/>
      <c r="AG130" s="1096"/>
      <c r="AH130" s="1096"/>
      <c r="AI130" s="1096"/>
      <c r="AJ130" s="1096"/>
      <c r="AK130" s="1096"/>
      <c r="AL130" s="1096"/>
      <c r="AM130" s="1096"/>
      <c r="AN130" s="1096"/>
      <c r="AO130" s="1096"/>
      <c r="AP130" s="1096"/>
      <c r="AQ130" s="1096"/>
      <c r="AR130" s="1096"/>
      <c r="AS130" s="1096"/>
      <c r="AT130" s="1096"/>
      <c r="AU130" s="1096"/>
      <c r="AV130" s="1096"/>
      <c r="AW130" s="1096"/>
      <c r="AX130" s="1096"/>
      <c r="AY130" s="1096"/>
      <c r="AZ130" s="1096"/>
      <c r="BA130" s="1096"/>
      <c r="BB130" s="1096"/>
      <c r="BC130" s="1096"/>
      <c r="BD130" s="1096"/>
      <c r="BE130" s="1096"/>
      <c r="BF130" s="1096"/>
      <c r="BG130" s="1096"/>
      <c r="BH130" s="1096"/>
      <c r="BI130" s="1096"/>
      <c r="BJ130" s="1096"/>
      <c r="BK130" s="1096"/>
      <c r="BL130" s="1096"/>
      <c r="BM130" s="1096"/>
      <c r="BN130" s="1096"/>
      <c r="BO130" s="1096"/>
      <c r="BP130" s="1096"/>
      <c r="BQ130" s="1096"/>
      <c r="BR130" s="1096"/>
      <c r="BS130" s="1096"/>
      <c r="BT130" s="1096"/>
      <c r="BU130" s="1096"/>
    </row>
    <row r="131" spans="1:73" x14ac:dyDescent="0.25">
      <c r="A131" s="1096"/>
      <c r="B131" s="1096"/>
      <c r="C131" s="1120"/>
      <c r="D131" s="1100"/>
      <c r="E131" s="1113"/>
      <c r="F131" s="1113"/>
      <c r="G131" s="1113"/>
      <c r="H131" s="1113">
        <f t="shared" ref="H131:S131" ca="1" si="61">OFFSET(H$76,MATCH($C130,$N$101:$N$107,0)*3-2,0)</f>
        <v>0.14063856670484737</v>
      </c>
      <c r="I131" s="1113">
        <f t="shared" ca="1" si="61"/>
        <v>1.9752209149708037E-2</v>
      </c>
      <c r="J131" s="1113">
        <f t="shared" ca="1" si="61"/>
        <v>2.593462870971595E-2</v>
      </c>
      <c r="K131" s="1113">
        <f t="shared" ca="1" si="61"/>
        <v>5.5084601150012609E-3</v>
      </c>
      <c r="L131" s="1113">
        <f t="shared" ca="1" si="61"/>
        <v>1.5249343462242497E-3</v>
      </c>
      <c r="M131" s="1113">
        <f t="shared" ca="1" si="61"/>
        <v>0.22943867573111584</v>
      </c>
      <c r="N131" s="1113">
        <f t="shared" ca="1" si="61"/>
        <v>1.3438636580768006</v>
      </c>
      <c r="O131" s="1113">
        <f t="shared" ca="1" si="61"/>
        <v>0.14277252538404067</v>
      </c>
      <c r="P131" s="1113">
        <f t="shared" ca="1" si="61"/>
        <v>0.18472633156029178</v>
      </c>
      <c r="Q131" s="1113">
        <f t="shared" ca="1" si="61"/>
        <v>9.2389977839911513E-2</v>
      </c>
      <c r="R131" s="1113">
        <f t="shared" ca="1" si="61"/>
        <v>1.5287310480256876E-2</v>
      </c>
      <c r="S131" s="1113">
        <f t="shared" ca="1" si="61"/>
        <v>4.1503685959502759E-3</v>
      </c>
      <c r="T131" s="1096"/>
      <c r="U131" s="1096"/>
      <c r="V131" s="1096"/>
      <c r="W131" s="1096"/>
      <c r="X131" s="1096"/>
      <c r="Y131" s="1096"/>
      <c r="Z131" s="1096"/>
      <c r="AA131" s="1096"/>
      <c r="AB131" s="1096"/>
      <c r="AC131" s="1096"/>
      <c r="AD131" s="1096"/>
      <c r="AE131" s="1096"/>
      <c r="AF131" s="1096"/>
      <c r="AG131" s="1096"/>
      <c r="AH131" s="1096"/>
      <c r="AI131" s="1096"/>
      <c r="AJ131" s="1096"/>
      <c r="AK131" s="1096"/>
      <c r="AL131" s="1096"/>
      <c r="AM131" s="1096"/>
      <c r="AN131" s="1096"/>
      <c r="AO131" s="1096"/>
      <c r="AP131" s="1096"/>
      <c r="AQ131" s="1096"/>
      <c r="AR131" s="1096"/>
      <c r="AS131" s="1096"/>
      <c r="AT131" s="1096"/>
      <c r="AU131" s="1096"/>
      <c r="AV131" s="1096"/>
      <c r="AW131" s="1096"/>
      <c r="AX131" s="1096"/>
      <c r="AY131" s="1096"/>
      <c r="AZ131" s="1096"/>
      <c r="BA131" s="1096"/>
      <c r="BB131" s="1096"/>
      <c r="BC131" s="1096"/>
      <c r="BD131" s="1096"/>
      <c r="BE131" s="1096"/>
      <c r="BF131" s="1096"/>
      <c r="BG131" s="1096"/>
      <c r="BH131" s="1096"/>
      <c r="BI131" s="1096"/>
      <c r="BJ131" s="1096"/>
      <c r="BK131" s="1096"/>
      <c r="BL131" s="1096"/>
      <c r="BM131" s="1096"/>
      <c r="BN131" s="1096"/>
      <c r="BO131" s="1096"/>
      <c r="BP131" s="1096"/>
      <c r="BQ131" s="1096"/>
      <c r="BR131" s="1096"/>
      <c r="BS131" s="1096"/>
      <c r="BT131" s="1096"/>
      <c r="BU131" s="1096"/>
    </row>
    <row r="132" spans="1:73" x14ac:dyDescent="0.25">
      <c r="A132" s="1096"/>
      <c r="B132" s="1096"/>
      <c r="C132" s="1120">
        <v>4</v>
      </c>
      <c r="D132" s="1100" t="str">
        <f t="shared" ref="D132:G132" ca="1" si="62">OFFSET(D$76,MATCH($C132,$N$101:$N$107,0)*3,0)</f>
        <v>Total Fixed Operating Cost = $12,391K</v>
      </c>
      <c r="E132" s="1113">
        <f t="shared" ca="1" si="62"/>
        <v>2.2290362816100093</v>
      </c>
      <c r="F132" s="1113">
        <f t="shared" ca="1" si="62"/>
        <v>0</v>
      </c>
      <c r="G132" s="1113">
        <f t="shared" ca="1" si="62"/>
        <v>1.5466729916409979E-3</v>
      </c>
      <c r="H132" s="1113"/>
      <c r="I132" s="1113"/>
      <c r="J132" s="1113"/>
      <c r="K132" s="1113"/>
      <c r="L132" s="1113"/>
      <c r="M132" s="1113"/>
      <c r="N132" s="1113"/>
      <c r="O132" s="1113"/>
      <c r="P132" s="1113"/>
      <c r="Q132" s="1113"/>
      <c r="R132" s="1113"/>
      <c r="S132" s="1113"/>
      <c r="T132" s="1096"/>
      <c r="U132" s="1096"/>
      <c r="V132" s="1096"/>
      <c r="W132" s="1096"/>
      <c r="X132" s="1096"/>
      <c r="Y132" s="1096"/>
      <c r="Z132" s="1096"/>
      <c r="AA132" s="1096"/>
      <c r="AB132" s="1096"/>
      <c r="AC132" s="1096"/>
      <c r="AD132" s="1096"/>
      <c r="AE132" s="1096"/>
      <c r="AF132" s="1096"/>
      <c r="AG132" s="1096"/>
      <c r="AH132" s="1096"/>
      <c r="AI132" s="1096"/>
      <c r="AJ132" s="1096"/>
      <c r="AK132" s="1096"/>
      <c r="AL132" s="1096"/>
      <c r="AM132" s="1096"/>
      <c r="AN132" s="1096"/>
      <c r="AO132" s="1096"/>
      <c r="AP132" s="1096"/>
      <c r="AQ132" s="1096"/>
      <c r="AR132" s="1096"/>
      <c r="AS132" s="1096"/>
      <c r="AT132" s="1096"/>
      <c r="AU132" s="1096"/>
      <c r="AV132" s="1096"/>
      <c r="AW132" s="1096"/>
      <c r="AX132" s="1096"/>
      <c r="AY132" s="1096"/>
      <c r="AZ132" s="1096"/>
      <c r="BA132" s="1096"/>
      <c r="BB132" s="1096"/>
      <c r="BC132" s="1096"/>
      <c r="BD132" s="1096"/>
      <c r="BE132" s="1096"/>
      <c r="BF132" s="1096"/>
      <c r="BG132" s="1096"/>
      <c r="BH132" s="1096"/>
      <c r="BI132" s="1096"/>
      <c r="BJ132" s="1096"/>
      <c r="BK132" s="1096"/>
      <c r="BL132" s="1096"/>
      <c r="BM132" s="1096"/>
      <c r="BN132" s="1096"/>
      <c r="BO132" s="1096"/>
      <c r="BP132" s="1096"/>
      <c r="BQ132" s="1096"/>
      <c r="BR132" s="1096"/>
      <c r="BS132" s="1096"/>
      <c r="BT132" s="1096"/>
      <c r="BU132" s="1096"/>
    </row>
    <row r="133" spans="1:73" x14ac:dyDescent="0.25">
      <c r="A133" s="1096"/>
      <c r="B133" s="1096"/>
      <c r="C133" s="1120"/>
      <c r="D133" s="1100"/>
      <c r="E133" s="1113"/>
      <c r="F133" s="1113"/>
      <c r="G133" s="1113"/>
      <c r="H133" s="1113">
        <f t="shared" ref="H133:S133" ca="1" si="63">OFFSET(H$76,MATCH($C132,$N$101:$N$107,0)*3,0)</f>
        <v>0.14063856670484737</v>
      </c>
      <c r="I133" s="1113">
        <f t="shared" ca="1" si="63"/>
        <v>1.9752209149708037E-2</v>
      </c>
      <c r="J133" s="1113">
        <f t="shared" ca="1" si="63"/>
        <v>2.6264245351728728E-2</v>
      </c>
      <c r="K133" s="1113">
        <f t="shared" ca="1" si="63"/>
        <v>5.5084601150012609E-3</v>
      </c>
      <c r="L133" s="1113">
        <f t="shared" ca="1" si="63"/>
        <v>1.5249343462242497E-3</v>
      </c>
      <c r="M133" s="1113">
        <f t="shared" ca="1" si="63"/>
        <v>0.25359011528175968</v>
      </c>
      <c r="N133" s="1113">
        <f t="shared" ca="1" si="63"/>
        <v>1.3438636580768006</v>
      </c>
      <c r="O133" s="1113">
        <f t="shared" ca="1" si="63"/>
        <v>0.14277252538404067</v>
      </c>
      <c r="P133" s="1113">
        <f t="shared" ca="1" si="63"/>
        <v>0.18472633156029178</v>
      </c>
      <c r="Q133" s="1113">
        <f t="shared" ca="1" si="63"/>
        <v>9.2389977839911513E-2</v>
      </c>
      <c r="R133" s="1113">
        <f t="shared" ca="1" si="63"/>
        <v>1.5401562195384884E-2</v>
      </c>
      <c r="S133" s="1113">
        <f t="shared" ca="1" si="63"/>
        <v>4.1503685959502759E-3</v>
      </c>
      <c r="T133" s="1096"/>
      <c r="U133" s="1096"/>
      <c r="V133" s="1096"/>
      <c r="W133" s="1096"/>
      <c r="X133" s="1096"/>
      <c r="Y133" s="1096"/>
      <c r="Z133" s="1096"/>
      <c r="AA133" s="1096"/>
      <c r="AB133" s="1096"/>
      <c r="AC133" s="1096"/>
      <c r="AD133" s="1096"/>
      <c r="AE133" s="1096"/>
      <c r="AF133" s="1096"/>
      <c r="AG133" s="1096"/>
      <c r="AH133" s="1096"/>
      <c r="AI133" s="1096"/>
      <c r="AJ133" s="1096"/>
      <c r="AK133" s="1096"/>
      <c r="AL133" s="1096"/>
      <c r="AM133" s="1096"/>
      <c r="AN133" s="1096"/>
      <c r="AO133" s="1096"/>
      <c r="AP133" s="1096"/>
      <c r="AQ133" s="1096"/>
      <c r="AR133" s="1096"/>
      <c r="AS133" s="1096"/>
      <c r="AT133" s="1096"/>
      <c r="AU133" s="1096"/>
      <c r="AV133" s="1096"/>
      <c r="AW133" s="1096"/>
      <c r="AX133" s="1096"/>
      <c r="AY133" s="1096"/>
      <c r="AZ133" s="1096"/>
      <c r="BA133" s="1096"/>
      <c r="BB133" s="1096"/>
      <c r="BC133" s="1096"/>
      <c r="BD133" s="1096"/>
      <c r="BE133" s="1096"/>
      <c r="BF133" s="1096"/>
      <c r="BG133" s="1096"/>
      <c r="BH133" s="1096"/>
      <c r="BI133" s="1096"/>
      <c r="BJ133" s="1096"/>
      <c r="BK133" s="1096"/>
      <c r="BL133" s="1096"/>
      <c r="BM133" s="1096"/>
      <c r="BN133" s="1096"/>
      <c r="BO133" s="1096"/>
      <c r="BP133" s="1096"/>
      <c r="BQ133" s="1096"/>
      <c r="BR133" s="1096"/>
      <c r="BS133" s="1096"/>
      <c r="BT133" s="1096"/>
      <c r="BU133" s="1096"/>
    </row>
    <row r="134" spans="1:73" x14ac:dyDescent="0.25">
      <c r="A134" s="1096"/>
      <c r="B134" s="1096"/>
      <c r="C134" s="1120"/>
      <c r="D134" s="1100"/>
      <c r="E134" s="1113"/>
      <c r="F134" s="1113"/>
      <c r="G134" s="1113"/>
      <c r="H134" s="1113"/>
      <c r="I134" s="1113"/>
      <c r="J134" s="1113"/>
      <c r="K134" s="1113"/>
      <c r="L134" s="1113"/>
      <c r="M134" s="1113"/>
      <c r="N134" s="1113"/>
      <c r="O134" s="1113"/>
      <c r="P134" s="1113"/>
      <c r="Q134" s="1113"/>
      <c r="R134" s="1113"/>
      <c r="S134" s="1113"/>
      <c r="T134" s="1096"/>
      <c r="U134" s="1096"/>
      <c r="V134" s="1096"/>
      <c r="W134" s="1096"/>
      <c r="X134" s="1096"/>
      <c r="Y134" s="1096"/>
      <c r="Z134" s="1096"/>
      <c r="AA134" s="1096"/>
      <c r="AB134" s="1096"/>
      <c r="AC134" s="1096"/>
      <c r="AD134" s="1096"/>
      <c r="AE134" s="1096"/>
      <c r="AF134" s="1096"/>
      <c r="AG134" s="1096"/>
      <c r="AH134" s="1096"/>
      <c r="AI134" s="1096"/>
      <c r="AJ134" s="1096"/>
      <c r="AK134" s="1096"/>
      <c r="AL134" s="1096"/>
      <c r="AM134" s="1096"/>
      <c r="AN134" s="1096"/>
      <c r="AO134" s="1096"/>
      <c r="AP134" s="1096"/>
      <c r="AQ134" s="1096"/>
      <c r="AR134" s="1096"/>
      <c r="AS134" s="1096"/>
      <c r="AT134" s="1096"/>
      <c r="AU134" s="1096"/>
      <c r="AV134" s="1096"/>
      <c r="AW134" s="1096"/>
      <c r="AX134" s="1096"/>
      <c r="AY134" s="1096"/>
      <c r="AZ134" s="1096"/>
      <c r="BA134" s="1096"/>
      <c r="BB134" s="1096"/>
      <c r="BC134" s="1096"/>
      <c r="BD134" s="1096"/>
      <c r="BE134" s="1096"/>
      <c r="BF134" s="1096"/>
      <c r="BG134" s="1096"/>
      <c r="BH134" s="1096"/>
      <c r="BI134" s="1096"/>
      <c r="BJ134" s="1096"/>
      <c r="BK134" s="1096"/>
      <c r="BL134" s="1096"/>
      <c r="BM134" s="1096"/>
      <c r="BN134" s="1096"/>
      <c r="BO134" s="1096"/>
      <c r="BP134" s="1096"/>
      <c r="BQ134" s="1096"/>
      <c r="BR134" s="1096"/>
      <c r="BS134" s="1096"/>
      <c r="BT134" s="1096"/>
      <c r="BU134" s="1096"/>
    </row>
    <row r="135" spans="1:73" x14ac:dyDescent="0.25">
      <c r="A135" s="1096"/>
      <c r="B135" s="1096"/>
      <c r="C135" s="1120">
        <v>5</v>
      </c>
      <c r="D135" s="1100" t="str">
        <f t="shared" ref="D135:G135" ca="1" si="64">OFFSET(D$76,MATCH($C135,$N$101:$N$107,0)*3-2,0)</f>
        <v>After-tax Real IRR = 8%</v>
      </c>
      <c r="E135" s="1113">
        <f t="shared" ca="1" si="64"/>
        <v>2.205335690619278</v>
      </c>
      <c r="F135" s="1113">
        <f t="shared" ca="1" si="64"/>
        <v>0</v>
      </c>
      <c r="G135" s="1113">
        <f t="shared" ca="1" si="64"/>
        <v>1.7149954931616677E-3</v>
      </c>
      <c r="H135" s="1113"/>
      <c r="I135" s="1113"/>
      <c r="J135" s="1113"/>
      <c r="K135" s="1113"/>
      <c r="L135" s="1113"/>
      <c r="M135" s="1113"/>
      <c r="N135" s="1113"/>
      <c r="O135" s="1113"/>
      <c r="P135" s="1113"/>
      <c r="Q135" s="1113"/>
      <c r="R135" s="1113"/>
      <c r="S135" s="1113"/>
      <c r="T135" s="1096"/>
      <c r="U135" s="1096"/>
      <c r="V135" s="1096"/>
      <c r="W135" s="1096"/>
      <c r="X135" s="1096"/>
      <c r="Y135" s="1096"/>
      <c r="Z135" s="1096"/>
      <c r="AA135" s="1096"/>
      <c r="AB135" s="1096"/>
      <c r="AC135" s="1096"/>
      <c r="AD135" s="1096"/>
      <c r="AE135" s="1096"/>
      <c r="AF135" s="1096"/>
      <c r="AG135" s="1096"/>
      <c r="AH135" s="1096"/>
      <c r="AI135" s="1096"/>
      <c r="AJ135" s="1096"/>
      <c r="AK135" s="1096"/>
      <c r="AL135" s="1096"/>
      <c r="AM135" s="1096"/>
      <c r="AN135" s="1096"/>
      <c r="AO135" s="1096"/>
      <c r="AP135" s="1096"/>
      <c r="AQ135" s="1096"/>
      <c r="AR135" s="1096"/>
      <c r="AS135" s="1096"/>
      <c r="AT135" s="1096"/>
      <c r="AU135" s="1096"/>
      <c r="AV135" s="1096"/>
      <c r="AW135" s="1096"/>
      <c r="AX135" s="1096"/>
      <c r="AY135" s="1096"/>
      <c r="AZ135" s="1096"/>
      <c r="BA135" s="1096"/>
      <c r="BB135" s="1096"/>
      <c r="BC135" s="1096"/>
      <c r="BD135" s="1096"/>
      <c r="BE135" s="1096"/>
      <c r="BF135" s="1096"/>
      <c r="BG135" s="1096"/>
      <c r="BH135" s="1096"/>
      <c r="BI135" s="1096"/>
      <c r="BJ135" s="1096"/>
      <c r="BK135" s="1096"/>
      <c r="BL135" s="1096"/>
      <c r="BM135" s="1096"/>
      <c r="BN135" s="1096"/>
      <c r="BO135" s="1096"/>
      <c r="BP135" s="1096"/>
      <c r="BQ135" s="1096"/>
      <c r="BR135" s="1096"/>
      <c r="BS135" s="1096"/>
      <c r="BT135" s="1096"/>
      <c r="BU135" s="1096"/>
    </row>
    <row r="136" spans="1:73" x14ac:dyDescent="0.25">
      <c r="A136" s="1096"/>
      <c r="B136" s="1096"/>
      <c r="C136" s="1120"/>
      <c r="D136" s="1100"/>
      <c r="E136" s="1113"/>
      <c r="F136" s="1113"/>
      <c r="G136" s="1113"/>
      <c r="H136" s="1113">
        <f t="shared" ref="H136:S136" ca="1" si="65">OFFSET(H$76,MATCH($C135,$N$101:$N$107,0)*3-2,0)</f>
        <v>0.13404273818872198</v>
      </c>
      <c r="I136" s="1113">
        <f t="shared" ca="1" si="65"/>
        <v>1.97211031288273E-2</v>
      </c>
      <c r="J136" s="1113">
        <f t="shared" ca="1" si="65"/>
        <v>2.5115075446980821E-2</v>
      </c>
      <c r="K136" s="1113">
        <f t="shared" ca="1" si="65"/>
        <v>5.2265168619412125E-3</v>
      </c>
      <c r="L136" s="1113">
        <f t="shared" ca="1" si="65"/>
        <v>1.6908910579522521E-3</v>
      </c>
      <c r="M136" s="1113">
        <f t="shared" ca="1" si="65"/>
        <v>0.24113405567848833</v>
      </c>
      <c r="N136" s="1113">
        <f t="shared" ca="1" si="65"/>
        <v>1.343811550131246</v>
      </c>
      <c r="O136" s="1113">
        <f t="shared" ca="1" si="65"/>
        <v>0.14265787991692264</v>
      </c>
      <c r="P136" s="1113">
        <f t="shared" ca="1" si="65"/>
        <v>0.18468450468186071</v>
      </c>
      <c r="Q136" s="1113">
        <f t="shared" ca="1" si="65"/>
        <v>9.0767160485627357E-2</v>
      </c>
      <c r="R136" s="1113">
        <f t="shared" ca="1" si="65"/>
        <v>1.3597162476211237E-2</v>
      </c>
      <c r="S136" s="1113">
        <f t="shared" ca="1" si="65"/>
        <v>4.602048057658582E-3</v>
      </c>
      <c r="T136" s="1096"/>
      <c r="U136" s="1096"/>
      <c r="V136" s="1096"/>
      <c r="W136" s="1096"/>
      <c r="X136" s="1096"/>
      <c r="Y136" s="1096"/>
      <c r="Z136" s="1096"/>
      <c r="AA136" s="1096"/>
      <c r="AB136" s="1096"/>
      <c r="AC136" s="1096"/>
      <c r="AD136" s="1096"/>
      <c r="AE136" s="1096"/>
      <c r="AF136" s="1096"/>
      <c r="AG136" s="1096"/>
      <c r="AH136" s="1096"/>
      <c r="AI136" s="1096"/>
      <c r="AJ136" s="1096"/>
      <c r="AK136" s="1096"/>
      <c r="AL136" s="1096"/>
      <c r="AM136" s="1096"/>
      <c r="AN136" s="1096"/>
      <c r="AO136" s="1096"/>
      <c r="AP136" s="1096"/>
      <c r="AQ136" s="1096"/>
      <c r="AR136" s="1096"/>
      <c r="AS136" s="1096"/>
      <c r="AT136" s="1096"/>
      <c r="AU136" s="1096"/>
      <c r="AV136" s="1096"/>
      <c r="AW136" s="1096"/>
      <c r="AX136" s="1096"/>
      <c r="AY136" s="1096"/>
      <c r="AZ136" s="1096"/>
      <c r="BA136" s="1096"/>
      <c r="BB136" s="1096"/>
      <c r="BC136" s="1096"/>
      <c r="BD136" s="1096"/>
      <c r="BE136" s="1096"/>
      <c r="BF136" s="1096"/>
      <c r="BG136" s="1096"/>
      <c r="BH136" s="1096"/>
      <c r="BI136" s="1096"/>
      <c r="BJ136" s="1096"/>
      <c r="BK136" s="1096"/>
      <c r="BL136" s="1096"/>
      <c r="BM136" s="1096"/>
      <c r="BN136" s="1096"/>
      <c r="BO136" s="1096"/>
      <c r="BP136" s="1096"/>
      <c r="BQ136" s="1096"/>
      <c r="BR136" s="1096"/>
      <c r="BS136" s="1096"/>
      <c r="BT136" s="1096"/>
      <c r="BU136" s="1096"/>
    </row>
    <row r="137" spans="1:73" x14ac:dyDescent="0.25">
      <c r="A137" s="1096"/>
      <c r="B137" s="1096"/>
      <c r="C137" s="1120">
        <v>5</v>
      </c>
      <c r="D137" s="1100" t="str">
        <f t="shared" ref="D137:G137" ca="1" si="66">OFFSET(D$76,MATCH($C137,$N$101:$N$107,0)*3,0)</f>
        <v>After-tax Real IRR = 8%</v>
      </c>
      <c r="E137" s="1113">
        <f t="shared" ca="1" si="66"/>
        <v>2.2284637392413571</v>
      </c>
      <c r="F137" s="1113">
        <f t="shared" ca="1" si="66"/>
        <v>0</v>
      </c>
      <c r="G137" s="1113">
        <f t="shared" ca="1" si="66"/>
        <v>1.3937486012075278E-3</v>
      </c>
      <c r="H137" s="1113"/>
      <c r="I137" s="1113"/>
      <c r="J137" s="1113"/>
      <c r="K137" s="1113"/>
      <c r="L137" s="1113"/>
      <c r="M137" s="1113"/>
      <c r="N137" s="1113"/>
      <c r="O137" s="1113"/>
      <c r="P137" s="1113"/>
      <c r="Q137" s="1113"/>
      <c r="R137" s="1113"/>
      <c r="S137" s="1113"/>
      <c r="T137" s="1096"/>
      <c r="U137" s="1096"/>
      <c r="V137" s="1096"/>
      <c r="W137" s="1096"/>
      <c r="X137" s="1096"/>
      <c r="Y137" s="1096"/>
      <c r="Z137" s="1096"/>
      <c r="AA137" s="1096"/>
      <c r="AB137" s="1096"/>
      <c r="AC137" s="1096"/>
      <c r="AD137" s="1096"/>
      <c r="AE137" s="1096"/>
      <c r="AF137" s="1096"/>
      <c r="AG137" s="1096"/>
      <c r="AH137" s="1096"/>
      <c r="AI137" s="1096"/>
      <c r="AJ137" s="1096"/>
      <c r="AK137" s="1096"/>
      <c r="AL137" s="1096"/>
      <c r="AM137" s="1096"/>
      <c r="AN137" s="1096"/>
      <c r="AO137" s="1096"/>
      <c r="AP137" s="1096"/>
      <c r="AQ137" s="1096"/>
      <c r="AR137" s="1096"/>
      <c r="AS137" s="1096"/>
      <c r="AT137" s="1096"/>
      <c r="AU137" s="1096"/>
      <c r="AV137" s="1096"/>
      <c r="AW137" s="1096"/>
      <c r="AX137" s="1096"/>
      <c r="AY137" s="1096"/>
      <c r="AZ137" s="1096"/>
      <c r="BA137" s="1096"/>
      <c r="BB137" s="1096"/>
      <c r="BC137" s="1096"/>
      <c r="BD137" s="1096"/>
      <c r="BE137" s="1096"/>
      <c r="BF137" s="1096"/>
      <c r="BG137" s="1096"/>
      <c r="BH137" s="1096"/>
      <c r="BI137" s="1096"/>
      <c r="BJ137" s="1096"/>
      <c r="BK137" s="1096"/>
      <c r="BL137" s="1096"/>
      <c r="BM137" s="1096"/>
      <c r="BN137" s="1096"/>
      <c r="BO137" s="1096"/>
      <c r="BP137" s="1096"/>
      <c r="BQ137" s="1096"/>
      <c r="BR137" s="1096"/>
      <c r="BS137" s="1096"/>
      <c r="BT137" s="1096"/>
      <c r="BU137" s="1096"/>
    </row>
    <row r="138" spans="1:73" x14ac:dyDescent="0.25">
      <c r="A138" s="1096"/>
      <c r="B138" s="1096"/>
      <c r="C138" s="1120"/>
      <c r="D138" s="1100"/>
      <c r="E138" s="1113"/>
      <c r="F138" s="1113"/>
      <c r="G138" s="1113"/>
      <c r="H138" s="1113">
        <f t="shared" ref="H138:S138" ca="1" si="67">OFFSET(H$76,MATCH($C137,$N$101:$N$107,0)*3,0)</f>
        <v>0.14735845589148644</v>
      </c>
      <c r="I138" s="1113">
        <f t="shared" ca="1" si="67"/>
        <v>1.9783560005659239E-2</v>
      </c>
      <c r="J138" s="1113">
        <f t="shared" ca="1" si="67"/>
        <v>2.7077906387511601E-2</v>
      </c>
      <c r="K138" s="1113">
        <f t="shared" ca="1" si="67"/>
        <v>5.7976003418830826E-3</v>
      </c>
      <c r="L138" s="1113">
        <f t="shared" ca="1" si="67"/>
        <v>1.3741593235738667E-3</v>
      </c>
      <c r="M138" s="1113">
        <f t="shared" ca="1" si="67"/>
        <v>0.241897728984039</v>
      </c>
      <c r="N138" s="1113">
        <f t="shared" ca="1" si="67"/>
        <v>1.3439700413750468</v>
      </c>
      <c r="O138" s="1113">
        <f t="shared" ca="1" si="67"/>
        <v>0.14288807322408301</v>
      </c>
      <c r="P138" s="1113">
        <f t="shared" ca="1" si="67"/>
        <v>0.1847723834845291</v>
      </c>
      <c r="Q138" s="1113">
        <f t="shared" ca="1" si="67"/>
        <v>9.4024281194763387E-2</v>
      </c>
      <c r="R138" s="1113">
        <f t="shared" ca="1" si="67"/>
        <v>1.7173288942718395E-2</v>
      </c>
      <c r="S138" s="1113">
        <f t="shared" ca="1" si="67"/>
        <v>3.7400086872687939E-3</v>
      </c>
      <c r="T138" s="1096"/>
      <c r="U138" s="1096"/>
      <c r="V138" s="1096"/>
      <c r="W138" s="1096"/>
      <c r="X138" s="1096"/>
      <c r="Y138" s="1096"/>
      <c r="Z138" s="1096"/>
      <c r="AA138" s="1096"/>
      <c r="AB138" s="1096"/>
      <c r="AC138" s="1096"/>
      <c r="AD138" s="1096"/>
      <c r="AE138" s="1096"/>
      <c r="AF138" s="1096"/>
      <c r="AG138" s="1096"/>
      <c r="AH138" s="1096"/>
      <c r="AI138" s="1096"/>
      <c r="AJ138" s="1096"/>
      <c r="AK138" s="1096"/>
      <c r="AL138" s="1096"/>
      <c r="AM138" s="1096"/>
      <c r="AN138" s="1096"/>
      <c r="AO138" s="1096"/>
      <c r="AP138" s="1096"/>
      <c r="AQ138" s="1096"/>
      <c r="AR138" s="1096"/>
      <c r="AS138" s="1096"/>
      <c r="AT138" s="1096"/>
      <c r="AU138" s="1096"/>
      <c r="AV138" s="1096"/>
      <c r="AW138" s="1096"/>
      <c r="AX138" s="1096"/>
      <c r="AY138" s="1096"/>
      <c r="AZ138" s="1096"/>
      <c r="BA138" s="1096"/>
      <c r="BB138" s="1096"/>
      <c r="BC138" s="1096"/>
      <c r="BD138" s="1096"/>
      <c r="BE138" s="1096"/>
      <c r="BF138" s="1096"/>
      <c r="BG138" s="1096"/>
      <c r="BH138" s="1096"/>
      <c r="BI138" s="1096"/>
      <c r="BJ138" s="1096"/>
      <c r="BK138" s="1096"/>
      <c r="BL138" s="1096"/>
      <c r="BM138" s="1096"/>
      <c r="BN138" s="1096"/>
      <c r="BO138" s="1096"/>
      <c r="BP138" s="1096"/>
      <c r="BQ138" s="1096"/>
      <c r="BR138" s="1096"/>
      <c r="BS138" s="1096"/>
      <c r="BT138" s="1096"/>
      <c r="BU138" s="1096"/>
    </row>
    <row r="139" spans="1:73" x14ac:dyDescent="0.25">
      <c r="A139" s="1096"/>
      <c r="B139" s="1096"/>
      <c r="C139" s="1120"/>
      <c r="D139" s="1100"/>
      <c r="E139" s="1113"/>
      <c r="F139" s="1113"/>
      <c r="G139" s="1113"/>
      <c r="H139" s="1113"/>
      <c r="I139" s="1113"/>
      <c r="J139" s="1113"/>
      <c r="K139" s="1113"/>
      <c r="L139" s="1113"/>
      <c r="M139" s="1113"/>
      <c r="N139" s="1113"/>
      <c r="O139" s="1113"/>
      <c r="P139" s="1113"/>
      <c r="Q139" s="1113"/>
      <c r="R139" s="1113"/>
      <c r="S139" s="1113"/>
      <c r="T139" s="1096"/>
      <c r="U139" s="1096"/>
      <c r="V139" s="1096"/>
      <c r="W139" s="1096"/>
      <c r="X139" s="1096"/>
      <c r="Y139" s="1096"/>
      <c r="Z139" s="1096"/>
      <c r="AA139" s="1096"/>
      <c r="AB139" s="1096"/>
      <c r="AC139" s="1096"/>
      <c r="AD139" s="1096"/>
      <c r="AE139" s="1096"/>
      <c r="AF139" s="1096"/>
      <c r="AG139" s="1096"/>
      <c r="AH139" s="1096"/>
      <c r="AI139" s="1096"/>
      <c r="AJ139" s="1096"/>
      <c r="AK139" s="1096"/>
      <c r="AL139" s="1096"/>
      <c r="AM139" s="1096"/>
      <c r="AN139" s="1096"/>
      <c r="AO139" s="1096"/>
      <c r="AP139" s="1096"/>
      <c r="AQ139" s="1096"/>
      <c r="AR139" s="1096"/>
      <c r="AS139" s="1096"/>
      <c r="AT139" s="1096"/>
      <c r="AU139" s="1096"/>
      <c r="AV139" s="1096"/>
      <c r="AW139" s="1096"/>
      <c r="AX139" s="1096"/>
      <c r="AY139" s="1096"/>
      <c r="AZ139" s="1096"/>
      <c r="BA139" s="1096"/>
      <c r="BB139" s="1096"/>
      <c r="BC139" s="1096"/>
      <c r="BD139" s="1096"/>
      <c r="BE139" s="1096"/>
      <c r="BF139" s="1096"/>
      <c r="BG139" s="1096"/>
      <c r="BH139" s="1096"/>
      <c r="BI139" s="1096"/>
      <c r="BJ139" s="1096"/>
      <c r="BK139" s="1096"/>
      <c r="BL139" s="1096"/>
      <c r="BM139" s="1096"/>
      <c r="BN139" s="1096"/>
      <c r="BO139" s="1096"/>
      <c r="BP139" s="1096"/>
      <c r="BQ139" s="1096"/>
      <c r="BR139" s="1096"/>
      <c r="BS139" s="1096"/>
      <c r="BT139" s="1096"/>
      <c r="BU139" s="1096"/>
    </row>
    <row r="140" spans="1:73" x14ac:dyDescent="0.25">
      <c r="A140" s="1096"/>
      <c r="B140" s="1096"/>
      <c r="C140" s="1120">
        <v>6</v>
      </c>
      <c r="D140" s="1100" t="str">
        <f t="shared" ref="D140:G140" ca="1" si="68">OFFSET(D$76,MATCH($C140,$N$101:$N$107,0)*3-2,0)</f>
        <v>Plant Design Capacity (kg of H2/day) = 162,496</v>
      </c>
      <c r="E140" s="1113">
        <f t="shared" ca="1" si="68"/>
        <v>2.2079946666505683</v>
      </c>
      <c r="F140" s="1113">
        <f t="shared" ca="1" si="68"/>
        <v>0</v>
      </c>
      <c r="G140" s="1113">
        <f t="shared" ca="1" si="68"/>
        <v>1.5301600394281465E-3</v>
      </c>
      <c r="H140" s="1113"/>
      <c r="I140" s="1113"/>
      <c r="J140" s="1113"/>
      <c r="K140" s="1113"/>
      <c r="L140" s="1113"/>
      <c r="M140" s="1113"/>
      <c r="N140" s="1113"/>
      <c r="O140" s="1113"/>
      <c r="P140" s="1113"/>
      <c r="Q140" s="1113"/>
      <c r="R140" s="1113"/>
      <c r="S140" s="1113"/>
      <c r="T140" s="1096"/>
      <c r="U140" s="1096"/>
      <c r="V140" s="1096"/>
      <c r="W140" s="1096"/>
      <c r="X140" s="1096"/>
      <c r="Y140" s="1096"/>
      <c r="Z140" s="1096"/>
      <c r="AA140" s="1096"/>
      <c r="AB140" s="1096"/>
      <c r="AC140" s="1096"/>
      <c r="AD140" s="1096"/>
      <c r="AE140" s="1096"/>
      <c r="AF140" s="1096"/>
      <c r="AG140" s="1096"/>
      <c r="AH140" s="1096"/>
      <c r="AI140" s="1096"/>
      <c r="AJ140" s="1096"/>
      <c r="AK140" s="1096"/>
      <c r="AL140" s="1096"/>
      <c r="AM140" s="1096"/>
      <c r="AN140" s="1096"/>
      <c r="AO140" s="1096"/>
      <c r="AP140" s="1096"/>
      <c r="AQ140" s="1096"/>
      <c r="AR140" s="1096"/>
      <c r="AS140" s="1096"/>
      <c r="AT140" s="1096"/>
      <c r="AU140" s="1096"/>
      <c r="AV140" s="1096"/>
      <c r="AW140" s="1096"/>
      <c r="AX140" s="1096"/>
      <c r="AY140" s="1096"/>
      <c r="AZ140" s="1096"/>
      <c r="BA140" s="1096"/>
      <c r="BB140" s="1096"/>
      <c r="BC140" s="1096"/>
      <c r="BD140" s="1096"/>
      <c r="BE140" s="1096"/>
      <c r="BF140" s="1096"/>
      <c r="BG140" s="1096"/>
      <c r="BH140" s="1096"/>
      <c r="BI140" s="1096"/>
      <c r="BJ140" s="1096"/>
      <c r="BK140" s="1096"/>
      <c r="BL140" s="1096"/>
      <c r="BM140" s="1096"/>
      <c r="BN140" s="1096"/>
      <c r="BO140" s="1096"/>
      <c r="BP140" s="1096"/>
      <c r="BQ140" s="1096"/>
      <c r="BR140" s="1096"/>
      <c r="BS140" s="1096"/>
      <c r="BT140" s="1096"/>
      <c r="BU140" s="1096"/>
    </row>
    <row r="141" spans="1:73" x14ac:dyDescent="0.25">
      <c r="A141" s="1096"/>
      <c r="B141" s="1096"/>
      <c r="C141" s="1120"/>
      <c r="D141" s="1100"/>
      <c r="E141" s="1113"/>
      <c r="F141" s="1113"/>
      <c r="G141" s="1113"/>
      <c r="H141" s="1113">
        <f t="shared" ref="H141:S141" ca="1" si="69">OFFSET(H$76,MATCH($C140,$N$101:$N$107,0)*3-2,0)</f>
        <v>0.1391370483206561</v>
      </c>
      <c r="I141" s="1113">
        <f t="shared" ca="1" si="69"/>
        <v>1.9541325991115268E-2</v>
      </c>
      <c r="J141" s="1113">
        <f t="shared" ca="1" si="69"/>
        <v>2.6020702114283225E-2</v>
      </c>
      <c r="K141" s="1113">
        <f t="shared" ca="1" si="69"/>
        <v>5.4496494037927423E-3</v>
      </c>
      <c r="L141" s="1113">
        <f t="shared" ca="1" si="69"/>
        <v>1.5086534852258168E-3</v>
      </c>
      <c r="M141" s="1113">
        <f t="shared" ca="1" si="69"/>
        <v>0.23574538589790345</v>
      </c>
      <c r="N141" s="1113">
        <f t="shared" ca="1" si="69"/>
        <v>1.3438636580768006</v>
      </c>
      <c r="O141" s="1113">
        <f t="shared" ca="1" si="69"/>
        <v>0.14277252538404078</v>
      </c>
      <c r="P141" s="1113">
        <f t="shared" ca="1" si="69"/>
        <v>0.18472633156029181</v>
      </c>
      <c r="Q141" s="1113">
        <f t="shared" ca="1" si="69"/>
        <v>9.1403582333387398E-2</v>
      </c>
      <c r="R141" s="1113">
        <f t="shared" ca="1" si="69"/>
        <v>1.5249906663201503E-2</v>
      </c>
      <c r="S141" s="1113">
        <f t="shared" ca="1" si="69"/>
        <v>4.1060574592969284E-3</v>
      </c>
      <c r="T141" s="1096"/>
      <c r="U141" s="1096"/>
      <c r="V141" s="1096"/>
      <c r="W141" s="1096"/>
      <c r="X141" s="1096"/>
      <c r="Y141" s="1096"/>
      <c r="Z141" s="1096"/>
      <c r="AA141" s="1096"/>
      <c r="AB141" s="1096"/>
      <c r="AC141" s="1096"/>
      <c r="AD141" s="1096"/>
      <c r="AE141" s="1096"/>
      <c r="AF141" s="1096"/>
      <c r="AG141" s="1096"/>
      <c r="AH141" s="1096"/>
      <c r="AI141" s="1096"/>
      <c r="AJ141" s="1096"/>
      <c r="AK141" s="1096"/>
      <c r="AL141" s="1096"/>
      <c r="AM141" s="1096"/>
      <c r="AN141" s="1096"/>
      <c r="AO141" s="1096"/>
      <c r="AP141" s="1096"/>
      <c r="AQ141" s="1096"/>
      <c r="AR141" s="1096"/>
      <c r="AS141" s="1096"/>
      <c r="AT141" s="1096"/>
      <c r="AU141" s="1096"/>
      <c r="AV141" s="1096"/>
      <c r="AW141" s="1096"/>
      <c r="AX141" s="1096"/>
      <c r="AY141" s="1096"/>
      <c r="AZ141" s="1096"/>
      <c r="BA141" s="1096"/>
      <c r="BB141" s="1096"/>
      <c r="BC141" s="1096"/>
      <c r="BD141" s="1096"/>
      <c r="BE141" s="1096"/>
      <c r="BF141" s="1096"/>
      <c r="BG141" s="1096"/>
      <c r="BH141" s="1096"/>
      <c r="BI141" s="1096"/>
      <c r="BJ141" s="1096"/>
      <c r="BK141" s="1096"/>
      <c r="BL141" s="1096"/>
      <c r="BM141" s="1096"/>
      <c r="BN141" s="1096"/>
      <c r="BO141" s="1096"/>
      <c r="BP141" s="1096"/>
      <c r="BQ141" s="1096"/>
      <c r="BR141" s="1096"/>
      <c r="BS141" s="1096"/>
      <c r="BT141" s="1096"/>
      <c r="BU141" s="1096"/>
    </row>
    <row r="142" spans="1:73" x14ac:dyDescent="0.25">
      <c r="A142" s="1096"/>
      <c r="B142" s="1096"/>
      <c r="C142" s="1120">
        <v>6</v>
      </c>
      <c r="D142" s="1100" t="str">
        <f t="shared" ref="D142:G142" ca="1" si="70">OFFSET(D$76,MATCH($C142,$N$101:$N$107,0)*3,0)</f>
        <v>Plant Design Capacity (kg of H2/day) = 147,020</v>
      </c>
      <c r="E142" s="1113">
        <f t="shared" ca="1" si="70"/>
        <v>2.2262031117305749</v>
      </c>
      <c r="F142" s="1113">
        <f t="shared" ca="1" si="70"/>
        <v>0</v>
      </c>
      <c r="G142" s="1113">
        <f t="shared" ca="1" si="70"/>
        <v>1.5642253098439708E-3</v>
      </c>
      <c r="H142" s="1113"/>
      <c r="I142" s="1113"/>
      <c r="J142" s="1113"/>
      <c r="K142" s="1113"/>
      <c r="L142" s="1113"/>
      <c r="M142" s="1113"/>
      <c r="N142" s="1113"/>
      <c r="O142" s="1113"/>
      <c r="P142" s="1113"/>
      <c r="Q142" s="1113"/>
      <c r="R142" s="1113"/>
      <c r="S142" s="1113"/>
      <c r="T142" s="1096"/>
      <c r="U142" s="1096"/>
      <c r="V142" s="1096"/>
      <c r="W142" s="1096"/>
      <c r="X142" s="1096"/>
      <c r="Y142" s="1096"/>
      <c r="Z142" s="1096"/>
      <c r="AA142" s="1096"/>
      <c r="AB142" s="1096"/>
      <c r="AC142" s="1096"/>
      <c r="AD142" s="1096"/>
      <c r="AE142" s="1096"/>
      <c r="AF142" s="1096"/>
      <c r="AG142" s="1096"/>
      <c r="AH142" s="1096"/>
      <c r="AI142" s="1096"/>
      <c r="AJ142" s="1096"/>
      <c r="AK142" s="1096"/>
      <c r="AL142" s="1096"/>
      <c r="AM142" s="1096"/>
      <c r="AN142" s="1096"/>
      <c r="AO142" s="1096"/>
      <c r="AP142" s="1096"/>
      <c r="AQ142" s="1096"/>
      <c r="AR142" s="1096"/>
      <c r="AS142" s="1096"/>
      <c r="AT142" s="1096"/>
      <c r="AU142" s="1096"/>
      <c r="AV142" s="1096"/>
      <c r="AW142" s="1096"/>
      <c r="AX142" s="1096"/>
      <c r="AY142" s="1096"/>
      <c r="AZ142" s="1096"/>
      <c r="BA142" s="1096"/>
      <c r="BB142" s="1096"/>
      <c r="BC142" s="1096"/>
      <c r="BD142" s="1096"/>
      <c r="BE142" s="1096"/>
      <c r="BF142" s="1096"/>
      <c r="BG142" s="1096"/>
      <c r="BH142" s="1096"/>
      <c r="BI142" s="1096"/>
      <c r="BJ142" s="1096"/>
      <c r="BK142" s="1096"/>
      <c r="BL142" s="1096"/>
      <c r="BM142" s="1096"/>
      <c r="BN142" s="1096"/>
      <c r="BO142" s="1096"/>
      <c r="BP142" s="1096"/>
      <c r="BQ142" s="1096"/>
      <c r="BR142" s="1096"/>
      <c r="BS142" s="1096"/>
      <c r="BT142" s="1096"/>
      <c r="BU142" s="1096"/>
    </row>
    <row r="143" spans="1:73" x14ac:dyDescent="0.25">
      <c r="A143" s="1096"/>
      <c r="B143" s="1096"/>
      <c r="C143" s="1120"/>
      <c r="D143" s="1100"/>
      <c r="E143" s="1113"/>
      <c r="F143" s="1113"/>
      <c r="G143" s="1113"/>
      <c r="H143" s="1113">
        <f t="shared" ref="H143:S143" ca="1" si="71">OFFSET(H$76,MATCH($C142,$N$101:$N$107,0)*3,0)</f>
        <v>0.1422345943640583</v>
      </c>
      <c r="I143" s="1113">
        <f t="shared" ca="1" si="71"/>
        <v>1.9976365815067215E-2</v>
      </c>
      <c r="J143" s="1113">
        <f t="shared" ca="1" si="71"/>
        <v>2.618540808866025E-2</v>
      </c>
      <c r="K143" s="1113">
        <f t="shared" ca="1" si="71"/>
        <v>5.5709725176031222E-3</v>
      </c>
      <c r="L143" s="1113">
        <f t="shared" ca="1" si="71"/>
        <v>1.5422399648186314E-3</v>
      </c>
      <c r="M143" s="1113">
        <f t="shared" ca="1" si="71"/>
        <v>0.24781360660273866</v>
      </c>
      <c r="N143" s="1113">
        <f t="shared" ca="1" si="71"/>
        <v>1.3438636580768006</v>
      </c>
      <c r="O143" s="1113">
        <f t="shared" ca="1" si="71"/>
        <v>0.14277252538404064</v>
      </c>
      <c r="P143" s="1113">
        <f t="shared" ca="1" si="71"/>
        <v>0.18472633156029178</v>
      </c>
      <c r="Q143" s="1113">
        <f t="shared" ca="1" si="71"/>
        <v>9.3438459515466699E-2</v>
      </c>
      <c r="R143" s="1113">
        <f t="shared" ca="1" si="71"/>
        <v>1.5445706365903495E-2</v>
      </c>
      <c r="S143" s="1113">
        <f t="shared" ca="1" si="71"/>
        <v>4.1974687849685478E-3</v>
      </c>
      <c r="T143" s="1096"/>
      <c r="U143" s="1096"/>
      <c r="V143" s="1096"/>
      <c r="W143" s="1096"/>
      <c r="X143" s="1096"/>
      <c r="Y143" s="1096"/>
      <c r="Z143" s="1096"/>
      <c r="AA143" s="1096"/>
      <c r="AB143" s="1096"/>
      <c r="AC143" s="1096"/>
      <c r="AD143" s="1096"/>
      <c r="AE143" s="1096"/>
      <c r="AF143" s="1096"/>
      <c r="AG143" s="1096"/>
      <c r="AH143" s="1096"/>
      <c r="AI143" s="1096"/>
      <c r="AJ143" s="1096"/>
      <c r="AK143" s="1096"/>
      <c r="AL143" s="1096"/>
      <c r="AM143" s="1096"/>
      <c r="AN143" s="1096"/>
      <c r="AO143" s="1096"/>
      <c r="AP143" s="1096"/>
      <c r="AQ143" s="1096"/>
      <c r="AR143" s="1096"/>
      <c r="AS143" s="1096"/>
      <c r="AT143" s="1096"/>
      <c r="AU143" s="1096"/>
      <c r="AV143" s="1096"/>
      <c r="AW143" s="1096"/>
      <c r="AX143" s="1096"/>
      <c r="AY143" s="1096"/>
      <c r="AZ143" s="1096"/>
      <c r="BA143" s="1096"/>
      <c r="BB143" s="1096"/>
      <c r="BC143" s="1096"/>
      <c r="BD143" s="1096"/>
      <c r="BE143" s="1096"/>
      <c r="BF143" s="1096"/>
      <c r="BG143" s="1096"/>
      <c r="BH143" s="1096"/>
      <c r="BI143" s="1096"/>
      <c r="BJ143" s="1096"/>
      <c r="BK143" s="1096"/>
      <c r="BL143" s="1096"/>
      <c r="BM143" s="1096"/>
      <c r="BN143" s="1096"/>
      <c r="BO143" s="1096"/>
      <c r="BP143" s="1096"/>
      <c r="BQ143" s="1096"/>
      <c r="BR143" s="1096"/>
      <c r="BS143" s="1096"/>
      <c r="BT143" s="1096"/>
      <c r="BU143" s="1096"/>
    </row>
    <row r="144" spans="1:73" x14ac:dyDescent="0.25">
      <c r="A144" s="1096"/>
      <c r="B144" s="1096"/>
      <c r="C144" s="1120"/>
      <c r="D144" s="1100"/>
      <c r="E144" s="1113"/>
      <c r="F144" s="1113"/>
      <c r="G144" s="1113"/>
      <c r="H144" s="1113"/>
      <c r="I144" s="1113"/>
      <c r="J144" s="1113"/>
      <c r="K144" s="1113"/>
      <c r="L144" s="1113"/>
      <c r="M144" s="1113"/>
      <c r="N144" s="1113"/>
      <c r="O144" s="1113"/>
      <c r="P144" s="1113"/>
      <c r="Q144" s="1113"/>
      <c r="R144" s="1113"/>
      <c r="S144" s="1113"/>
      <c r="T144" s="1096"/>
      <c r="U144" s="1096"/>
      <c r="V144" s="1096"/>
      <c r="W144" s="1096"/>
      <c r="X144" s="1096"/>
      <c r="Y144" s="1096"/>
      <c r="Z144" s="1096"/>
      <c r="AA144" s="1096"/>
      <c r="AB144" s="1096"/>
      <c r="AC144" s="1096"/>
      <c r="AD144" s="1096"/>
      <c r="AE144" s="1096"/>
      <c r="AF144" s="1096"/>
      <c r="AG144" s="1096"/>
      <c r="AH144" s="1096"/>
      <c r="AI144" s="1096"/>
      <c r="AJ144" s="1096"/>
      <c r="AK144" s="1096"/>
      <c r="AL144" s="1096"/>
      <c r="AM144" s="1096"/>
      <c r="AN144" s="1096"/>
      <c r="AO144" s="1096"/>
      <c r="AP144" s="1096"/>
      <c r="AQ144" s="1096"/>
      <c r="AR144" s="1096"/>
      <c r="AS144" s="1096"/>
      <c r="AT144" s="1096"/>
      <c r="AU144" s="1096"/>
      <c r="AV144" s="1096"/>
      <c r="AW144" s="1096"/>
      <c r="AX144" s="1096"/>
      <c r="AY144" s="1096"/>
      <c r="AZ144" s="1096"/>
      <c r="BA144" s="1096"/>
      <c r="BB144" s="1096"/>
      <c r="BC144" s="1096"/>
      <c r="BD144" s="1096"/>
      <c r="BE144" s="1096"/>
      <c r="BF144" s="1096"/>
      <c r="BG144" s="1096"/>
      <c r="BH144" s="1096"/>
      <c r="BI144" s="1096"/>
      <c r="BJ144" s="1096"/>
      <c r="BK144" s="1096"/>
      <c r="BL144" s="1096"/>
      <c r="BM144" s="1096"/>
      <c r="BN144" s="1096"/>
      <c r="BO144" s="1096"/>
      <c r="BP144" s="1096"/>
      <c r="BQ144" s="1096"/>
      <c r="BR144" s="1096"/>
      <c r="BS144" s="1096"/>
      <c r="BT144" s="1096"/>
      <c r="BU144" s="1096"/>
    </row>
    <row r="145" spans="1:73" x14ac:dyDescent="0.25">
      <c r="A145" s="1096"/>
      <c r="B145" s="1096"/>
      <c r="C145" s="1120">
        <v>7</v>
      </c>
      <c r="D145" s="1100" t="str">
        <f t="shared" ref="D145:G145" ca="1" si="72">OFFSET(D$76,MATCH($C145,$N$101:$N$107,0)*3-2,0)</f>
        <v>Utilities Consumption (% of baseline) = 95%</v>
      </c>
      <c r="E145" s="1113">
        <f t="shared" ca="1" si="72"/>
        <v>2.2109829830632637</v>
      </c>
      <c r="F145" s="1113">
        <f t="shared" ca="1" si="72"/>
        <v>0</v>
      </c>
      <c r="G145" s="1113">
        <f t="shared" ca="1" si="72"/>
        <v>1.5466729916409979E-3</v>
      </c>
      <c r="H145" s="1113"/>
      <c r="I145" s="1113"/>
      <c r="J145" s="1113"/>
      <c r="K145" s="1113"/>
      <c r="L145" s="1113"/>
      <c r="M145" s="1113"/>
      <c r="N145" s="1113"/>
      <c r="O145" s="1113"/>
      <c r="P145" s="1113"/>
      <c r="Q145" s="1113"/>
      <c r="R145" s="1113"/>
      <c r="S145" s="1113"/>
      <c r="T145" s="1096"/>
      <c r="U145" s="1096"/>
      <c r="V145" s="1096"/>
      <c r="W145" s="1096"/>
      <c r="X145" s="1096"/>
      <c r="Y145" s="1096"/>
      <c r="Z145" s="1096"/>
      <c r="AA145" s="1096"/>
      <c r="AB145" s="1096"/>
      <c r="AC145" s="1096"/>
      <c r="AD145" s="1096"/>
      <c r="AE145" s="1096"/>
      <c r="AF145" s="1096"/>
      <c r="AG145" s="1096"/>
      <c r="AH145" s="1096"/>
      <c r="AI145" s="1096"/>
      <c r="AJ145" s="1096"/>
      <c r="AK145" s="1096"/>
      <c r="AL145" s="1096"/>
      <c r="AM145" s="1096"/>
      <c r="AN145" s="1096"/>
      <c r="AO145" s="1096"/>
      <c r="AP145" s="1096"/>
      <c r="AQ145" s="1096"/>
      <c r="AR145" s="1096"/>
      <c r="AS145" s="1096"/>
      <c r="AT145" s="1096"/>
      <c r="AU145" s="1096"/>
      <c r="AV145" s="1096"/>
      <c r="AW145" s="1096"/>
      <c r="AX145" s="1096"/>
      <c r="AY145" s="1096"/>
      <c r="AZ145" s="1096"/>
      <c r="BA145" s="1096"/>
      <c r="BB145" s="1096"/>
      <c r="BC145" s="1096"/>
      <c r="BD145" s="1096"/>
      <c r="BE145" s="1096"/>
      <c r="BF145" s="1096"/>
      <c r="BG145" s="1096"/>
      <c r="BH145" s="1096"/>
      <c r="BI145" s="1096"/>
      <c r="BJ145" s="1096"/>
      <c r="BK145" s="1096"/>
      <c r="BL145" s="1096"/>
      <c r="BM145" s="1096"/>
      <c r="BN145" s="1096"/>
      <c r="BO145" s="1096"/>
      <c r="BP145" s="1096"/>
      <c r="BQ145" s="1096"/>
      <c r="BR145" s="1096"/>
      <c r="BS145" s="1096"/>
      <c r="BT145" s="1096"/>
      <c r="BU145" s="1096"/>
    </row>
    <row r="146" spans="1:73" x14ac:dyDescent="0.25">
      <c r="A146" s="1096"/>
      <c r="B146" s="1096"/>
      <c r="C146" s="1120"/>
      <c r="D146" s="1100"/>
      <c r="E146" s="1113"/>
      <c r="F146" s="1113"/>
      <c r="G146" s="1113"/>
      <c r="H146" s="1113">
        <f t="shared" ref="H146:S146" ca="1" si="73">OFFSET(H$76,MATCH($C145,$N$101:$N$107,0)*3-2,0)</f>
        <v>0.14063856670484737</v>
      </c>
      <c r="I146" s="1113">
        <f t="shared" ca="1" si="73"/>
        <v>1.9752209149708037E-2</v>
      </c>
      <c r="J146" s="1113">
        <f t="shared" ca="1" si="73"/>
        <v>2.6022325629039771E-2</v>
      </c>
      <c r="K146" s="1113">
        <f t="shared" ca="1" si="73"/>
        <v>5.5084601150012609E-3</v>
      </c>
      <c r="L146" s="1113">
        <f t="shared" ca="1" si="73"/>
        <v>1.5249343462242497E-3</v>
      </c>
      <c r="M146" s="1113">
        <f t="shared" ca="1" si="73"/>
        <v>0.24151439550643775</v>
      </c>
      <c r="N146" s="1113">
        <f t="shared" ca="1" si="73"/>
        <v>1.3438636580768006</v>
      </c>
      <c r="O146" s="1113">
        <f t="shared" ca="1" si="73"/>
        <v>0.14277252538404067</v>
      </c>
      <c r="P146" s="1113">
        <f t="shared" ca="1" si="73"/>
        <v>0.17907452672192606</v>
      </c>
      <c r="Q146" s="1113">
        <f t="shared" ca="1" si="73"/>
        <v>9.2389977839911513E-2</v>
      </c>
      <c r="R146" s="1113">
        <f t="shared" ca="1" si="73"/>
        <v>1.5317707985015864E-2</v>
      </c>
      <c r="S146" s="1113">
        <f t="shared" ca="1" si="73"/>
        <v>4.1503685959502759E-3</v>
      </c>
      <c r="T146" s="1096"/>
      <c r="U146" s="1096"/>
      <c r="V146" s="1096"/>
      <c r="W146" s="1096"/>
      <c r="X146" s="1096"/>
      <c r="Y146" s="1096"/>
      <c r="Z146" s="1096"/>
      <c r="AA146" s="1096"/>
      <c r="AB146" s="1096"/>
      <c r="AC146" s="1096"/>
      <c r="AD146" s="1096"/>
      <c r="AE146" s="1096"/>
      <c r="AF146" s="1096"/>
      <c r="AG146" s="1096"/>
      <c r="AH146" s="1096"/>
      <c r="AI146" s="1096"/>
      <c r="AJ146" s="1096"/>
      <c r="AK146" s="1096"/>
      <c r="AL146" s="1096"/>
      <c r="AM146" s="1096"/>
      <c r="AN146" s="1096"/>
      <c r="AO146" s="1096"/>
      <c r="AP146" s="1096"/>
      <c r="AQ146" s="1096"/>
      <c r="AR146" s="1096"/>
      <c r="AS146" s="1096"/>
      <c r="AT146" s="1096"/>
      <c r="AU146" s="1096"/>
      <c r="AV146" s="1096"/>
      <c r="AW146" s="1096"/>
      <c r="AX146" s="1096"/>
      <c r="AY146" s="1096"/>
      <c r="AZ146" s="1096"/>
      <c r="BA146" s="1096"/>
      <c r="BB146" s="1096"/>
      <c r="BC146" s="1096"/>
      <c r="BD146" s="1096"/>
      <c r="BE146" s="1096"/>
      <c r="BF146" s="1096"/>
      <c r="BG146" s="1096"/>
      <c r="BH146" s="1096"/>
      <c r="BI146" s="1096"/>
      <c r="BJ146" s="1096"/>
      <c r="BK146" s="1096"/>
      <c r="BL146" s="1096"/>
      <c r="BM146" s="1096"/>
      <c r="BN146" s="1096"/>
      <c r="BO146" s="1096"/>
      <c r="BP146" s="1096"/>
      <c r="BQ146" s="1096"/>
      <c r="BR146" s="1096"/>
      <c r="BS146" s="1096"/>
      <c r="BT146" s="1096"/>
      <c r="BU146" s="1096"/>
    </row>
    <row r="147" spans="1:73" x14ac:dyDescent="0.25">
      <c r="A147" s="1096"/>
      <c r="B147" s="1096"/>
      <c r="C147" s="1120">
        <v>7</v>
      </c>
      <c r="D147" s="1100" t="str">
        <f t="shared" ref="D147:G147" ca="1" si="74">OFFSET(D$76,MATCH($C147,$N$101:$N$107,0)*3,0)</f>
        <v>Utilities Consumption (% of baseline) = 105%</v>
      </c>
      <c r="E147" s="1113">
        <f t="shared" ca="1" si="74"/>
        <v>2.2224942722489707</v>
      </c>
      <c r="F147" s="1113">
        <f t="shared" ca="1" si="74"/>
        <v>0</v>
      </c>
      <c r="G147" s="1113">
        <f t="shared" ca="1" si="74"/>
        <v>1.5466729916409979E-3</v>
      </c>
      <c r="H147" s="1113"/>
      <c r="I147" s="1113"/>
      <c r="J147" s="1113"/>
      <c r="K147" s="1113"/>
      <c r="L147" s="1113"/>
      <c r="M147" s="1113"/>
      <c r="N147" s="1113"/>
      <c r="O147" s="1113"/>
      <c r="P147" s="1113"/>
      <c r="Q147" s="1113"/>
      <c r="R147" s="1113"/>
      <c r="S147" s="1113"/>
      <c r="T147" s="1096"/>
      <c r="U147" s="1096"/>
      <c r="V147" s="1096"/>
      <c r="W147" s="1096"/>
      <c r="X147" s="1096"/>
      <c r="Y147" s="1096"/>
      <c r="Z147" s="1096"/>
      <c r="AA147" s="1096"/>
      <c r="AB147" s="1096"/>
      <c r="AC147" s="1096"/>
      <c r="AD147" s="1096"/>
      <c r="AE147" s="1096"/>
      <c r="AF147" s="1096"/>
      <c r="AG147" s="1096"/>
      <c r="AH147" s="1096"/>
      <c r="AI147" s="1096"/>
      <c r="AJ147" s="1096"/>
      <c r="AK147" s="1096"/>
      <c r="AL147" s="1096"/>
      <c r="AM147" s="1096"/>
      <c r="AN147" s="1096"/>
      <c r="AO147" s="1096"/>
      <c r="AP147" s="1096"/>
      <c r="AQ147" s="1096"/>
      <c r="AR147" s="1096"/>
      <c r="AS147" s="1096"/>
      <c r="AT147" s="1096"/>
      <c r="AU147" s="1096"/>
      <c r="AV147" s="1096"/>
      <c r="AW147" s="1096"/>
      <c r="AX147" s="1096"/>
      <c r="AY147" s="1096"/>
      <c r="AZ147" s="1096"/>
      <c r="BA147" s="1096"/>
      <c r="BB147" s="1096"/>
      <c r="BC147" s="1096"/>
      <c r="BD147" s="1096"/>
      <c r="BE147" s="1096"/>
      <c r="BF147" s="1096"/>
      <c r="BG147" s="1096"/>
      <c r="BH147" s="1096"/>
      <c r="BI147" s="1096"/>
      <c r="BJ147" s="1096"/>
      <c r="BK147" s="1096"/>
      <c r="BL147" s="1096"/>
      <c r="BM147" s="1096"/>
      <c r="BN147" s="1096"/>
      <c r="BO147" s="1096"/>
      <c r="BP147" s="1096"/>
      <c r="BQ147" s="1096"/>
      <c r="BR147" s="1096"/>
      <c r="BS147" s="1096"/>
      <c r="BT147" s="1096"/>
      <c r="BU147" s="1096"/>
    </row>
    <row r="148" spans="1:73" x14ac:dyDescent="0.25">
      <c r="A148" s="1096"/>
      <c r="B148" s="1096"/>
      <c r="C148" s="1100"/>
      <c r="D148" s="1100"/>
      <c r="E148" s="1100"/>
      <c r="F148" s="1100"/>
      <c r="G148" s="1100"/>
      <c r="H148" s="1113">
        <f t="shared" ref="H148:S148" ca="1" si="75">OFFSET(H$76,MATCH($C147,$N$101:$N$107,0)*3,0)</f>
        <v>0.14063856670484737</v>
      </c>
      <c r="I148" s="1113">
        <f t="shared" ca="1" si="75"/>
        <v>1.9752209149708037E-2</v>
      </c>
      <c r="J148" s="1113">
        <f t="shared" ca="1" si="75"/>
        <v>2.6176548432404904E-2</v>
      </c>
      <c r="K148" s="1113">
        <f t="shared" ca="1" si="75"/>
        <v>5.5084601150012609E-3</v>
      </c>
      <c r="L148" s="1113">
        <f t="shared" ca="1" si="75"/>
        <v>1.5249343462242497E-3</v>
      </c>
      <c r="M148" s="1113">
        <f t="shared" ca="1" si="75"/>
        <v>0.24151439550643775</v>
      </c>
      <c r="N148" s="1113">
        <f t="shared" ca="1" si="75"/>
        <v>1.3438636580768006</v>
      </c>
      <c r="O148" s="1113">
        <f t="shared" ca="1" si="75"/>
        <v>0.14277252538404067</v>
      </c>
      <c r="P148" s="1113">
        <f t="shared" ca="1" si="75"/>
        <v>0.19037813639865769</v>
      </c>
      <c r="Q148" s="1113">
        <f t="shared" ca="1" si="75"/>
        <v>9.2389977839911513E-2</v>
      </c>
      <c r="R148" s="1113">
        <f t="shared" ca="1" si="75"/>
        <v>1.537116469062616E-2</v>
      </c>
      <c r="S148" s="1113">
        <f t="shared" ca="1" si="75"/>
        <v>4.1503685959502759E-3</v>
      </c>
      <c r="T148" s="1096"/>
      <c r="U148" s="1096"/>
      <c r="V148" s="1096"/>
      <c r="W148" s="1096"/>
      <c r="X148" s="1096"/>
      <c r="Y148" s="1096"/>
      <c r="Z148" s="1096"/>
      <c r="AA148" s="1096"/>
      <c r="AB148" s="1096"/>
      <c r="AC148" s="1096"/>
      <c r="AD148" s="1096"/>
      <c r="AE148" s="1096"/>
      <c r="AF148" s="1096"/>
      <c r="AG148" s="1096"/>
      <c r="AH148" s="1096"/>
      <c r="AI148" s="1096"/>
      <c r="AJ148" s="1096"/>
      <c r="AK148" s="1096"/>
      <c r="AL148" s="1096"/>
      <c r="AM148" s="1096"/>
      <c r="AN148" s="1096"/>
      <c r="AO148" s="1096"/>
      <c r="AP148" s="1096"/>
      <c r="AQ148" s="1096"/>
      <c r="AR148" s="1096"/>
      <c r="AS148" s="1096"/>
      <c r="AT148" s="1096"/>
      <c r="AU148" s="1096"/>
      <c r="AV148" s="1096"/>
      <c r="AW148" s="1096"/>
      <c r="AX148" s="1096"/>
      <c r="AY148" s="1096"/>
      <c r="AZ148" s="1096"/>
      <c r="BA148" s="1096"/>
      <c r="BB148" s="1096"/>
      <c r="BC148" s="1096"/>
      <c r="BD148" s="1096"/>
      <c r="BE148" s="1096"/>
      <c r="BF148" s="1096"/>
      <c r="BG148" s="1096"/>
      <c r="BH148" s="1096"/>
      <c r="BI148" s="1096"/>
      <c r="BJ148" s="1096"/>
      <c r="BK148" s="1096"/>
      <c r="BL148" s="1096"/>
      <c r="BM148" s="1096"/>
      <c r="BN148" s="1096"/>
      <c r="BO148" s="1096"/>
      <c r="BP148" s="1096"/>
      <c r="BQ148" s="1096"/>
      <c r="BR148" s="1096"/>
      <c r="BS148" s="1096"/>
      <c r="BT148" s="1096"/>
      <c r="BU148" s="1096"/>
    </row>
    <row r="149" spans="1:73" x14ac:dyDescent="0.25">
      <c r="A149" s="1096"/>
      <c r="B149" s="1096"/>
      <c r="C149" s="1096"/>
      <c r="D149" s="1096"/>
      <c r="E149" s="1096"/>
      <c r="F149" s="1096"/>
      <c r="G149" s="1096"/>
      <c r="H149" s="1096"/>
      <c r="I149" s="1096"/>
      <c r="J149" s="1096"/>
      <c r="K149" s="1096"/>
      <c r="L149" s="1096"/>
      <c r="M149" s="1096"/>
      <c r="N149" s="1096"/>
      <c r="O149" s="1096"/>
      <c r="P149" s="1096"/>
      <c r="Q149" s="1096"/>
      <c r="R149" s="1096"/>
      <c r="S149" s="1096"/>
      <c r="T149" s="1096"/>
      <c r="U149" s="1096"/>
      <c r="V149" s="1096"/>
      <c r="W149" s="1096"/>
      <c r="X149" s="1096"/>
      <c r="Y149" s="1096"/>
      <c r="Z149" s="1096"/>
      <c r="AA149" s="1096"/>
      <c r="AB149" s="1096"/>
      <c r="AC149" s="1096"/>
      <c r="AD149" s="1096"/>
      <c r="AE149" s="1096"/>
      <c r="AF149" s="1096"/>
      <c r="AG149" s="1096"/>
      <c r="AH149" s="1096"/>
      <c r="AI149" s="1096"/>
      <c r="AJ149" s="1096"/>
      <c r="AK149" s="1096"/>
      <c r="AL149" s="1096"/>
      <c r="AM149" s="1096"/>
      <c r="AN149" s="1096"/>
      <c r="AO149" s="1096"/>
      <c r="AP149" s="1096"/>
      <c r="AQ149" s="1096"/>
      <c r="AR149" s="1096"/>
      <c r="AS149" s="1096"/>
      <c r="AT149" s="1096"/>
      <c r="AU149" s="1096"/>
      <c r="AV149" s="1096"/>
      <c r="AW149" s="1096"/>
      <c r="AX149" s="1096"/>
      <c r="AY149" s="1096"/>
      <c r="AZ149" s="1096"/>
      <c r="BA149" s="1096"/>
      <c r="BB149" s="1096"/>
      <c r="BC149" s="1096"/>
      <c r="BD149" s="1096"/>
      <c r="BE149" s="1096"/>
      <c r="BF149" s="1096"/>
      <c r="BG149" s="1096"/>
      <c r="BH149" s="1096"/>
      <c r="BI149" s="1096"/>
      <c r="BJ149" s="1096"/>
      <c r="BK149" s="1096"/>
      <c r="BL149" s="1096"/>
      <c r="BM149" s="1096"/>
      <c r="BN149" s="1096"/>
      <c r="BO149" s="1096"/>
      <c r="BP149" s="1096"/>
      <c r="BQ149" s="1096"/>
      <c r="BR149" s="1096"/>
      <c r="BS149" s="1096"/>
      <c r="BT149" s="1096"/>
      <c r="BU149" s="1096"/>
    </row>
    <row r="150" spans="1:73" x14ac:dyDescent="0.25">
      <c r="A150" s="1096"/>
      <c r="B150" s="1096"/>
      <c r="C150" s="1096"/>
      <c r="D150" s="1096"/>
      <c r="E150" s="1096"/>
      <c r="F150" s="1096"/>
      <c r="G150" s="1096"/>
      <c r="H150" s="1096"/>
      <c r="I150" s="1096"/>
      <c r="J150" s="1096"/>
      <c r="K150" s="1096"/>
      <c r="L150" s="1096"/>
      <c r="M150" s="1096"/>
      <c r="N150" s="1096"/>
      <c r="O150" s="1096"/>
      <c r="P150" s="1096"/>
      <c r="Q150" s="1096"/>
      <c r="R150" s="1096"/>
      <c r="S150" s="1096"/>
      <c r="T150" s="1096"/>
      <c r="U150" s="1096"/>
      <c r="V150" s="1096"/>
      <c r="W150" s="1096"/>
      <c r="X150" s="1096"/>
      <c r="Y150" s="1096"/>
      <c r="Z150" s="1096"/>
      <c r="AA150" s="1096"/>
      <c r="AB150" s="1096"/>
      <c r="AC150" s="1096"/>
      <c r="AD150" s="1096"/>
      <c r="AE150" s="1096"/>
      <c r="AF150" s="1096"/>
      <c r="AG150" s="1096"/>
      <c r="AH150" s="1096"/>
      <c r="AI150" s="1096"/>
      <c r="AJ150" s="1096"/>
      <c r="AK150" s="1096"/>
      <c r="AL150" s="1096"/>
      <c r="AM150" s="1096"/>
      <c r="AN150" s="1096"/>
      <c r="AO150" s="1096"/>
      <c r="AP150" s="1096"/>
      <c r="AQ150" s="1096"/>
      <c r="AR150" s="1096"/>
      <c r="AS150" s="1096"/>
      <c r="AT150" s="1096"/>
      <c r="AU150" s="1096"/>
      <c r="AV150" s="1096"/>
      <c r="AW150" s="1096"/>
      <c r="AX150" s="1096"/>
      <c r="AY150" s="1096"/>
      <c r="AZ150" s="1096"/>
      <c r="BA150" s="1096"/>
      <c r="BB150" s="1096"/>
      <c r="BC150" s="1096"/>
      <c r="BD150" s="1096"/>
      <c r="BE150" s="1096"/>
      <c r="BF150" s="1096"/>
      <c r="BG150" s="1096"/>
      <c r="BH150" s="1096"/>
      <c r="BI150" s="1096"/>
      <c r="BJ150" s="1096"/>
      <c r="BK150" s="1096"/>
      <c r="BL150" s="1096"/>
      <c r="BM150" s="1096"/>
      <c r="BN150" s="1096"/>
      <c r="BO150" s="1096"/>
      <c r="BP150" s="1096"/>
      <c r="BQ150" s="1096"/>
      <c r="BR150" s="1096"/>
      <c r="BS150" s="1096"/>
      <c r="BT150" s="1096"/>
      <c r="BU150" s="1096"/>
    </row>
    <row r="151" spans="1:73" x14ac:dyDescent="0.25">
      <c r="A151" s="1096"/>
      <c r="B151" s="1096"/>
      <c r="C151" s="1096"/>
      <c r="D151" s="1096"/>
      <c r="E151" s="1096"/>
      <c r="F151" s="1096"/>
      <c r="G151" s="1096"/>
      <c r="H151" s="1096"/>
      <c r="I151" s="1096"/>
      <c r="J151" s="1096"/>
      <c r="K151" s="1096"/>
      <c r="L151" s="1096"/>
      <c r="M151" s="1096"/>
      <c r="N151" s="1096"/>
      <c r="O151" s="1096"/>
      <c r="P151" s="1096"/>
      <c r="Q151" s="1096"/>
      <c r="R151" s="1096"/>
      <c r="S151" s="1096"/>
      <c r="T151" s="1096"/>
      <c r="U151" s="1096"/>
      <c r="V151" s="1096"/>
      <c r="W151" s="1096"/>
      <c r="X151" s="1096"/>
      <c r="Y151" s="1096"/>
      <c r="Z151" s="1096"/>
      <c r="AA151" s="1096"/>
      <c r="AB151" s="1096"/>
      <c r="AC151" s="1096"/>
      <c r="AD151" s="1096"/>
      <c r="AE151" s="1096"/>
      <c r="AF151" s="1096"/>
      <c r="AG151" s="1096"/>
      <c r="AH151" s="1096"/>
      <c r="AI151" s="1096"/>
      <c r="AJ151" s="1096"/>
      <c r="AK151" s="1096"/>
      <c r="AL151" s="1096"/>
      <c r="AM151" s="1096"/>
      <c r="AN151" s="1096"/>
      <c r="AO151" s="1096"/>
      <c r="AP151" s="1096"/>
      <c r="AQ151" s="1096"/>
      <c r="AR151" s="1096"/>
      <c r="AS151" s="1096"/>
    </row>
    <row r="152" spans="1:73" ht="13" x14ac:dyDescent="0.3">
      <c r="A152" s="1096"/>
      <c r="B152" s="1098" t="s">
        <v>1162</v>
      </c>
      <c r="C152" s="1096"/>
      <c r="D152" s="1096"/>
      <c r="E152" s="1096"/>
      <c r="F152" s="1096"/>
      <c r="G152" s="1096"/>
      <c r="H152" s="1096"/>
      <c r="I152" s="1096"/>
      <c r="J152" s="1096"/>
      <c r="K152" s="1096"/>
      <c r="L152" s="1096"/>
      <c r="M152" s="1096"/>
      <c r="N152" s="1096"/>
      <c r="O152" s="1096"/>
      <c r="P152" s="1096"/>
      <c r="Q152" s="1096"/>
      <c r="R152" s="1096"/>
      <c r="S152" s="1096"/>
      <c r="T152" s="1096"/>
      <c r="U152" s="1096"/>
      <c r="V152" s="1096"/>
      <c r="W152" s="1096"/>
      <c r="X152" s="1096"/>
      <c r="Y152" s="1096"/>
      <c r="Z152" s="1096"/>
      <c r="AA152" s="1096"/>
      <c r="AB152" s="1096"/>
      <c r="AC152" s="1096"/>
      <c r="AD152" s="1096"/>
      <c r="AE152" s="1096"/>
      <c r="AF152" s="1096"/>
      <c r="AG152" s="1096"/>
      <c r="AH152" s="1096"/>
      <c r="AI152" s="1096"/>
      <c r="AJ152" s="1096"/>
      <c r="AK152" s="1096"/>
      <c r="AL152" s="1096"/>
      <c r="AM152" s="1096"/>
      <c r="AN152" s="1096"/>
      <c r="AO152" s="1096"/>
      <c r="AP152" s="1096"/>
      <c r="AQ152" s="1096"/>
      <c r="AR152" s="1096"/>
      <c r="AS152" s="1096"/>
    </row>
    <row r="153" spans="1:73" ht="13" x14ac:dyDescent="0.3">
      <c r="A153" s="1096"/>
      <c r="B153" s="1096"/>
      <c r="C153" s="1096"/>
      <c r="D153" s="1107" t="s">
        <v>1166</v>
      </c>
      <c r="E153" s="1107"/>
      <c r="F153" s="1107"/>
      <c r="G153" s="1107"/>
      <c r="H153" s="1107"/>
      <c r="I153" s="1107"/>
      <c r="J153" s="1096"/>
      <c r="K153" s="1096"/>
      <c r="L153" s="1096"/>
      <c r="M153" s="1096"/>
      <c r="N153" s="1096"/>
      <c r="O153" s="1096"/>
      <c r="P153" s="1096"/>
      <c r="Q153" s="1096"/>
      <c r="R153" s="1096"/>
      <c r="S153" s="1096"/>
      <c r="T153" s="1096"/>
      <c r="U153" s="1096"/>
      <c r="V153" s="1096"/>
      <c r="W153" s="1096"/>
      <c r="X153" s="1096"/>
      <c r="Y153" s="1096"/>
      <c r="Z153" s="1096"/>
      <c r="AA153" s="1096"/>
      <c r="AB153" s="1096"/>
      <c r="AC153" s="1096"/>
      <c r="AD153" s="1096"/>
      <c r="AE153" s="1096"/>
      <c r="AF153" s="1096"/>
      <c r="AG153" s="1096"/>
      <c r="AH153" s="1096"/>
      <c r="AI153" s="1096"/>
      <c r="AJ153" s="1096"/>
      <c r="AK153" s="1096"/>
      <c r="AL153" s="1096"/>
      <c r="AM153" s="1096"/>
      <c r="AN153" s="1096"/>
      <c r="AO153" s="1096"/>
      <c r="AP153" s="1096"/>
      <c r="AQ153" s="1096"/>
      <c r="AR153" s="1096"/>
      <c r="AS153" s="1096"/>
    </row>
    <row r="154" spans="1:73" ht="26" x14ac:dyDescent="0.3">
      <c r="A154" s="1096"/>
      <c r="B154" s="1098"/>
      <c r="C154" s="1096"/>
      <c r="D154" s="1107" t="s">
        <v>1165</v>
      </c>
      <c r="E154" s="1107" t="s">
        <v>1171</v>
      </c>
      <c r="F154" s="1107" t="s">
        <v>1167</v>
      </c>
      <c r="G154" s="1107" t="s">
        <v>1168</v>
      </c>
      <c r="H154" s="1107" t="s">
        <v>1169</v>
      </c>
      <c r="I154" s="1107" t="s">
        <v>1170</v>
      </c>
      <c r="J154" s="1096"/>
      <c r="K154" s="1107" t="s">
        <v>1200</v>
      </c>
      <c r="L154" s="1107" t="s">
        <v>1198</v>
      </c>
      <c r="M154" s="1107" t="s">
        <v>1199</v>
      </c>
      <c r="N154" s="1107" t="s">
        <v>1201</v>
      </c>
      <c r="O154" s="1096"/>
      <c r="P154" s="1096"/>
      <c r="Q154" s="1096"/>
      <c r="R154" s="1096"/>
      <c r="S154" s="1096"/>
      <c r="T154" s="1096"/>
      <c r="U154" s="1096"/>
      <c r="V154" s="1096"/>
      <c r="W154" s="1096"/>
      <c r="X154" s="1096"/>
      <c r="Y154" s="1096"/>
      <c r="Z154" s="1096"/>
      <c r="AA154" s="1096"/>
      <c r="AB154" s="1096"/>
      <c r="AC154" s="1096"/>
      <c r="AD154" s="1096"/>
      <c r="AE154" s="1096"/>
      <c r="AF154" s="1096"/>
      <c r="AG154" s="1096"/>
      <c r="AH154" s="1096"/>
      <c r="AI154" s="1096"/>
      <c r="AJ154" s="1096"/>
      <c r="AK154" s="1096"/>
      <c r="AL154" s="1096"/>
      <c r="AM154" s="1096"/>
      <c r="AN154" s="1096"/>
      <c r="AO154" s="1096"/>
      <c r="AP154" s="1096"/>
      <c r="AQ154" s="1096"/>
      <c r="AR154" s="1096"/>
      <c r="AS154" s="1096"/>
    </row>
    <row r="155" spans="1:73" ht="13" x14ac:dyDescent="0.3">
      <c r="A155" s="1096"/>
      <c r="B155" s="1098" t="s">
        <v>1164</v>
      </c>
      <c r="C155" s="1096">
        <v>1</v>
      </c>
      <c r="D155" s="1099" t="s">
        <v>1179</v>
      </c>
      <c r="E155" s="1113">
        <f ca="1">+K48+C155/10000000000</f>
        <v>2.2167386277561176</v>
      </c>
      <c r="F155" s="1100">
        <f ca="1">+RANK(E155,$E$155:$E$157)</f>
        <v>1</v>
      </c>
      <c r="G155" s="1105">
        <v>1</v>
      </c>
      <c r="H155" s="1100" t="str">
        <f ca="1">OFFSET($D$154,MATCH($G155,$F$155:$F$157,0),0)</f>
        <v>Cost of Hydrogen</v>
      </c>
      <c r="I155" s="1115">
        <f ca="1">OFFSET($E$154,MATCH($G155,$F$155:$F$157,0),0)-OFFSET($C$154,MATCH($G155,$F$155:$F$157,0),0)/10000000000</f>
        <v>2.2167386276561176</v>
      </c>
      <c r="J155" s="1096"/>
      <c r="K155" s="1100" t="str">
        <f ca="1">+H155</f>
        <v>Cost of Hydrogen</v>
      </c>
      <c r="L155" s="1113">
        <f ca="1">+I155</f>
        <v>2.2167386276561176</v>
      </c>
      <c r="M155" s="1100"/>
      <c r="N155" s="1100" t="str">
        <f ca="1">+IF(L155&gt;0,K155,"")</f>
        <v>Cost of Hydrogen</v>
      </c>
      <c r="O155" s="1096"/>
      <c r="P155" s="1096"/>
      <c r="Q155" s="1096"/>
      <c r="R155" s="1096"/>
      <c r="S155" s="1096"/>
      <c r="T155" s="1096"/>
      <c r="U155" s="1096"/>
      <c r="V155" s="1096"/>
      <c r="W155" s="1096"/>
      <c r="X155" s="1096"/>
      <c r="Y155" s="1096"/>
      <c r="Z155" s="1096"/>
      <c r="AA155" s="1096"/>
      <c r="AB155" s="1096"/>
      <c r="AC155" s="1096"/>
      <c r="AD155" s="1096"/>
      <c r="AE155" s="1096"/>
      <c r="AF155" s="1096"/>
      <c r="AG155" s="1096"/>
      <c r="AH155" s="1096"/>
      <c r="AI155" s="1096"/>
      <c r="AJ155" s="1096"/>
    </row>
    <row r="156" spans="1:73" ht="13" x14ac:dyDescent="0.3">
      <c r="A156" s="1096"/>
      <c r="B156" s="1098"/>
      <c r="C156" s="1096">
        <v>2</v>
      </c>
      <c r="D156" s="1100" t="str">
        <f>+F110</f>
        <v>Byproduct Sales</v>
      </c>
      <c r="E156" s="1113">
        <f ca="1">+L48+C156/10000000000</f>
        <v>2.0000000000000001E-10</v>
      </c>
      <c r="F156" s="1100">
        <f ca="1">+RANK(E156,$E$155:$E$157)</f>
        <v>3</v>
      </c>
      <c r="G156" s="1105">
        <v>2</v>
      </c>
      <c r="H156" s="1100" t="str">
        <f ca="1">OFFSET($D$154,MATCH($G156,$F$155:$F$157,0),0)</f>
        <v>Salvage Value</v>
      </c>
      <c r="I156" s="1115">
        <f ca="1">OFFSET($E$154,MATCH($G156,$F$155:$F$157,0),0)-OFFSET($C$154,MATCH($G156,$F$155:$F$157,0),0)/10000000000</f>
        <v>1.5466729916409979E-3</v>
      </c>
      <c r="J156" s="1096"/>
      <c r="K156" s="1100" t="str">
        <f t="shared" ref="K156:K170" ca="1" si="76">+H156</f>
        <v>Salvage Value</v>
      </c>
      <c r="L156" s="1113">
        <f t="shared" ref="L156:L157" ca="1" si="77">+I156</f>
        <v>1.5466729916409979E-3</v>
      </c>
      <c r="M156" s="1100"/>
      <c r="N156" s="1100" t="str">
        <f t="shared" ref="N156:N157" ca="1" si="78">+IF(L156&gt;0,K156,"")</f>
        <v>Salvage Value</v>
      </c>
      <c r="O156" s="1096"/>
      <c r="P156" s="1096"/>
      <c r="Q156" s="1096"/>
      <c r="R156" s="1096"/>
      <c r="S156" s="1096"/>
      <c r="T156" s="1096"/>
      <c r="U156" s="1096"/>
      <c r="V156" s="1096"/>
      <c r="W156" s="1096"/>
      <c r="X156" s="1096"/>
      <c r="Y156" s="1096"/>
      <c r="Z156" s="1096"/>
      <c r="AA156" s="1096"/>
      <c r="AB156" s="1096"/>
      <c r="AC156" s="1096"/>
      <c r="AD156" s="1096"/>
      <c r="AE156" s="1096"/>
      <c r="AF156" s="1096"/>
      <c r="AG156" s="1096"/>
      <c r="AH156" s="1096"/>
      <c r="AI156" s="1096"/>
      <c r="AJ156" s="1096"/>
    </row>
    <row r="157" spans="1:73" ht="13" x14ac:dyDescent="0.3">
      <c r="A157" s="1096"/>
      <c r="B157" s="1098"/>
      <c r="C157" s="1096">
        <v>3</v>
      </c>
      <c r="D157" s="1100" t="str">
        <f>+G110</f>
        <v>Salvage Value</v>
      </c>
      <c r="E157" s="1113">
        <f ca="1">+M48+C157/10000000000</f>
        <v>1.546673291640998E-3</v>
      </c>
      <c r="F157" s="1100">
        <f ca="1">+RANK(E157,$E$155:$E$157)</f>
        <v>2</v>
      </c>
      <c r="G157" s="1105">
        <v>3</v>
      </c>
      <c r="H157" s="1100" t="str">
        <f ca="1">OFFSET($D$154,MATCH($G157,$F$155:$F$157,0),0)</f>
        <v>Byproduct Sales</v>
      </c>
      <c r="I157" s="1115">
        <f ca="1">OFFSET($E$154,MATCH($G157,$F$155:$F$157,0),0)-OFFSET($C$154,MATCH($G157,$F$155:$F$157,0),0)/10000000000</f>
        <v>0</v>
      </c>
      <c r="J157" s="1096"/>
      <c r="K157" s="1100" t="str">
        <f t="shared" ca="1" si="76"/>
        <v>Byproduct Sales</v>
      </c>
      <c r="L157" s="1113">
        <f t="shared" ca="1" si="77"/>
        <v>0</v>
      </c>
      <c r="M157" s="1100"/>
      <c r="N157" s="1100" t="str">
        <f t="shared" ca="1" si="78"/>
        <v/>
      </c>
      <c r="O157" s="1096"/>
      <c r="P157" s="1096"/>
      <c r="Q157" s="1096"/>
      <c r="R157" s="1096"/>
      <c r="S157" s="1096"/>
      <c r="T157" s="1096"/>
      <c r="U157" s="1096"/>
      <c r="V157" s="1096"/>
      <c r="W157" s="1096"/>
      <c r="X157" s="1096"/>
      <c r="Y157" s="1096"/>
      <c r="Z157" s="1096"/>
      <c r="AA157" s="1096"/>
      <c r="AB157" s="1096"/>
      <c r="AC157" s="1096"/>
      <c r="AD157" s="1096"/>
      <c r="AE157" s="1096"/>
      <c r="AF157" s="1096"/>
      <c r="AG157" s="1096"/>
      <c r="AH157" s="1096"/>
      <c r="AI157" s="1096"/>
      <c r="AJ157" s="1096"/>
    </row>
    <row r="158" spans="1:73" ht="13" x14ac:dyDescent="0.3">
      <c r="A158" s="1096"/>
      <c r="B158" s="1098"/>
      <c r="C158" s="1096"/>
      <c r="D158" s="1098"/>
      <c r="E158" s="1098"/>
      <c r="F158" s="1098"/>
      <c r="G158" s="1098"/>
      <c r="H158" s="1098"/>
      <c r="I158" s="1126"/>
      <c r="J158" s="1096"/>
      <c r="K158" s="1100"/>
      <c r="L158" s="1100"/>
      <c r="M158" s="1113"/>
      <c r="N158" s="1100" t="str">
        <f t="shared" ref="N158" si="79">+IF(L158&gt;0.01,K158,"")</f>
        <v/>
      </c>
      <c r="O158" s="1096"/>
      <c r="P158" s="1096"/>
      <c r="Q158" s="1096"/>
      <c r="R158" s="1096"/>
      <c r="S158" s="1096"/>
      <c r="T158" s="1096"/>
      <c r="U158" s="1096"/>
      <c r="V158" s="1096"/>
      <c r="W158" s="1096"/>
      <c r="X158" s="1096"/>
      <c r="Y158" s="1096"/>
      <c r="Z158" s="1096"/>
      <c r="AA158" s="1096"/>
      <c r="AB158" s="1096"/>
      <c r="AC158" s="1096"/>
      <c r="AD158" s="1096"/>
      <c r="AE158" s="1096"/>
      <c r="AF158" s="1096"/>
      <c r="AG158" s="1096"/>
      <c r="AH158" s="1096"/>
      <c r="AI158" s="1096"/>
      <c r="AJ158" s="1096"/>
    </row>
    <row r="159" spans="1:73" ht="13" x14ac:dyDescent="0.3">
      <c r="A159" s="1096"/>
      <c r="B159" s="1098" t="s">
        <v>1163</v>
      </c>
      <c r="C159" s="1096">
        <v>1</v>
      </c>
      <c r="D159" s="1100" t="str">
        <f>+H110</f>
        <v>Initial Equity Depreciable Capital</v>
      </c>
      <c r="E159" s="1113">
        <f ca="1">+N48+C159/10000000000</f>
        <v>0.14063856680484738</v>
      </c>
      <c r="F159" s="1100">
        <f t="shared" ref="F159:F170" ca="1" si="80">+RANK(E159,$E$159:$E$170)</f>
        <v>5</v>
      </c>
      <c r="G159" s="1105">
        <v>1</v>
      </c>
      <c r="H159" s="1100" t="str">
        <f t="shared" ref="H159:H170" ca="1" si="81">OFFSET($D$158,MATCH($G159,$F$159:$F$170,0),0)</f>
        <v>Feedstock Cost</v>
      </c>
      <c r="I159" s="1115">
        <f t="shared" ref="I159:I170" ca="1" si="82">OFFSET($E$158,MATCH($G159,$F$159:$F$170,0),0)-OFFSET($C$158,MATCH($G159,$F$159:$F$170,0),0)/10000000000</f>
        <v>1.3438636580768006</v>
      </c>
      <c r="J159" s="1096"/>
      <c r="K159" s="1100" t="str">
        <f t="shared" ca="1" si="76"/>
        <v>Feedstock Cost</v>
      </c>
      <c r="L159" s="1100"/>
      <c r="M159" s="1113">
        <f ca="1">+I159</f>
        <v>1.3438636580768006</v>
      </c>
      <c r="N159" s="1100" t="str">
        <f ca="1">+IF(M159&gt;0,K159,"")</f>
        <v>Feedstock Cost</v>
      </c>
      <c r="O159" s="1096"/>
      <c r="P159" s="1096"/>
      <c r="Q159" s="1096"/>
      <c r="R159" s="1096"/>
      <c r="S159" s="1096"/>
      <c r="T159" s="1096"/>
      <c r="U159" s="1096"/>
      <c r="V159" s="1096"/>
      <c r="W159" s="1096"/>
      <c r="X159" s="1096"/>
      <c r="Y159" s="1096"/>
      <c r="Z159" s="1096"/>
      <c r="AA159" s="1096"/>
      <c r="AB159" s="1096"/>
      <c r="AC159" s="1096"/>
      <c r="AD159" s="1096"/>
      <c r="AE159" s="1096"/>
      <c r="AF159" s="1096"/>
      <c r="AG159" s="1096"/>
      <c r="AH159" s="1096"/>
      <c r="AI159" s="1096"/>
      <c r="AJ159" s="1096"/>
    </row>
    <row r="160" spans="1:73" x14ac:dyDescent="0.25">
      <c r="A160" s="1096"/>
      <c r="B160" s="1096"/>
      <c r="C160" s="1096">
        <f>+C159+1</f>
        <v>2</v>
      </c>
      <c r="D160" s="1100" t="str">
        <f>+I110</f>
        <v>Yearly Replacement Costs</v>
      </c>
      <c r="E160" s="1113">
        <f ca="1">+O48+C160/10000000000</f>
        <v>1.9752209349708037E-2</v>
      </c>
      <c r="F160" s="1100">
        <f t="shared" ca="1" si="80"/>
        <v>8</v>
      </c>
      <c r="G160" s="1105">
        <v>2</v>
      </c>
      <c r="H160" s="1100" t="str">
        <f t="shared" ca="1" si="81"/>
        <v>Fixed Operating Cost</v>
      </c>
      <c r="I160" s="1115">
        <f t="shared" ca="1" si="82"/>
        <v>0.24151439550643775</v>
      </c>
      <c r="J160" s="1096"/>
      <c r="K160" s="1100" t="str">
        <f t="shared" ca="1" si="76"/>
        <v>Fixed Operating Cost</v>
      </c>
      <c r="L160" s="1100"/>
      <c r="M160" s="1113">
        <f t="shared" ref="M160:M170" ca="1" si="83">+I160</f>
        <v>0.24151439550643775</v>
      </c>
      <c r="N160" s="1100" t="str">
        <f t="shared" ref="N160:N170" ca="1" si="84">+IF(M160&gt;0,K160,"")</f>
        <v>Fixed Operating Cost</v>
      </c>
      <c r="O160" s="1096"/>
      <c r="P160" s="1096"/>
      <c r="Q160" s="1096"/>
      <c r="R160" s="1096"/>
      <c r="S160" s="1096"/>
      <c r="T160" s="1096"/>
      <c r="U160" s="1096"/>
      <c r="V160" s="1096"/>
      <c r="W160" s="1096"/>
      <c r="X160" s="1096"/>
      <c r="Y160" s="1096"/>
      <c r="Z160" s="1096"/>
      <c r="AA160" s="1096"/>
      <c r="AB160" s="1096"/>
      <c r="AC160" s="1096"/>
      <c r="AD160" s="1096"/>
      <c r="AE160" s="1096"/>
      <c r="AF160" s="1096"/>
      <c r="AG160" s="1096"/>
      <c r="AH160" s="1096"/>
      <c r="AI160" s="1096"/>
      <c r="AJ160" s="1096"/>
    </row>
    <row r="161" spans="1:36" x14ac:dyDescent="0.25">
      <c r="A161" s="1096"/>
      <c r="B161" s="1096"/>
      <c r="C161" s="1096">
        <f t="shared" ref="C161:C170" si="85">+C160+1</f>
        <v>3</v>
      </c>
      <c r="D161" s="1100" t="str">
        <f>+J110</f>
        <v>Cash for Working Capital Reserve</v>
      </c>
      <c r="E161" s="1113">
        <f ca="1">+P48+C161/10000000000</f>
        <v>2.6099437330722345E-2</v>
      </c>
      <c r="F161" s="1100">
        <f t="shared" ca="1" si="80"/>
        <v>7</v>
      </c>
      <c r="G161" s="1105">
        <v>3</v>
      </c>
      <c r="H161" s="1100" t="str">
        <f t="shared" ca="1" si="81"/>
        <v>Other Variable Operating Costs</v>
      </c>
      <c r="I161" s="1115">
        <f t="shared" ca="1" si="82"/>
        <v>0.18472633156029178</v>
      </c>
      <c r="J161" s="1096"/>
      <c r="K161" s="1100" t="str">
        <f t="shared" ca="1" si="76"/>
        <v>Other Variable Operating Costs</v>
      </c>
      <c r="L161" s="1100"/>
      <c r="M161" s="1113">
        <f t="shared" ca="1" si="83"/>
        <v>0.18472633156029178</v>
      </c>
      <c r="N161" s="1100" t="str">
        <f t="shared" ca="1" si="84"/>
        <v>Other Variable Operating Costs</v>
      </c>
      <c r="O161" s="1096"/>
      <c r="P161" s="1096"/>
      <c r="Q161" s="1096"/>
      <c r="R161" s="1096"/>
      <c r="S161" s="1096"/>
      <c r="T161" s="1096"/>
      <c r="U161" s="1096"/>
      <c r="V161" s="1096"/>
      <c r="W161" s="1096"/>
      <c r="X161" s="1096"/>
      <c r="Y161" s="1096"/>
      <c r="Z161" s="1096"/>
      <c r="AA161" s="1096"/>
      <c r="AB161" s="1096"/>
      <c r="AC161" s="1096"/>
      <c r="AD161" s="1096"/>
      <c r="AE161" s="1096"/>
      <c r="AF161" s="1096"/>
      <c r="AG161" s="1096"/>
      <c r="AH161" s="1096"/>
      <c r="AI161" s="1096"/>
      <c r="AJ161" s="1096"/>
    </row>
    <row r="162" spans="1:36" x14ac:dyDescent="0.25">
      <c r="A162" s="1096"/>
      <c r="B162" s="1096"/>
      <c r="C162" s="1096">
        <f t="shared" si="85"/>
        <v>4</v>
      </c>
      <c r="D162" s="1100" t="str">
        <f>+K110</f>
        <v>Other Non-Depreciable Capital Costs</v>
      </c>
      <c r="E162" s="1113">
        <f ca="1">+Q48+C162/10000000000</f>
        <v>5.508460515001261E-3</v>
      </c>
      <c r="F162" s="1100">
        <f t="shared" ca="1" si="80"/>
        <v>10</v>
      </c>
      <c r="G162" s="1105">
        <v>4</v>
      </c>
      <c r="H162" s="1100" t="str">
        <f t="shared" ca="1" si="81"/>
        <v>Other Raw Material Cost</v>
      </c>
      <c r="I162" s="1115">
        <f t="shared" ca="1" si="82"/>
        <v>0.14277252538404067</v>
      </c>
      <c r="J162" s="1096"/>
      <c r="K162" s="1100" t="str">
        <f t="shared" ca="1" si="76"/>
        <v>Other Raw Material Cost</v>
      </c>
      <c r="L162" s="1100"/>
      <c r="M162" s="1113">
        <f t="shared" ca="1" si="83"/>
        <v>0.14277252538404067</v>
      </c>
      <c r="N162" s="1100" t="str">
        <f t="shared" ca="1" si="84"/>
        <v>Other Raw Material Cost</v>
      </c>
      <c r="O162" s="1096"/>
      <c r="P162" s="1096"/>
      <c r="Q162" s="1096"/>
      <c r="R162" s="1096"/>
      <c r="S162" s="1096"/>
      <c r="T162" s="1096"/>
      <c r="U162" s="1096"/>
      <c r="V162" s="1096"/>
      <c r="W162" s="1096"/>
      <c r="X162" s="1096"/>
      <c r="Y162" s="1096"/>
      <c r="Z162" s="1096"/>
      <c r="AA162" s="1096"/>
      <c r="AB162" s="1096"/>
      <c r="AC162" s="1096"/>
      <c r="AD162" s="1096"/>
      <c r="AE162" s="1096"/>
      <c r="AF162" s="1096"/>
      <c r="AG162" s="1096"/>
      <c r="AH162" s="1096"/>
      <c r="AI162" s="1096"/>
      <c r="AJ162" s="1096"/>
    </row>
    <row r="163" spans="1:36" x14ac:dyDescent="0.25">
      <c r="A163" s="1096"/>
      <c r="B163" s="1096"/>
      <c r="C163" s="1096">
        <f t="shared" si="85"/>
        <v>5</v>
      </c>
      <c r="D163" s="1100" t="str">
        <f>+L110</f>
        <v>Decommissioning Costs</v>
      </c>
      <c r="E163" s="1113">
        <f ca="1">+R48+C163/10000000000</f>
        <v>1.5249348462242497E-3</v>
      </c>
      <c r="F163" s="1100">
        <f t="shared" ca="1" si="80"/>
        <v>12</v>
      </c>
      <c r="G163" s="1105">
        <v>5</v>
      </c>
      <c r="H163" s="1100" t="str">
        <f t="shared" ca="1" si="81"/>
        <v>Initial Equity Depreciable Capital</v>
      </c>
      <c r="I163" s="1115">
        <f t="shared" ca="1" si="82"/>
        <v>0.14063856670484737</v>
      </c>
      <c r="J163" s="1096"/>
      <c r="K163" s="1100" t="str">
        <f t="shared" ca="1" si="76"/>
        <v>Initial Equity Depreciable Capital</v>
      </c>
      <c r="L163" s="1100"/>
      <c r="M163" s="1113">
        <f t="shared" ca="1" si="83"/>
        <v>0.14063856670484737</v>
      </c>
      <c r="N163" s="1100" t="str">
        <f t="shared" ca="1" si="84"/>
        <v>Initial Equity Depreciable Capital</v>
      </c>
      <c r="O163" s="1096"/>
      <c r="P163" s="1096"/>
      <c r="Q163" s="1096"/>
      <c r="R163" s="1096"/>
      <c r="S163" s="1096"/>
      <c r="T163" s="1096"/>
      <c r="U163" s="1096"/>
      <c r="V163" s="1096"/>
      <c r="W163" s="1096"/>
      <c r="X163" s="1096"/>
      <c r="Y163" s="1096"/>
      <c r="Z163" s="1096"/>
      <c r="AA163" s="1096"/>
      <c r="AB163" s="1096"/>
      <c r="AC163" s="1096"/>
      <c r="AD163" s="1096"/>
      <c r="AE163" s="1096"/>
      <c r="AF163" s="1096"/>
      <c r="AG163" s="1096"/>
      <c r="AH163" s="1096"/>
      <c r="AI163" s="1096"/>
      <c r="AJ163" s="1096"/>
    </row>
    <row r="164" spans="1:36" x14ac:dyDescent="0.25">
      <c r="A164" s="1096"/>
      <c r="B164" s="1096"/>
      <c r="C164" s="1096">
        <f t="shared" si="85"/>
        <v>6</v>
      </c>
      <c r="D164" s="1100" t="str">
        <f>+M110</f>
        <v>Fixed Operating Cost</v>
      </c>
      <c r="E164" s="1113">
        <f ca="1">+S48+C164/10000000000</f>
        <v>0.24151439610643774</v>
      </c>
      <c r="F164" s="1100">
        <f t="shared" ca="1" si="80"/>
        <v>2</v>
      </c>
      <c r="G164" s="1105">
        <v>6</v>
      </c>
      <c r="H164" s="1100" t="str">
        <f t="shared" ca="1" si="81"/>
        <v>Debt Interest</v>
      </c>
      <c r="I164" s="1115">
        <f t="shared" ca="1" si="82"/>
        <v>9.2389977839911513E-2</v>
      </c>
      <c r="J164" s="1096"/>
      <c r="K164" s="1100" t="str">
        <f t="shared" ca="1" si="76"/>
        <v>Debt Interest</v>
      </c>
      <c r="L164" s="1100"/>
      <c r="M164" s="1113">
        <f t="shared" ca="1" si="83"/>
        <v>9.2389977839911513E-2</v>
      </c>
      <c r="N164" s="1100" t="str">
        <f t="shared" ca="1" si="84"/>
        <v>Debt Interest</v>
      </c>
      <c r="O164" s="1096"/>
      <c r="P164" s="1096"/>
      <c r="Q164" s="1096"/>
      <c r="R164" s="1096"/>
      <c r="S164" s="1096"/>
      <c r="T164" s="1096"/>
      <c r="U164" s="1096"/>
      <c r="V164" s="1096"/>
      <c r="W164" s="1096"/>
      <c r="X164" s="1096"/>
      <c r="Y164" s="1096"/>
      <c r="Z164" s="1096"/>
      <c r="AA164" s="1096"/>
      <c r="AB164" s="1096"/>
      <c r="AC164" s="1096"/>
      <c r="AD164" s="1096"/>
      <c r="AE164" s="1096"/>
      <c r="AF164" s="1096"/>
      <c r="AG164" s="1096"/>
      <c r="AH164" s="1096"/>
      <c r="AI164" s="1096"/>
      <c r="AJ164" s="1096"/>
    </row>
    <row r="165" spans="1:36" x14ac:dyDescent="0.25">
      <c r="A165" s="1096"/>
      <c r="B165" s="1096"/>
      <c r="C165" s="1096">
        <f t="shared" si="85"/>
        <v>7</v>
      </c>
      <c r="D165" s="1100" t="str">
        <f>+N110</f>
        <v>Feedstock Cost</v>
      </c>
      <c r="E165" s="1113">
        <f ca="1">+T48+C165/10000000000</f>
        <v>1.3438636587768007</v>
      </c>
      <c r="F165" s="1100">
        <f t="shared" ca="1" si="80"/>
        <v>1</v>
      </c>
      <c r="G165" s="1105">
        <v>7</v>
      </c>
      <c r="H165" s="1100" t="str">
        <f t="shared" ca="1" si="81"/>
        <v>Cash for Working Capital Reserve</v>
      </c>
      <c r="I165" s="1115">
        <f t="shared" ca="1" si="82"/>
        <v>2.6099437030722344E-2</v>
      </c>
      <c r="J165" s="1096"/>
      <c r="K165" s="1100" t="str">
        <f t="shared" ca="1" si="76"/>
        <v>Cash for Working Capital Reserve</v>
      </c>
      <c r="L165" s="1100"/>
      <c r="M165" s="1113">
        <f t="shared" ca="1" si="83"/>
        <v>2.6099437030722344E-2</v>
      </c>
      <c r="N165" s="1100" t="str">
        <f t="shared" ca="1" si="84"/>
        <v>Cash for Working Capital Reserve</v>
      </c>
      <c r="O165" s="1096"/>
      <c r="P165" s="1096"/>
      <c r="Q165" s="1096"/>
      <c r="R165" s="1096"/>
      <c r="S165" s="1096"/>
      <c r="T165" s="1096"/>
      <c r="U165" s="1096"/>
      <c r="V165" s="1096"/>
      <c r="W165" s="1096"/>
      <c r="X165" s="1096"/>
      <c r="Y165" s="1096"/>
      <c r="Z165" s="1096"/>
      <c r="AA165" s="1096"/>
      <c r="AB165" s="1096"/>
      <c r="AC165" s="1096"/>
      <c r="AD165" s="1096"/>
      <c r="AE165" s="1096"/>
      <c r="AF165" s="1096"/>
      <c r="AG165" s="1096"/>
      <c r="AH165" s="1096"/>
      <c r="AI165" s="1096"/>
      <c r="AJ165" s="1096"/>
    </row>
    <row r="166" spans="1:36" x14ac:dyDescent="0.25">
      <c r="A166" s="1096"/>
      <c r="B166" s="1096"/>
      <c r="C166" s="1096">
        <f t="shared" si="85"/>
        <v>8</v>
      </c>
      <c r="D166" s="1100" t="str">
        <f>+O110</f>
        <v>Other Raw Material Cost</v>
      </c>
      <c r="E166" s="1113">
        <f ca="1">+U48+C166/10000000000</f>
        <v>0.14277252618404068</v>
      </c>
      <c r="F166" s="1100">
        <f t="shared" ca="1" si="80"/>
        <v>4</v>
      </c>
      <c r="G166" s="1105">
        <v>8</v>
      </c>
      <c r="H166" s="1100" t="str">
        <f t="shared" ca="1" si="81"/>
        <v>Yearly Replacement Costs</v>
      </c>
      <c r="I166" s="1115">
        <f t="shared" ca="1" si="82"/>
        <v>1.9752209149708037E-2</v>
      </c>
      <c r="J166" s="1096"/>
      <c r="K166" s="1100" t="str">
        <f t="shared" ca="1" si="76"/>
        <v>Yearly Replacement Costs</v>
      </c>
      <c r="L166" s="1100"/>
      <c r="M166" s="1113">
        <f t="shared" ca="1" si="83"/>
        <v>1.9752209149708037E-2</v>
      </c>
      <c r="N166" s="1100" t="str">
        <f t="shared" ca="1" si="84"/>
        <v>Yearly Replacement Costs</v>
      </c>
      <c r="O166" s="1096"/>
      <c r="P166" s="1096"/>
      <c r="Q166" s="1096"/>
      <c r="R166" s="1096"/>
      <c r="S166" s="1096"/>
      <c r="T166" s="1096"/>
      <c r="U166" s="1096"/>
      <c r="V166" s="1096"/>
      <c r="W166" s="1096"/>
      <c r="X166" s="1096"/>
      <c r="Y166" s="1096"/>
      <c r="Z166" s="1096"/>
      <c r="AA166" s="1096"/>
      <c r="AB166" s="1096"/>
      <c r="AC166" s="1096"/>
      <c r="AD166" s="1096"/>
      <c r="AE166" s="1096"/>
      <c r="AF166" s="1096"/>
      <c r="AG166" s="1096"/>
      <c r="AH166" s="1096"/>
      <c r="AI166" s="1096"/>
      <c r="AJ166" s="1096"/>
    </row>
    <row r="167" spans="1:36" x14ac:dyDescent="0.25">
      <c r="A167" s="1096"/>
      <c r="B167" s="1096"/>
      <c r="C167" s="1096">
        <f t="shared" si="85"/>
        <v>9</v>
      </c>
      <c r="D167" s="1100" t="str">
        <f>+P110</f>
        <v>Other Variable Operating Costs</v>
      </c>
      <c r="E167" s="1113">
        <f ca="1">+V48+C167/10000000000</f>
        <v>0.18472633246029177</v>
      </c>
      <c r="F167" s="1100">
        <f t="shared" ca="1" si="80"/>
        <v>3</v>
      </c>
      <c r="G167" s="1105">
        <v>9</v>
      </c>
      <c r="H167" s="1100" t="str">
        <f t="shared" ca="1" si="81"/>
        <v>Taxes</v>
      </c>
      <c r="I167" s="1115">
        <f t="shared" ca="1" si="82"/>
        <v>1.5344436337820982E-2</v>
      </c>
      <c r="J167" s="1096"/>
      <c r="K167" s="1100" t="str">
        <f t="shared" ca="1" si="76"/>
        <v>Taxes</v>
      </c>
      <c r="L167" s="1100"/>
      <c r="M167" s="1113">
        <f t="shared" ca="1" si="83"/>
        <v>1.5344436337820982E-2</v>
      </c>
      <c r="N167" s="1100" t="str">
        <f t="shared" ca="1" si="84"/>
        <v>Taxes</v>
      </c>
      <c r="O167" s="1096"/>
      <c r="P167" s="1096"/>
      <c r="Q167" s="1096"/>
      <c r="R167" s="1096"/>
      <c r="S167" s="1096"/>
      <c r="T167" s="1096"/>
      <c r="U167" s="1096"/>
      <c r="V167" s="1096"/>
      <c r="W167" s="1096"/>
      <c r="X167" s="1096"/>
      <c r="Y167" s="1096"/>
      <c r="Z167" s="1096"/>
      <c r="AA167" s="1096"/>
      <c r="AB167" s="1096"/>
      <c r="AC167" s="1096"/>
      <c r="AD167" s="1096"/>
      <c r="AE167" s="1096"/>
      <c r="AF167" s="1096"/>
      <c r="AG167" s="1096"/>
      <c r="AH167" s="1096"/>
      <c r="AI167" s="1096"/>
      <c r="AJ167" s="1096"/>
    </row>
    <row r="168" spans="1:36" x14ac:dyDescent="0.25">
      <c r="A168" s="1096"/>
      <c r="B168" s="1096"/>
      <c r="C168" s="1096">
        <f t="shared" si="85"/>
        <v>10</v>
      </c>
      <c r="D168" s="1100" t="str">
        <f>+Q110</f>
        <v>Debt Interest</v>
      </c>
      <c r="E168" s="1113">
        <f ca="1">+W48+C168/10000000000</f>
        <v>9.2389978839911513E-2</v>
      </c>
      <c r="F168" s="1100">
        <f t="shared" ca="1" si="80"/>
        <v>6</v>
      </c>
      <c r="G168" s="1105">
        <v>10</v>
      </c>
      <c r="H168" s="1100" t="str">
        <f t="shared" ca="1" si="81"/>
        <v>Other Non-Depreciable Capital Costs</v>
      </c>
      <c r="I168" s="1115">
        <f t="shared" ca="1" si="82"/>
        <v>5.5084601150012609E-3</v>
      </c>
      <c r="J168" s="1096"/>
      <c r="K168" s="1100" t="str">
        <f t="shared" ca="1" si="76"/>
        <v>Other Non-Depreciable Capital Costs</v>
      </c>
      <c r="L168" s="1100"/>
      <c r="M168" s="1113">
        <f t="shared" ca="1" si="83"/>
        <v>5.5084601150012609E-3</v>
      </c>
      <c r="N168" s="1100" t="str">
        <f t="shared" ca="1" si="84"/>
        <v>Other Non-Depreciable Capital Costs</v>
      </c>
      <c r="O168" s="1096"/>
      <c r="P168" s="1096"/>
      <c r="Q168" s="1096"/>
      <c r="R168" s="1096"/>
      <c r="S168" s="1096"/>
      <c r="T168" s="1096"/>
      <c r="U168" s="1096"/>
      <c r="V168" s="1096"/>
      <c r="W168" s="1096"/>
      <c r="X168" s="1096"/>
      <c r="Y168" s="1096"/>
      <c r="Z168" s="1096"/>
      <c r="AA168" s="1096"/>
      <c r="AB168" s="1096"/>
      <c r="AC168" s="1096"/>
      <c r="AD168" s="1096"/>
      <c r="AE168" s="1096"/>
      <c r="AF168" s="1096"/>
      <c r="AG168" s="1096"/>
      <c r="AH168" s="1096"/>
      <c r="AI168" s="1096"/>
      <c r="AJ168" s="1096"/>
    </row>
    <row r="169" spans="1:36" x14ac:dyDescent="0.25">
      <c r="A169" s="1096"/>
      <c r="B169" s="1096"/>
      <c r="C169" s="1096">
        <f t="shared" si="85"/>
        <v>11</v>
      </c>
      <c r="D169" s="1100" t="str">
        <f>+R110</f>
        <v>Taxes</v>
      </c>
      <c r="E169" s="1113">
        <f ca="1">+X48+C169/10000000000</f>
        <v>1.5344437437820983E-2</v>
      </c>
      <c r="F169" s="1100">
        <f t="shared" ca="1" si="80"/>
        <v>9</v>
      </c>
      <c r="G169" s="1105">
        <v>11</v>
      </c>
      <c r="H169" s="1100" t="str">
        <f t="shared" ca="1" si="81"/>
        <v>Principal Payment</v>
      </c>
      <c r="I169" s="1115">
        <f t="shared" ca="1" si="82"/>
        <v>4.1503685959502759E-3</v>
      </c>
      <c r="J169" s="1096"/>
      <c r="K169" s="1100" t="str">
        <f t="shared" ca="1" si="76"/>
        <v>Principal Payment</v>
      </c>
      <c r="L169" s="1100"/>
      <c r="M169" s="1113">
        <f t="shared" ca="1" si="83"/>
        <v>4.1503685959502759E-3</v>
      </c>
      <c r="N169" s="1100" t="str">
        <f t="shared" ca="1" si="84"/>
        <v>Principal Payment</v>
      </c>
      <c r="O169" s="1096"/>
      <c r="P169" s="1096"/>
      <c r="Q169" s="1096"/>
      <c r="R169" s="1096"/>
      <c r="S169" s="1096"/>
      <c r="T169" s="1096"/>
      <c r="U169" s="1096"/>
      <c r="V169" s="1096"/>
      <c r="W169" s="1096"/>
      <c r="X169" s="1096"/>
      <c r="Y169" s="1096"/>
      <c r="Z169" s="1096"/>
      <c r="AA169" s="1096"/>
      <c r="AB169" s="1096"/>
      <c r="AC169" s="1096"/>
      <c r="AD169" s="1096"/>
      <c r="AE169" s="1096"/>
      <c r="AF169" s="1096"/>
      <c r="AG169" s="1096"/>
      <c r="AH169" s="1096"/>
      <c r="AI169" s="1096"/>
      <c r="AJ169" s="1096"/>
    </row>
    <row r="170" spans="1:36" x14ac:dyDescent="0.25">
      <c r="A170" s="1096"/>
      <c r="B170" s="1096"/>
      <c r="C170" s="1096">
        <f t="shared" si="85"/>
        <v>12</v>
      </c>
      <c r="D170" s="1100" t="str">
        <f>+S110</f>
        <v>Principal Payment</v>
      </c>
      <c r="E170" s="1113">
        <f ca="1">+Y48+C170/10000000000</f>
        <v>4.1503697959502763E-3</v>
      </c>
      <c r="F170" s="1100">
        <f t="shared" ca="1" si="80"/>
        <v>11</v>
      </c>
      <c r="G170" s="1105">
        <v>12</v>
      </c>
      <c r="H170" s="1100" t="str">
        <f t="shared" ca="1" si="81"/>
        <v>Decommissioning Costs</v>
      </c>
      <c r="I170" s="1115">
        <f t="shared" ca="1" si="82"/>
        <v>1.5249343462242497E-3</v>
      </c>
      <c r="J170" s="1096"/>
      <c r="K170" s="1100" t="str">
        <f t="shared" ca="1" si="76"/>
        <v>Decommissioning Costs</v>
      </c>
      <c r="L170" s="1100"/>
      <c r="M170" s="1113">
        <f t="shared" ca="1" si="83"/>
        <v>1.5249343462242497E-3</v>
      </c>
      <c r="N170" s="1100" t="str">
        <f t="shared" ca="1" si="84"/>
        <v>Decommissioning Costs</v>
      </c>
      <c r="O170" s="1096"/>
      <c r="P170" s="1096"/>
      <c r="Q170" s="1096"/>
      <c r="R170" s="1096"/>
      <c r="S170" s="1096"/>
      <c r="T170" s="1096"/>
      <c r="U170" s="1096"/>
      <c r="V170" s="1096"/>
      <c r="W170" s="1096"/>
      <c r="X170" s="1096"/>
      <c r="Y170" s="1096"/>
      <c r="Z170" s="1096"/>
      <c r="AA170" s="1096"/>
      <c r="AB170" s="1096"/>
      <c r="AC170" s="1096"/>
      <c r="AD170" s="1096"/>
      <c r="AE170" s="1096"/>
      <c r="AF170" s="1096"/>
      <c r="AG170" s="1096"/>
      <c r="AH170" s="1096"/>
      <c r="AI170" s="1096"/>
      <c r="AJ170" s="1096"/>
    </row>
    <row r="171" spans="1:36" ht="13" x14ac:dyDescent="0.3">
      <c r="A171" s="1096"/>
      <c r="B171" s="1096"/>
      <c r="C171" s="1096"/>
      <c r="D171" s="1096"/>
      <c r="E171" s="1096"/>
      <c r="F171" s="1096"/>
      <c r="G171" s="1096"/>
      <c r="H171" s="1098"/>
      <c r="I171" s="1096"/>
      <c r="J171" s="1096"/>
      <c r="K171" s="1099" t="s">
        <v>58</v>
      </c>
      <c r="L171" s="1113">
        <f ca="1">+SUM(L155:L170)</f>
        <v>2.2182853006477585</v>
      </c>
      <c r="M171" s="1113">
        <f ca="1">+SUM(M155:M170)</f>
        <v>2.2182853006477568</v>
      </c>
      <c r="N171" s="1100" t="str">
        <f t="shared" ref="N171" ca="1" si="86">+IF(M171&lt;0.01,K171,"")</f>
        <v/>
      </c>
      <c r="O171" s="1096"/>
      <c r="P171" s="1096"/>
      <c r="Q171" s="1096"/>
      <c r="R171" s="1096"/>
      <c r="S171" s="1096"/>
      <c r="T171" s="1096"/>
      <c r="U171" s="1096"/>
      <c r="V171" s="1096"/>
      <c r="W171" s="1096"/>
      <c r="X171" s="1096"/>
      <c r="Y171" s="1096"/>
      <c r="Z171" s="1096"/>
      <c r="AA171" s="1096"/>
      <c r="AB171" s="1096"/>
      <c r="AC171" s="1096"/>
      <c r="AD171" s="1096"/>
      <c r="AE171" s="1096"/>
      <c r="AF171" s="1096"/>
      <c r="AG171" s="1096"/>
      <c r="AH171" s="1096"/>
      <c r="AI171" s="1096"/>
      <c r="AJ171" s="1096"/>
    </row>
    <row r="172" spans="1:36" x14ac:dyDescent="0.25">
      <c r="A172" s="1096"/>
      <c r="B172" s="1096"/>
      <c r="C172" s="1096"/>
      <c r="E172" s="1096"/>
      <c r="F172" s="1096"/>
      <c r="G172" s="1096"/>
      <c r="H172" s="1096"/>
      <c r="I172" s="1096"/>
      <c r="J172" s="1096"/>
      <c r="K172" s="1096"/>
      <c r="L172" s="1096"/>
      <c r="M172" s="1096"/>
      <c r="N172" s="1096"/>
      <c r="O172" s="1096"/>
      <c r="P172" s="1096"/>
      <c r="Q172" s="1096"/>
      <c r="R172" s="1096"/>
      <c r="S172" s="1096"/>
      <c r="T172" s="1096"/>
      <c r="U172" s="1096"/>
      <c r="V172" s="1096"/>
      <c r="W172" s="1096"/>
      <c r="X172" s="1096"/>
      <c r="Y172" s="1096"/>
      <c r="Z172" s="1096"/>
      <c r="AA172" s="1096"/>
      <c r="AB172" s="1096"/>
      <c r="AC172" s="1096"/>
      <c r="AD172" s="1096"/>
      <c r="AE172" s="1096"/>
      <c r="AF172" s="1096"/>
      <c r="AG172" s="1096"/>
      <c r="AH172" s="1096"/>
      <c r="AI172" s="1096"/>
      <c r="AJ172" s="1096"/>
    </row>
    <row r="173" spans="1:36" x14ac:dyDescent="0.25">
      <c r="A173" s="1096"/>
      <c r="B173" s="1096"/>
      <c r="C173" s="1096"/>
      <c r="D173" s="1096"/>
      <c r="E173" s="1096"/>
      <c r="F173" s="1096"/>
      <c r="G173" s="1096"/>
      <c r="H173" s="1096"/>
      <c r="I173" s="1096"/>
      <c r="J173" s="1096"/>
      <c r="K173" s="1096"/>
      <c r="L173" s="1096"/>
      <c r="M173" s="1096"/>
      <c r="N173" s="1096"/>
      <c r="O173" s="1096"/>
      <c r="P173" s="1096"/>
      <c r="Q173" s="1096"/>
      <c r="R173" s="1096"/>
      <c r="S173" s="1096"/>
      <c r="T173" s="1096"/>
      <c r="U173" s="1096"/>
      <c r="V173" s="1096"/>
      <c r="W173" s="1096"/>
      <c r="X173" s="1096"/>
      <c r="Y173" s="1096"/>
      <c r="Z173" s="1096"/>
      <c r="AA173" s="1096"/>
      <c r="AB173" s="1096"/>
      <c r="AC173" s="1096"/>
      <c r="AD173" s="1096"/>
      <c r="AE173" s="1096"/>
      <c r="AF173" s="1096"/>
      <c r="AG173" s="1096"/>
      <c r="AH173" s="1096"/>
      <c r="AI173" s="1096"/>
      <c r="AJ173" s="1096"/>
    </row>
    <row r="174" spans="1:36" ht="13" x14ac:dyDescent="0.3">
      <c r="A174" s="1096"/>
      <c r="B174" s="1098" t="s">
        <v>1184</v>
      </c>
      <c r="C174" s="1096"/>
      <c r="D174" s="1097" t="s">
        <v>1196</v>
      </c>
      <c r="E174" s="1097" t="s">
        <v>1194</v>
      </c>
      <c r="F174" s="1097" t="s">
        <v>1197</v>
      </c>
      <c r="G174" s="1097" t="s">
        <v>1195</v>
      </c>
      <c r="H174" s="1096"/>
      <c r="I174" s="1096"/>
      <c r="J174" s="1096"/>
      <c r="K174" s="1096"/>
      <c r="L174" s="1096"/>
      <c r="M174" s="1097"/>
      <c r="N174" s="1097"/>
      <c r="O174" s="1096"/>
      <c r="P174" s="1096"/>
      <c r="Q174" s="1096"/>
      <c r="R174" s="1096"/>
      <c r="S174" s="1096"/>
      <c r="T174" s="1096"/>
      <c r="U174" s="1096"/>
      <c r="V174" s="1096"/>
      <c r="W174" s="1096"/>
      <c r="X174" s="1096"/>
      <c r="Y174" s="1096"/>
      <c r="Z174" s="1096"/>
      <c r="AA174" s="1096"/>
      <c r="AB174" s="1096"/>
      <c r="AC174" s="1096"/>
      <c r="AD174" s="1096"/>
      <c r="AE174" s="1096"/>
      <c r="AF174" s="1096"/>
      <c r="AG174" s="1096"/>
      <c r="AH174" s="1096"/>
      <c r="AI174" s="1096"/>
      <c r="AJ174" s="1096"/>
    </row>
    <row r="175" spans="1:36" x14ac:dyDescent="0.25">
      <c r="A175" s="1096"/>
      <c r="B175">
        <v>0</v>
      </c>
      <c r="C175" s="1099" t="s">
        <v>1185</v>
      </c>
      <c r="D175" s="1113">
        <f>+K51</f>
        <v>2.2167386276561176</v>
      </c>
      <c r="E175" s="1113">
        <f>+D175</f>
        <v>2.2167386276561176</v>
      </c>
      <c r="F175" s="1113"/>
      <c r="G175" s="1113"/>
      <c r="H175" s="1096"/>
      <c r="I175" s="1096"/>
      <c r="J175" s="1096"/>
      <c r="K175" s="1096"/>
      <c r="L175" s="1096"/>
      <c r="M175" s="1230"/>
      <c r="N175" s="1230"/>
      <c r="O175" s="1096"/>
      <c r="P175" s="1096"/>
      <c r="Q175" s="1096"/>
      <c r="R175" s="1096"/>
      <c r="S175" s="1096"/>
      <c r="T175" s="1096"/>
      <c r="U175" s="1096"/>
      <c r="V175" s="1096"/>
      <c r="W175" s="1096"/>
      <c r="X175" s="1096"/>
      <c r="Y175" s="1096"/>
      <c r="Z175" s="1096"/>
      <c r="AA175" s="1096"/>
      <c r="AB175" s="1096"/>
      <c r="AC175" s="1096"/>
      <c r="AD175" s="1096"/>
      <c r="AE175" s="1096"/>
      <c r="AF175" s="1096"/>
      <c r="AG175" s="1096"/>
      <c r="AH175" s="1096"/>
      <c r="AI175" s="1096"/>
      <c r="AJ175" s="1096"/>
    </row>
    <row r="176" spans="1:36" x14ac:dyDescent="0.25">
      <c r="A176" s="1096"/>
      <c r="B176" s="1096">
        <v>1</v>
      </c>
      <c r="C176" s="1100" t="str">
        <f ca="1">OFFSET($B$50,0,MATCH($B176,$C$72:$I$72,0))&amp;
IF(OFFSET($F$2,MATCH($B176,$C$72:$I$72,0),0)&lt;1,
"
= "&amp;OFFSET($F$2,MATCH($B176,$C$72:$I$72,0),0)*100-100,
"
= +"&amp;OFFSET($F$2,MATCH($B176,$C$72:$I$72,0),0)*100-100)
&amp;"%"</f>
        <v>Feedstock consumption (% of most likely value)
= -5%</v>
      </c>
      <c r="D176" s="1113">
        <f>+K66</f>
        <v>2.1483109780849343</v>
      </c>
      <c r="E176" s="1113">
        <f t="shared" ref="E176:E181" si="87">+E175+G175-F176</f>
        <v>2.1483109780849343</v>
      </c>
      <c r="F176" s="1113">
        <f>+MAX(D175-D176,0)</f>
        <v>6.8427649571183302E-2</v>
      </c>
      <c r="G176" s="1113">
        <f>+MAX(D176-D175,0)</f>
        <v>0</v>
      </c>
      <c r="H176" s="1096"/>
      <c r="I176" s="1096"/>
      <c r="J176" s="1096"/>
      <c r="K176" s="1096"/>
      <c r="L176" s="1096"/>
      <c r="M176" s="1230"/>
      <c r="N176" s="1230"/>
      <c r="O176" s="1096"/>
      <c r="P176" s="1096"/>
      <c r="Q176" s="1096"/>
      <c r="R176" s="1096"/>
      <c r="S176" s="1096"/>
      <c r="T176" s="1096"/>
      <c r="U176" s="1096"/>
      <c r="V176" s="1096"/>
      <c r="W176" s="1096"/>
      <c r="X176" s="1096"/>
      <c r="Y176" s="1096"/>
      <c r="Z176" s="1096"/>
      <c r="AA176" s="1096"/>
      <c r="AB176" s="1096"/>
      <c r="AC176" s="1096"/>
      <c r="AD176" s="1096"/>
      <c r="AE176" s="1096"/>
      <c r="AF176" s="1096"/>
      <c r="AG176" s="1096"/>
      <c r="AH176" s="1096"/>
      <c r="AI176" s="1096"/>
      <c r="AJ176" s="1096"/>
    </row>
    <row r="177" spans="1:36" x14ac:dyDescent="0.25">
      <c r="A177" s="1096"/>
      <c r="B177" s="1096">
        <v>2</v>
      </c>
      <c r="C177" s="1100" t="str">
        <f ca="1">OFFSET($B$50,0,MATCH($B177,$C$72:$I$72,0))&amp;
IF(OFFSET($F$2,MATCH($B177,$C$72:$I$72,0),0)&lt;1,
"
= "&amp;OFFSET($F$2,MATCH($B177,$C$72:$I$72,0),0)*100-100,
"
= +"&amp;OFFSET($F$2,MATCH($B177,$C$72:$I$72,0),0)*100-100)
&amp;"%"</f>
        <v>Operating capacity factor
= +5%</v>
      </c>
      <c r="D177" s="1113">
        <f>+K67</f>
        <v>2.1140024421108028</v>
      </c>
      <c r="E177" s="1113">
        <f t="shared" si="87"/>
        <v>2.1140024421108028</v>
      </c>
      <c r="F177" s="1113">
        <f>+MAX(D176-D177,0)</f>
        <v>3.4308535974131527E-2</v>
      </c>
      <c r="G177" s="1113">
        <f>+MAX(D177-D176,0)</f>
        <v>0</v>
      </c>
      <c r="H177" s="1096"/>
      <c r="I177" s="1096"/>
      <c r="J177" s="1096"/>
      <c r="K177" s="1096"/>
      <c r="L177" s="1096"/>
      <c r="M177" s="1230"/>
      <c r="N177" s="1230"/>
      <c r="O177" s="1096"/>
      <c r="P177" s="1096"/>
      <c r="Q177" s="1096"/>
      <c r="R177" s="1096"/>
      <c r="S177" s="1096"/>
      <c r="T177" s="1096"/>
      <c r="U177" s="1096"/>
      <c r="V177" s="1096"/>
      <c r="W177" s="1096"/>
      <c r="X177" s="1096"/>
      <c r="Y177" s="1096"/>
      <c r="Z177" s="1096"/>
      <c r="AA177" s="1096"/>
      <c r="AB177" s="1096"/>
      <c r="AC177" s="1096"/>
      <c r="AD177" s="1096"/>
      <c r="AE177" s="1096"/>
      <c r="AF177" s="1096"/>
      <c r="AG177" s="1096"/>
      <c r="AH177" s="1096"/>
      <c r="AI177" s="1096"/>
      <c r="AJ177" s="1096"/>
    </row>
    <row r="178" spans="1:36" x14ac:dyDescent="0.25">
      <c r="A178" s="1096"/>
      <c r="B178" s="1096">
        <v>3</v>
      </c>
      <c r="C178" s="1100" t="str">
        <f ca="1">OFFSET($B$50,0,MATCH($B178,$C$72:$I$72,0))&amp;
IF(OFFSET($F$2,MATCH($B178,$C$72:$I$72,0),0)&lt;1,
"
= "&amp;OFFSET($F$2,MATCH($B178,$C$72:$I$72,0),0)*100-100,
"
= +"&amp;OFFSET($F$2,MATCH($B178,$C$72:$I$72,0),0)*100-100)
&amp;"%"</f>
        <v>Total capital investment ($)
= -5%</v>
      </c>
      <c r="D178" s="1113">
        <f>+K68</f>
        <v>2.0986146498468869</v>
      </c>
      <c r="E178" s="1113">
        <f t="shared" si="87"/>
        <v>2.0986146498468869</v>
      </c>
      <c r="F178" s="1113">
        <f>+MAX(D177-D178,0)</f>
        <v>1.5387792263915845E-2</v>
      </c>
      <c r="G178" s="1113">
        <f>+MAX(D178-D177,0)</f>
        <v>0</v>
      </c>
      <c r="H178" s="1096"/>
      <c r="I178" s="1096"/>
      <c r="J178" s="1096"/>
      <c r="K178" s="1096"/>
      <c r="L178" s="1096"/>
      <c r="M178" s="1230"/>
      <c r="N178" s="1230"/>
      <c r="O178" s="1096"/>
      <c r="P178" s="1096"/>
      <c r="Q178" s="1096"/>
      <c r="R178" s="1096"/>
      <c r="S178" s="1096"/>
      <c r="T178" s="1096"/>
      <c r="U178" s="1096"/>
      <c r="V178" s="1096"/>
      <c r="W178" s="1096"/>
      <c r="X178" s="1096"/>
      <c r="Y178" s="1096"/>
      <c r="Z178" s="1096"/>
      <c r="AA178" s="1096"/>
      <c r="AB178" s="1096"/>
      <c r="AC178" s="1096"/>
      <c r="AD178" s="1096"/>
      <c r="AE178" s="1096"/>
      <c r="AF178" s="1096"/>
      <c r="AG178" s="1096"/>
      <c r="AH178" s="1096"/>
      <c r="AI178" s="1096"/>
      <c r="AJ178" s="1096"/>
    </row>
    <row r="179" spans="1:36" x14ac:dyDescent="0.25">
      <c r="A179" s="1096"/>
      <c r="B179" s="1096">
        <v>4</v>
      </c>
      <c r="C179" s="1100" t="str">
        <f ca="1">OFFSET($B$50,0,MATCH($B179,$C$72:$I$72,0))&amp;
IF(OFFSET($F$2,MATCH($B179,$C$72:$I$72,0),0)&lt;1,
"
= "&amp;OFFSET($F$2,MATCH($B179,$C$72:$I$72,0),0)*100-100,
"
= +"&amp;OFFSET($F$2,MATCH($B179,$C$72:$I$72,0),0)*100-100)
&amp;"%"</f>
        <v>Total fixed operating cost ($/year)
= -5%</v>
      </c>
      <c r="D179" s="1113">
        <f>+K69</f>
        <v>2.0870969030137525</v>
      </c>
      <c r="E179" s="1113">
        <f t="shared" si="87"/>
        <v>2.0870969030137525</v>
      </c>
      <c r="F179" s="1113">
        <f>+MAX(D178-D179,0)</f>
        <v>1.1517746833134446E-2</v>
      </c>
      <c r="G179" s="1113">
        <f>+MAX(D179-D178,0)</f>
        <v>0</v>
      </c>
      <c r="H179" s="1096"/>
      <c r="I179" s="1096"/>
      <c r="J179" s="1096"/>
      <c r="K179" s="1096"/>
      <c r="L179" s="1096"/>
      <c r="M179" s="1230"/>
      <c r="N179" s="1230"/>
      <c r="O179" s="1096"/>
      <c r="P179" s="1096"/>
      <c r="Q179" s="1096"/>
      <c r="R179" s="1096"/>
      <c r="S179" s="1096"/>
      <c r="T179" s="1096"/>
      <c r="U179" s="1096"/>
      <c r="V179" s="1096"/>
      <c r="W179" s="1096"/>
      <c r="X179" s="1096"/>
      <c r="Y179" s="1096"/>
      <c r="Z179" s="1096"/>
      <c r="AA179" s="1096"/>
      <c r="AB179" s="1096"/>
      <c r="AC179" s="1096"/>
      <c r="AD179" s="1096"/>
      <c r="AE179" s="1096"/>
      <c r="AF179" s="1096"/>
      <c r="AG179" s="1096"/>
      <c r="AH179" s="1096"/>
      <c r="AI179" s="1096"/>
      <c r="AJ179" s="1096"/>
    </row>
    <row r="180" spans="1:36" x14ac:dyDescent="0.25">
      <c r="A180" s="1096"/>
      <c r="B180" s="1096">
        <v>5</v>
      </c>
      <c r="C180" s="1100" t="str">
        <f ca="1">OFFSET($B$50,0,MATCH($B180,$C$72:$I$72,0))&amp;
IF(OFFSET($F$2,MATCH($B180,$C$72:$I$72,0),0)&lt;1,
"
= "&amp;OFFSET($F$2,MATCH($B180,$C$72:$I$72,0),0)*100-100,
"
= +"&amp;OFFSET($F$2,MATCH($B180,$C$72:$I$72,0),0)*100-100)
&amp;"%"</f>
        <v>Utilities consumption (% of most likely value)
= -5%</v>
      </c>
      <c r="D180" s="1113">
        <f>+K70</f>
        <v>2.0813412584208995</v>
      </c>
      <c r="E180" s="1113">
        <f t="shared" si="87"/>
        <v>2.0813412584208995</v>
      </c>
      <c r="F180" s="1113">
        <f>+MAX(D179-D180,0)</f>
        <v>5.7556445928530486E-3</v>
      </c>
      <c r="G180" s="1113">
        <f>+MAX(D180-D179,0)</f>
        <v>0</v>
      </c>
      <c r="H180" s="1096"/>
      <c r="I180" s="1096"/>
      <c r="J180" s="1096"/>
      <c r="K180" s="1096"/>
      <c r="L180" s="1096"/>
      <c r="M180" s="1230"/>
      <c r="N180" s="1230"/>
      <c r="O180" s="1096"/>
      <c r="P180" s="1096"/>
      <c r="Q180" s="1096"/>
      <c r="R180" s="1096"/>
      <c r="S180" s="1096"/>
      <c r="T180" s="1096"/>
      <c r="U180" s="1096"/>
      <c r="V180" s="1096"/>
      <c r="W180" s="1096"/>
      <c r="X180" s="1096"/>
      <c r="Y180" s="1096"/>
      <c r="Z180" s="1096"/>
      <c r="AA180" s="1096"/>
      <c r="AB180" s="1096"/>
      <c r="AC180" s="1096"/>
      <c r="AD180" s="1096"/>
      <c r="AE180" s="1096"/>
      <c r="AF180" s="1096"/>
      <c r="AG180" s="1096"/>
      <c r="AH180" s="1096"/>
      <c r="AI180" s="1096"/>
      <c r="AJ180" s="1096"/>
    </row>
    <row r="181" spans="1:36" x14ac:dyDescent="0.25">
      <c r="A181" s="1096"/>
      <c r="B181" s="1096">
        <v>6</v>
      </c>
      <c r="C181" s="1099" t="s">
        <v>1192</v>
      </c>
      <c r="D181" s="1113">
        <f>+K70</f>
        <v>2.0813412584208995</v>
      </c>
      <c r="E181" s="1113">
        <f t="shared" si="87"/>
        <v>2.0813412584208995</v>
      </c>
      <c r="F181" s="1113"/>
      <c r="G181" s="1113"/>
      <c r="H181" s="1096"/>
      <c r="I181" s="1096"/>
      <c r="J181" s="1096"/>
      <c r="K181" s="1096"/>
      <c r="L181" s="1096"/>
      <c r="M181" s="1230"/>
      <c r="N181" s="1230"/>
      <c r="O181" s="1096"/>
      <c r="P181" s="1096"/>
      <c r="Q181" s="1096"/>
      <c r="R181" s="1096"/>
      <c r="S181" s="1096"/>
      <c r="T181" s="1096"/>
      <c r="U181" s="1096"/>
      <c r="V181" s="1096"/>
      <c r="W181" s="1096"/>
      <c r="X181" s="1096"/>
      <c r="Y181" s="1096"/>
      <c r="Z181" s="1096"/>
      <c r="AA181" s="1096"/>
      <c r="AB181" s="1096"/>
      <c r="AC181" s="1096"/>
      <c r="AD181" s="1096"/>
      <c r="AE181" s="1096"/>
      <c r="AF181" s="1096"/>
      <c r="AG181" s="1096"/>
      <c r="AH181" s="1096"/>
      <c r="AI181" s="1096"/>
      <c r="AJ181" s="1096"/>
    </row>
    <row r="182" spans="1:36" x14ac:dyDescent="0.25">
      <c r="A182" s="1096"/>
      <c r="B182" s="1096"/>
      <c r="C182" s="1096"/>
      <c r="D182" s="1096"/>
      <c r="E182" s="1096"/>
      <c r="F182" s="1096"/>
      <c r="G182" s="1096"/>
      <c r="H182" s="1096"/>
      <c r="I182" s="1096"/>
      <c r="J182" s="1096"/>
      <c r="K182" s="1096"/>
      <c r="L182" s="1096"/>
      <c r="M182" s="1096"/>
      <c r="N182" s="1096"/>
      <c r="O182" s="1096"/>
      <c r="P182" s="1096"/>
      <c r="Q182" s="1096"/>
      <c r="R182" s="1096"/>
      <c r="S182" s="1096"/>
      <c r="T182" s="1096"/>
      <c r="U182" s="1096"/>
      <c r="V182" s="1096"/>
      <c r="W182" s="1096"/>
      <c r="X182" s="1096"/>
      <c r="Y182" s="1096"/>
      <c r="Z182" s="1096"/>
      <c r="AA182" s="1096"/>
      <c r="AB182" s="1096"/>
      <c r="AC182" s="1096"/>
      <c r="AD182" s="1096"/>
      <c r="AE182" s="1096"/>
      <c r="AF182" s="1096"/>
      <c r="AG182" s="1096"/>
      <c r="AH182" s="1096"/>
      <c r="AI182" s="1096"/>
      <c r="AJ182" s="1096"/>
    </row>
    <row r="183" spans="1:36" x14ac:dyDescent="0.25">
      <c r="A183" s="1096"/>
      <c r="B183" s="1096"/>
      <c r="C183" s="1096"/>
      <c r="D183" s="1096"/>
      <c r="E183" s="1096"/>
      <c r="F183" s="1096"/>
      <c r="G183" s="1096"/>
      <c r="H183" s="1096"/>
      <c r="I183" s="1096"/>
      <c r="J183" s="1096"/>
      <c r="K183" s="1096"/>
      <c r="L183" s="1096"/>
      <c r="M183" s="1096"/>
      <c r="N183" s="1096"/>
      <c r="O183" s="1096"/>
      <c r="P183" s="1096"/>
      <c r="Q183" s="1096"/>
      <c r="R183" s="1096"/>
      <c r="S183" s="1096"/>
      <c r="T183" s="1096"/>
      <c r="U183" s="1096"/>
      <c r="V183" s="1096"/>
      <c r="W183" s="1096"/>
      <c r="X183" s="1096"/>
      <c r="Y183" s="1096"/>
      <c r="Z183" s="1096"/>
      <c r="AA183" s="1096"/>
      <c r="AB183" s="1096"/>
      <c r="AC183" s="1096"/>
      <c r="AD183" s="1096"/>
      <c r="AE183" s="1096"/>
      <c r="AF183" s="1096"/>
      <c r="AG183" s="1096"/>
      <c r="AH183" s="1096"/>
      <c r="AI183" s="1096"/>
      <c r="AJ183" s="1096"/>
    </row>
    <row r="184" spans="1:36" x14ac:dyDescent="0.25">
      <c r="A184" s="1096"/>
      <c r="B184" s="1096"/>
      <c r="C184" s="1096"/>
      <c r="D184" s="1096"/>
      <c r="E184" s="1096"/>
      <c r="F184" s="1096"/>
      <c r="G184" s="1096"/>
      <c r="H184" s="1096"/>
      <c r="I184" s="1096"/>
      <c r="J184" s="1096"/>
      <c r="K184" s="1096"/>
      <c r="L184" s="1096"/>
      <c r="M184" s="1096"/>
      <c r="N184" s="1096"/>
      <c r="O184" s="1096"/>
      <c r="P184" s="1096"/>
      <c r="Q184" s="1096"/>
      <c r="R184" s="1096"/>
      <c r="S184" s="1096"/>
      <c r="T184" s="1096"/>
      <c r="U184" s="1096"/>
      <c r="V184" s="1096"/>
      <c r="W184" s="1096"/>
      <c r="X184" s="1096"/>
      <c r="Y184" s="1096"/>
      <c r="Z184" s="1096"/>
      <c r="AA184" s="1096"/>
      <c r="AB184" s="1096"/>
      <c r="AC184" s="1096"/>
      <c r="AD184" s="1096"/>
      <c r="AE184" s="1096"/>
      <c r="AF184" s="1096"/>
      <c r="AG184" s="1096"/>
      <c r="AH184" s="1096"/>
      <c r="AI184" s="1096"/>
      <c r="AJ184" s="1096"/>
    </row>
    <row r="185" spans="1:36" x14ac:dyDescent="0.25">
      <c r="A185" s="1096"/>
      <c r="B185" s="1096"/>
      <c r="C185" s="1096"/>
      <c r="D185" s="1096"/>
      <c r="E185" s="1096"/>
      <c r="F185" s="1096"/>
      <c r="G185" s="1096"/>
      <c r="H185" s="1096"/>
      <c r="I185" s="1096"/>
      <c r="J185" s="1096"/>
      <c r="K185" s="1096"/>
      <c r="L185" s="1096"/>
      <c r="M185" s="1096"/>
      <c r="N185" s="1096"/>
      <c r="O185" s="1096"/>
      <c r="P185" s="1096"/>
      <c r="Q185" s="1096"/>
      <c r="R185" s="1096"/>
      <c r="S185" s="1096"/>
      <c r="T185" s="1096"/>
      <c r="U185" s="1096"/>
      <c r="V185" s="1096"/>
      <c r="W185" s="1096"/>
      <c r="X185" s="1096"/>
      <c r="Y185" s="1096"/>
      <c r="Z185" s="1096"/>
      <c r="AA185" s="1096"/>
      <c r="AB185" s="1096"/>
      <c r="AC185" s="1096"/>
      <c r="AD185" s="1096"/>
      <c r="AE185" s="1096"/>
      <c r="AF185" s="1096"/>
      <c r="AG185" s="1096"/>
      <c r="AH185" s="1096"/>
      <c r="AI185" s="1096"/>
      <c r="AJ185" s="1096"/>
    </row>
    <row r="186" spans="1:36" x14ac:dyDescent="0.25">
      <c r="A186" s="1096"/>
      <c r="B186" s="1096"/>
      <c r="C186" s="1096"/>
      <c r="D186" s="1096"/>
      <c r="E186" s="1096"/>
      <c r="F186" s="1096"/>
      <c r="G186" s="1096"/>
      <c r="H186" s="1096"/>
      <c r="I186" s="1096"/>
      <c r="J186" s="1096"/>
      <c r="K186" s="1096"/>
      <c r="L186" s="1096"/>
      <c r="M186" s="1096"/>
      <c r="N186" s="1096"/>
      <c r="O186" s="1096"/>
      <c r="P186" s="1096"/>
      <c r="Q186" s="1096"/>
      <c r="R186" s="1096"/>
      <c r="S186" s="1096"/>
      <c r="T186" s="1096"/>
      <c r="U186" s="1096"/>
      <c r="V186" s="1096"/>
      <c r="W186" s="1096"/>
      <c r="X186" s="1096"/>
      <c r="Y186" s="1096"/>
      <c r="Z186" s="1096"/>
      <c r="AA186" s="1096"/>
      <c r="AB186" s="1096"/>
      <c r="AC186" s="1096"/>
      <c r="AD186" s="1096"/>
      <c r="AE186" s="1096"/>
      <c r="AF186" s="1096"/>
      <c r="AG186" s="1096"/>
      <c r="AH186" s="1096"/>
      <c r="AI186" s="1096"/>
      <c r="AJ186" s="1096"/>
    </row>
    <row r="187" spans="1:36" x14ac:dyDescent="0.25">
      <c r="A187" s="1096"/>
      <c r="B187" s="1096"/>
      <c r="C187" s="1096"/>
      <c r="D187" s="1096"/>
      <c r="E187" s="1096"/>
      <c r="F187" s="1096"/>
      <c r="G187" s="1096"/>
      <c r="H187" s="1096"/>
      <c r="I187" s="1096"/>
      <c r="J187" s="1096"/>
      <c r="K187" s="1096"/>
      <c r="L187" s="1096"/>
      <c r="M187" s="1096"/>
      <c r="N187" s="1096"/>
      <c r="O187" s="1096"/>
      <c r="P187" s="1096"/>
      <c r="Q187" s="1096"/>
      <c r="R187" s="1096"/>
      <c r="S187" s="1096"/>
      <c r="T187" s="1096"/>
      <c r="U187" s="1096"/>
      <c r="V187" s="1096"/>
      <c r="W187" s="1096"/>
      <c r="X187" s="1096"/>
      <c r="Y187" s="1096"/>
      <c r="Z187" s="1096"/>
      <c r="AA187" s="1096"/>
      <c r="AB187" s="1096"/>
      <c r="AC187" s="1096"/>
      <c r="AD187" s="1096"/>
      <c r="AE187" s="1096"/>
      <c r="AF187" s="1096"/>
      <c r="AG187" s="1096"/>
      <c r="AH187" s="1096"/>
      <c r="AI187" s="1096"/>
      <c r="AJ187" s="1096"/>
    </row>
    <row r="188" spans="1:36" x14ac:dyDescent="0.25">
      <c r="A188" s="1096"/>
      <c r="B188" s="1096"/>
      <c r="C188" s="1096"/>
      <c r="D188" s="1096"/>
      <c r="E188" s="1096"/>
      <c r="F188" s="1096"/>
      <c r="G188" s="1096"/>
      <c r="H188" s="1096"/>
      <c r="I188" s="1096"/>
      <c r="J188" s="1096"/>
      <c r="K188" s="1096"/>
      <c r="L188" s="1096"/>
      <c r="M188" s="1096"/>
      <c r="N188" s="1096"/>
      <c r="O188" s="1096"/>
      <c r="P188" s="1096"/>
      <c r="Q188" s="1096"/>
      <c r="R188" s="1096"/>
      <c r="S188" s="1096"/>
      <c r="T188" s="1096"/>
      <c r="U188" s="1096"/>
      <c r="V188" s="1096"/>
      <c r="W188" s="1096"/>
      <c r="X188" s="1096"/>
      <c r="Y188" s="1096"/>
      <c r="Z188" s="1096"/>
      <c r="AA188" s="1096"/>
      <c r="AB188" s="1096"/>
      <c r="AC188" s="1096"/>
      <c r="AD188" s="1096"/>
      <c r="AE188" s="1096"/>
      <c r="AF188" s="1096"/>
      <c r="AG188" s="1096"/>
      <c r="AH188" s="1096"/>
      <c r="AI188" s="1096"/>
      <c r="AJ188" s="1096"/>
    </row>
    <row r="189" spans="1:36" x14ac:dyDescent="0.25">
      <c r="A189" s="1096"/>
      <c r="B189" s="1451" t="s">
        <v>1308</v>
      </c>
      <c r="C189" s="1452">
        <f>+MIN(F3:G3)</f>
        <v>0.95</v>
      </c>
      <c r="D189" s="1452">
        <f>+MIN(F4:G4)</f>
        <v>0.95</v>
      </c>
      <c r="E189" s="1452">
        <f>+MIN(F5:G5)</f>
        <v>0.95</v>
      </c>
      <c r="F189" s="1452">
        <f>+MIN(F6:G6)</f>
        <v>0.95</v>
      </c>
      <c r="G189" s="1452">
        <f>+MIN(F7:G7)</f>
        <v>0.95</v>
      </c>
      <c r="H189" s="1452">
        <f>+MIN(F8:G8)</f>
        <v>0.95</v>
      </c>
      <c r="I189" s="1452">
        <f>+MIN(F9:G9)</f>
        <v>0.95</v>
      </c>
      <c r="J189" s="1096"/>
      <c r="K189" s="1096"/>
      <c r="L189" s="1096"/>
      <c r="M189" s="1096"/>
      <c r="N189" s="1096"/>
      <c r="O189" s="1096"/>
      <c r="P189" s="1096"/>
      <c r="Q189" s="1096"/>
      <c r="R189" s="1096"/>
      <c r="S189" s="1096"/>
      <c r="T189" s="1096"/>
      <c r="U189" s="1096"/>
      <c r="V189" s="1096"/>
      <c r="W189" s="1096"/>
      <c r="X189" s="1096"/>
      <c r="Y189" s="1096"/>
      <c r="Z189" s="1096"/>
      <c r="AA189" s="1096"/>
      <c r="AB189" s="1096"/>
      <c r="AC189" s="1096"/>
      <c r="AD189" s="1096"/>
      <c r="AE189" s="1096"/>
      <c r="AF189" s="1096"/>
      <c r="AG189" s="1096"/>
      <c r="AH189" s="1096"/>
      <c r="AI189" s="1096"/>
      <c r="AJ189" s="1096"/>
    </row>
    <row r="190" spans="1:36" x14ac:dyDescent="0.25">
      <c r="A190" s="1096"/>
      <c r="B190" s="1451" t="s">
        <v>1310</v>
      </c>
      <c r="C190" s="1453">
        <v>1</v>
      </c>
      <c r="D190" s="1453">
        <v>1</v>
      </c>
      <c r="E190" s="1453">
        <v>1</v>
      </c>
      <c r="F190" s="1453">
        <v>1</v>
      </c>
      <c r="G190" s="1453">
        <v>1</v>
      </c>
      <c r="H190" s="1453">
        <v>1</v>
      </c>
      <c r="I190" s="1453">
        <v>1</v>
      </c>
      <c r="J190" s="1096"/>
      <c r="K190" s="1096"/>
      <c r="L190" s="1096"/>
      <c r="M190" s="1096"/>
      <c r="N190" s="1096"/>
      <c r="O190" s="1096"/>
      <c r="P190" s="1096"/>
      <c r="Q190" s="1096"/>
      <c r="R190" s="1096"/>
      <c r="S190" s="1096"/>
      <c r="T190" s="1096"/>
      <c r="U190" s="1096"/>
      <c r="V190" s="1096"/>
      <c r="W190" s="1096"/>
      <c r="X190" s="1096"/>
      <c r="Y190" s="1096"/>
      <c r="Z190" s="1096"/>
      <c r="AA190" s="1096"/>
      <c r="AB190" s="1096"/>
      <c r="AC190" s="1096"/>
      <c r="AD190" s="1096"/>
      <c r="AE190" s="1096"/>
      <c r="AF190" s="1096"/>
      <c r="AG190" s="1096"/>
      <c r="AH190" s="1096"/>
      <c r="AI190" s="1096"/>
      <c r="AJ190" s="1096"/>
    </row>
    <row r="191" spans="1:36" x14ac:dyDescent="0.25">
      <c r="A191" s="1096"/>
      <c r="B191" s="1451" t="s">
        <v>1309</v>
      </c>
      <c r="C191" s="1452">
        <f>+MAX(F3:G3)</f>
        <v>1.05</v>
      </c>
      <c r="D191" s="1452">
        <f>+MAX(F4:G4)</f>
        <v>1.05</v>
      </c>
      <c r="E191" s="1452">
        <f>+MAX(F5:G5)</f>
        <v>1.05</v>
      </c>
      <c r="F191" s="1452">
        <f>+MAX(F6:G6)</f>
        <v>1.05</v>
      </c>
      <c r="G191" s="1452">
        <f>+MAX(F7:G7)</f>
        <v>1.05</v>
      </c>
      <c r="H191" s="1452">
        <f>+MAX(F8:G8)</f>
        <v>1.05</v>
      </c>
      <c r="I191" s="1452">
        <f>+MAX(F9:G9)</f>
        <v>1.05</v>
      </c>
      <c r="J191" s="1096"/>
      <c r="K191" s="1096"/>
      <c r="L191" s="1096"/>
      <c r="M191" s="1096"/>
      <c r="N191" s="1096"/>
      <c r="O191" s="1096"/>
      <c r="P191" s="1096"/>
      <c r="Q191" s="1096"/>
      <c r="R191" s="1096"/>
      <c r="S191" s="1096"/>
      <c r="T191" s="1096"/>
      <c r="U191" s="1096"/>
      <c r="V191" s="1096"/>
      <c r="W191" s="1096"/>
      <c r="X191" s="1096"/>
      <c r="Y191" s="1096"/>
      <c r="Z191" s="1096"/>
      <c r="AA191" s="1096"/>
      <c r="AB191" s="1096"/>
      <c r="AC191" s="1096"/>
      <c r="AD191" s="1096"/>
      <c r="AE191" s="1096"/>
      <c r="AF191" s="1096"/>
      <c r="AG191" s="1096"/>
      <c r="AH191" s="1096"/>
      <c r="AI191" s="1096"/>
      <c r="AJ191" s="1096"/>
    </row>
    <row r="192" spans="1:36" x14ac:dyDescent="0.25">
      <c r="A192" s="1096"/>
      <c r="B192" s="1096"/>
      <c r="C192" s="1096"/>
      <c r="D192" s="1096"/>
      <c r="E192" s="1096"/>
      <c r="F192" s="1096"/>
      <c r="G192" s="1096"/>
      <c r="H192" s="1096"/>
      <c r="I192" s="1096"/>
      <c r="J192" s="1096"/>
      <c r="K192" s="1096"/>
      <c r="L192" s="1096"/>
      <c r="M192" s="1096"/>
      <c r="N192" s="1096"/>
      <c r="O192" s="1096"/>
      <c r="P192" s="1096"/>
      <c r="Q192" s="1096"/>
      <c r="R192" s="1096"/>
      <c r="S192" s="1096"/>
      <c r="T192" s="1096"/>
      <c r="U192" s="1096"/>
      <c r="V192" s="1096"/>
      <c r="W192" s="1096"/>
      <c r="X192" s="1096"/>
      <c r="Y192" s="1096"/>
      <c r="Z192" s="1096"/>
      <c r="AA192" s="1096"/>
      <c r="AB192" s="1096"/>
      <c r="AC192" s="1096"/>
      <c r="AD192" s="1096"/>
      <c r="AE192" s="1096"/>
      <c r="AF192" s="1096"/>
      <c r="AG192" s="1096"/>
      <c r="AH192" s="1096"/>
      <c r="AI192" s="1096"/>
      <c r="AJ192" s="1096"/>
    </row>
    <row r="193" spans="1:36" x14ac:dyDescent="0.25">
      <c r="A193" s="1096"/>
      <c r="B193" s="1096"/>
      <c r="C193" s="1096"/>
      <c r="D193" s="1096"/>
      <c r="E193" s="1096"/>
      <c r="F193" s="1096"/>
      <c r="G193" s="1096"/>
      <c r="H193" s="1096"/>
      <c r="I193" s="1096"/>
      <c r="J193" s="1096"/>
      <c r="K193" s="1096"/>
      <c r="L193" s="1096"/>
      <c r="M193" s="1096"/>
      <c r="N193" s="1096"/>
      <c r="O193" s="1096"/>
      <c r="P193" s="1096"/>
      <c r="Q193" s="1096"/>
      <c r="R193" s="1096"/>
      <c r="S193" s="1096"/>
      <c r="T193" s="1096"/>
      <c r="U193" s="1096"/>
      <c r="V193" s="1096"/>
      <c r="W193" s="1096"/>
      <c r="X193" s="1096"/>
      <c r="Y193" s="1096"/>
      <c r="Z193" s="1096"/>
      <c r="AA193" s="1096"/>
      <c r="AB193" s="1096"/>
      <c r="AC193" s="1096"/>
      <c r="AD193" s="1096"/>
      <c r="AE193" s="1096"/>
      <c r="AF193" s="1096"/>
      <c r="AG193" s="1096"/>
      <c r="AH193" s="1096"/>
      <c r="AI193" s="1096"/>
      <c r="AJ193" s="1096"/>
    </row>
    <row r="194" spans="1:36" x14ac:dyDescent="0.25">
      <c r="A194" s="1096"/>
      <c r="B194" s="1097" t="s">
        <v>1316</v>
      </c>
      <c r="C194" s="1096">
        <f>+MATCH(R12,C50:Y50,0)</f>
        <v>9</v>
      </c>
      <c r="D194" s="1096"/>
      <c r="E194" s="1096"/>
      <c r="F194" s="1096"/>
      <c r="G194" s="1096"/>
      <c r="H194" s="1096"/>
      <c r="I194" s="1096"/>
      <c r="J194" s="1096"/>
      <c r="K194" s="1096"/>
      <c r="L194" s="1096"/>
      <c r="M194" s="1096"/>
      <c r="N194" s="1096"/>
      <c r="O194" s="1096"/>
      <c r="P194" s="1096"/>
      <c r="Q194" s="1096"/>
      <c r="R194" s="1096"/>
      <c r="S194" s="1096"/>
      <c r="T194" s="1096"/>
      <c r="U194" s="1096"/>
      <c r="V194" s="1096"/>
      <c r="W194" s="1096"/>
      <c r="X194" s="1096"/>
      <c r="Y194" s="1096"/>
      <c r="Z194" s="1096"/>
      <c r="AA194" s="1096"/>
      <c r="AB194" s="1096"/>
      <c r="AC194" s="1096"/>
      <c r="AD194" s="1096"/>
      <c r="AE194" s="1096"/>
      <c r="AF194" s="1096"/>
      <c r="AG194" s="1096"/>
      <c r="AH194" s="1096"/>
      <c r="AI194" s="1096"/>
      <c r="AJ194" s="1096"/>
    </row>
    <row r="195" spans="1:36" x14ac:dyDescent="0.25">
      <c r="A195" s="1096"/>
      <c r="B195" s="1097" t="s">
        <v>1312</v>
      </c>
      <c r="C195" s="1096">
        <f ca="1">+MIN(OFFSET($B$251:$B$2250,0,C194))</f>
        <v>2.1226786839973983</v>
      </c>
      <c r="D195" s="1096"/>
      <c r="E195" s="1096"/>
      <c r="F195" s="1096"/>
      <c r="G195" s="1096"/>
      <c r="H195" s="1096"/>
      <c r="I195" s="1096"/>
      <c r="J195" s="1096"/>
      <c r="K195" s="1096"/>
      <c r="L195" s="1096"/>
      <c r="M195" s="1096"/>
      <c r="N195" s="1096"/>
      <c r="O195" s="1096"/>
      <c r="P195" s="1096"/>
      <c r="Q195" s="1096"/>
      <c r="R195" s="1096"/>
      <c r="S195" s="1096"/>
      <c r="T195" s="1096"/>
      <c r="U195" s="1096"/>
      <c r="V195" s="1096"/>
      <c r="W195" s="1096"/>
      <c r="X195" s="1096"/>
      <c r="Y195" s="1096"/>
      <c r="Z195" s="1096"/>
      <c r="AA195" s="1096"/>
      <c r="AB195" s="1096"/>
      <c r="AC195" s="1096"/>
      <c r="AD195" s="1096"/>
      <c r="AE195" s="1096"/>
      <c r="AF195" s="1096"/>
      <c r="AG195" s="1096"/>
      <c r="AH195" s="1096"/>
      <c r="AI195" s="1096"/>
      <c r="AJ195" s="1096"/>
    </row>
    <row r="196" spans="1:36" x14ac:dyDescent="0.25">
      <c r="A196" s="1096"/>
      <c r="B196" s="1097" t="s">
        <v>1317</v>
      </c>
      <c r="C196" s="1096">
        <f ca="1">+MAX(OFFSET($B$251:$B$2250,0,C194))</f>
        <v>2.3187838731438877</v>
      </c>
      <c r="D196" s="1096"/>
      <c r="E196" s="1096"/>
      <c r="F196" s="1096"/>
      <c r="G196" s="1096"/>
      <c r="H196" s="1096"/>
      <c r="I196" s="1096"/>
      <c r="J196" s="1096"/>
      <c r="K196" s="1096"/>
      <c r="L196" s="1096"/>
      <c r="M196" s="1096"/>
      <c r="N196" s="1096"/>
      <c r="O196" s="1096"/>
      <c r="P196" s="1096"/>
      <c r="Q196" s="1096"/>
      <c r="R196" s="1096"/>
      <c r="S196" s="1096"/>
      <c r="T196" s="1096"/>
      <c r="U196" s="1096"/>
      <c r="V196" s="1096"/>
      <c r="W196" s="1096"/>
      <c r="X196" s="1096"/>
      <c r="Y196" s="1096"/>
      <c r="Z196" s="1096"/>
      <c r="AA196" s="1096"/>
      <c r="AB196" s="1096"/>
      <c r="AC196" s="1096"/>
      <c r="AD196" s="1096"/>
      <c r="AE196" s="1096"/>
      <c r="AF196" s="1096"/>
      <c r="AG196" s="1096"/>
      <c r="AH196" s="1096"/>
      <c r="AI196" s="1096"/>
      <c r="AJ196" s="1096"/>
    </row>
    <row r="197" spans="1:36" x14ac:dyDescent="0.25">
      <c r="A197" s="1096"/>
      <c r="B197" s="1097" t="s">
        <v>1319</v>
      </c>
      <c r="C197" s="1096">
        <f ca="1">+C196-C195</f>
        <v>0.19610518914648933</v>
      </c>
      <c r="D197" s="1096"/>
      <c r="E197" s="1096"/>
      <c r="F197" s="1096"/>
      <c r="G197" s="1096"/>
      <c r="H197" s="1096"/>
      <c r="I197" s="1096"/>
      <c r="J197" s="1096"/>
      <c r="K197" s="1096"/>
      <c r="L197" s="1096"/>
      <c r="M197" s="1096"/>
      <c r="N197" s="1096"/>
      <c r="O197" s="1096"/>
      <c r="P197" s="1096"/>
      <c r="Q197" s="1096"/>
      <c r="R197" s="1096"/>
      <c r="S197" s="1096"/>
      <c r="T197" s="1096"/>
      <c r="U197" s="1096"/>
      <c r="V197" s="1096"/>
      <c r="W197" s="1096"/>
      <c r="X197" s="1096"/>
      <c r="Y197" s="1096"/>
      <c r="Z197" s="1096"/>
      <c r="AA197" s="1096"/>
      <c r="AB197" s="1096"/>
      <c r="AC197" s="1096"/>
      <c r="AD197" s="1096"/>
      <c r="AE197" s="1096"/>
      <c r="AF197" s="1096"/>
      <c r="AG197" s="1096"/>
      <c r="AH197" s="1096"/>
      <c r="AI197" s="1096"/>
      <c r="AJ197" s="1096"/>
    </row>
    <row r="198" spans="1:36" x14ac:dyDescent="0.25">
      <c r="A198" s="1096"/>
      <c r="B198" s="1097" t="s">
        <v>1318</v>
      </c>
      <c r="C198" s="1096">
        <f ca="1">+OFFSET(B199,0,C194)</f>
        <v>1</v>
      </c>
      <c r="D198" s="1096"/>
      <c r="E198" s="1096"/>
      <c r="F198" s="1096"/>
      <c r="G198" s="1096"/>
      <c r="H198" s="1096"/>
      <c r="I198" s="1096"/>
      <c r="J198" s="1096"/>
      <c r="K198" s="1096"/>
      <c r="L198" s="1096"/>
      <c r="M198" s="1096"/>
      <c r="N198" s="1096"/>
      <c r="O198" s="1096"/>
      <c r="P198" s="1096"/>
      <c r="Q198" s="1096"/>
      <c r="R198" s="1096"/>
      <c r="S198" s="1096"/>
      <c r="T198" s="1096"/>
      <c r="U198" s="1096"/>
      <c r="V198" s="1096"/>
      <c r="W198" s="1096"/>
      <c r="X198" s="1096"/>
      <c r="Y198" s="1096"/>
      <c r="Z198" s="1096"/>
      <c r="AA198" s="1096"/>
      <c r="AB198" s="1096"/>
      <c r="AC198" s="1096"/>
      <c r="AD198" s="1096"/>
      <c r="AE198" s="1096"/>
      <c r="AF198" s="1096"/>
      <c r="AG198" s="1096"/>
      <c r="AH198" s="1096"/>
      <c r="AI198" s="1096"/>
      <c r="AJ198" s="1096"/>
    </row>
    <row r="199" spans="1:36" x14ac:dyDescent="0.25">
      <c r="A199" s="1096"/>
      <c r="B199" s="1097" t="s">
        <v>1318</v>
      </c>
      <c r="C199" s="1449">
        <f ca="1">+C3</f>
        <v>0.9</v>
      </c>
      <c r="D199" s="1456">
        <f ca="1">+C4</f>
        <v>154758.064516129</v>
      </c>
      <c r="E199" s="1449">
        <f ca="1">+C5</f>
        <v>0.08</v>
      </c>
      <c r="F199" s="1449">
        <f>+C6</f>
        <v>1</v>
      </c>
      <c r="G199" s="1449">
        <f>+C7</f>
        <v>1</v>
      </c>
      <c r="H199" s="1456">
        <f ca="1">+C8</f>
        <v>195787310.81187424</v>
      </c>
      <c r="I199" s="1456">
        <f ca="1">+C9</f>
        <v>11801427.329928726</v>
      </c>
      <c r="J199" s="1096"/>
      <c r="K199" s="1096">
        <v>1</v>
      </c>
      <c r="L199" s="1096">
        <v>1</v>
      </c>
      <c r="M199" s="1096">
        <v>1</v>
      </c>
      <c r="N199" s="1096">
        <v>1</v>
      </c>
      <c r="O199" s="1096">
        <v>1</v>
      </c>
      <c r="P199" s="1096">
        <v>1</v>
      </c>
      <c r="Q199" s="1096">
        <v>1</v>
      </c>
      <c r="R199" s="1096">
        <v>1</v>
      </c>
      <c r="S199" s="1096">
        <v>1</v>
      </c>
      <c r="T199" s="1096">
        <v>1</v>
      </c>
      <c r="U199" s="1096">
        <v>1</v>
      </c>
      <c r="V199" s="1096">
        <v>1</v>
      </c>
      <c r="W199" s="1096">
        <v>1</v>
      </c>
      <c r="X199" s="1096">
        <v>1</v>
      </c>
      <c r="Y199" s="1096"/>
      <c r="Z199" s="1096"/>
      <c r="AA199" s="1096"/>
      <c r="AB199" s="1096"/>
      <c r="AC199" s="1096"/>
      <c r="AD199" s="1096"/>
      <c r="AE199" s="1096"/>
      <c r="AF199" s="1096"/>
      <c r="AG199" s="1096"/>
      <c r="AH199" s="1096"/>
      <c r="AI199" s="1096"/>
      <c r="AJ199" s="1096"/>
    </row>
    <row r="200" spans="1:36" x14ac:dyDescent="0.25">
      <c r="A200" s="1096"/>
      <c r="B200" s="1097" t="s">
        <v>1315</v>
      </c>
      <c r="C200" s="1096"/>
      <c r="D200" s="1096"/>
      <c r="E200" s="1096"/>
      <c r="F200" s="1096"/>
      <c r="G200" s="1096"/>
      <c r="H200" s="1096"/>
      <c r="I200" s="1096"/>
      <c r="J200" s="1096"/>
      <c r="K200" s="1096"/>
      <c r="L200" s="1096"/>
      <c r="M200" s="1096"/>
      <c r="N200" s="1096"/>
      <c r="O200" s="1096"/>
      <c r="P200" s="1096"/>
      <c r="Q200" s="1096"/>
      <c r="R200" s="1096"/>
      <c r="S200" s="1096"/>
      <c r="T200" s="1096"/>
      <c r="U200" s="1096"/>
      <c r="V200" s="1096"/>
      <c r="W200" s="1096"/>
      <c r="X200" s="1096"/>
      <c r="Y200" s="1096"/>
      <c r="Z200" s="1096"/>
      <c r="AA200" s="1096"/>
      <c r="AB200" s="1096"/>
      <c r="AC200" s="1096"/>
      <c r="AD200" s="1096"/>
      <c r="AE200" s="1096"/>
      <c r="AF200" s="1096"/>
      <c r="AG200" s="1096"/>
      <c r="AH200" s="1096"/>
      <c r="AI200" s="1096"/>
      <c r="AJ200" s="1096"/>
    </row>
    <row r="201" spans="1:36" x14ac:dyDescent="0.25">
      <c r="A201" s="1096"/>
      <c r="B201" s="1097" t="s">
        <v>1312</v>
      </c>
      <c r="C201" s="1097" t="s">
        <v>1313</v>
      </c>
      <c r="D201" s="1096"/>
      <c r="E201" s="1097" t="s">
        <v>1320</v>
      </c>
      <c r="F201" s="1097" t="s">
        <v>1321</v>
      </c>
      <c r="G201" s="1097" t="s">
        <v>1322</v>
      </c>
      <c r="H201" s="1097" t="s">
        <v>1323</v>
      </c>
      <c r="I201" s="1097" t="s">
        <v>1324</v>
      </c>
      <c r="J201" s="1096"/>
      <c r="K201" s="1096"/>
      <c r="L201" s="1096"/>
      <c r="M201" s="1096"/>
      <c r="N201" s="1096"/>
      <c r="O201" s="1096"/>
      <c r="P201" s="1096"/>
      <c r="Q201" s="1096"/>
      <c r="R201" s="1096"/>
      <c r="S201" s="1096"/>
      <c r="T201" s="1096"/>
      <c r="U201" s="1096"/>
      <c r="V201" s="1096"/>
      <c r="W201" s="1096"/>
      <c r="X201" s="1096"/>
      <c r="Y201" s="1096"/>
      <c r="Z201" s="1096"/>
      <c r="AA201" s="1096"/>
      <c r="AB201" s="1096"/>
      <c r="AC201" s="1096"/>
      <c r="AD201" s="1096"/>
      <c r="AE201" s="1096"/>
      <c r="AF201" s="1096"/>
      <c r="AG201" s="1096"/>
      <c r="AH201" s="1096"/>
      <c r="AI201" s="1096"/>
      <c r="AJ201" s="1096"/>
    </row>
    <row r="202" spans="1:36" x14ac:dyDescent="0.25">
      <c r="A202" s="1096"/>
      <c r="B202" s="1101">
        <f ca="1">+C195</f>
        <v>2.1226786839973983</v>
      </c>
      <c r="C202" s="1454">
        <f ca="1">+B202+($C$197/20)</f>
        <v>2.1324839434547229</v>
      </c>
      <c r="D202" s="1096">
        <f t="shared" ref="D202:D221" ca="1" si="88">+COUNTIFS(OFFSET(B$251:B$2250,0,$C$194),"&gt;="&amp;$B202,
OFFSET(B$251:B$2250,0,$C$194),"&lt;="&amp;$C202)</f>
        <v>4</v>
      </c>
      <c r="E202" s="1457">
        <f ca="1">+B202*$C$198</f>
        <v>2.1226786839973983</v>
      </c>
      <c r="F202" s="1457">
        <f ca="1">+C202*$C$198</f>
        <v>2.1324839434547229</v>
      </c>
      <c r="G202" s="1456">
        <f ca="1">+AVERAGE(E202:F202)</f>
        <v>2.1275813137260604</v>
      </c>
      <c r="H202" s="1096">
        <f ca="1">+D202/$D$223</f>
        <v>2E-3</v>
      </c>
      <c r="I202" s="1096">
        <f ca="1">+H202</f>
        <v>2E-3</v>
      </c>
      <c r="J202" s="1096"/>
      <c r="K202" s="1096"/>
      <c r="L202" s="1096"/>
      <c r="M202" s="1096"/>
      <c r="N202" s="1096"/>
      <c r="O202" s="1096"/>
      <c r="P202" s="1096"/>
      <c r="Q202" s="1096"/>
      <c r="R202" s="1096"/>
      <c r="S202" s="1096"/>
      <c r="T202" s="1096"/>
      <c r="U202" s="1096"/>
      <c r="V202" s="1096"/>
      <c r="W202" s="1096"/>
      <c r="X202" s="1096"/>
      <c r="Y202" s="1096"/>
      <c r="Z202" s="1096"/>
      <c r="AA202" s="1096"/>
      <c r="AB202" s="1096"/>
      <c r="AC202" s="1096"/>
      <c r="AD202" s="1096"/>
      <c r="AE202" s="1096"/>
      <c r="AF202" s="1096"/>
      <c r="AG202" s="1096"/>
      <c r="AH202" s="1096"/>
      <c r="AI202" s="1096"/>
      <c r="AJ202" s="1096"/>
    </row>
    <row r="203" spans="1:36" x14ac:dyDescent="0.25">
      <c r="A203" s="1096"/>
      <c r="B203" s="1101">
        <f ca="1">+C202</f>
        <v>2.1324839434547229</v>
      </c>
      <c r="C203" s="1454">
        <f t="shared" ref="C203:C220" ca="1" si="89">+B203+($C$197/20)</f>
        <v>2.1422892029120475</v>
      </c>
      <c r="D203" s="1096">
        <f t="shared" ca="1" si="88"/>
        <v>10</v>
      </c>
      <c r="E203" s="1457">
        <f t="shared" ref="E203:E221" ca="1" si="90">+B203*$C$198</f>
        <v>2.1324839434547229</v>
      </c>
      <c r="F203" s="1457">
        <f t="shared" ref="F203:F222" ca="1" si="91">+C203*$C$198</f>
        <v>2.1422892029120475</v>
      </c>
      <c r="G203" s="1456">
        <f t="shared" ref="G203:G222" ca="1" si="92">+AVERAGE(E203:F203)</f>
        <v>2.1373865731833854</v>
      </c>
      <c r="H203" s="1096">
        <f t="shared" ref="H203:H221" ca="1" si="93">+D203/$D$223</f>
        <v>5.0000000000000001E-3</v>
      </c>
      <c r="I203" s="1096">
        <f ca="1">+I202+H203</f>
        <v>7.0000000000000001E-3</v>
      </c>
      <c r="J203" s="1096"/>
      <c r="K203" s="1096"/>
      <c r="L203" s="1096"/>
      <c r="M203" s="1096"/>
      <c r="N203" s="1096"/>
      <c r="O203" s="1096"/>
      <c r="P203" s="1096"/>
      <c r="Q203" s="1096"/>
      <c r="R203" s="1096"/>
      <c r="S203" s="1096"/>
      <c r="T203" s="1096"/>
      <c r="U203" s="1096"/>
      <c r="V203" s="1096"/>
      <c r="W203" s="1096"/>
      <c r="X203" s="1096"/>
      <c r="Y203" s="1096"/>
      <c r="Z203" s="1096"/>
      <c r="AA203" s="1096"/>
      <c r="AB203" s="1096"/>
      <c r="AC203" s="1096"/>
      <c r="AD203" s="1096"/>
      <c r="AE203" s="1096"/>
      <c r="AF203" s="1096"/>
      <c r="AG203" s="1096"/>
      <c r="AH203" s="1096"/>
      <c r="AI203" s="1096"/>
      <c r="AJ203" s="1096"/>
    </row>
    <row r="204" spans="1:36" x14ac:dyDescent="0.25">
      <c r="A204" s="1096"/>
      <c r="B204" s="1101">
        <f t="shared" ref="B204:B221" ca="1" si="94">+C203</f>
        <v>2.1422892029120475</v>
      </c>
      <c r="C204" s="1454">
        <f t="shared" ca="1" si="89"/>
        <v>2.1520944623693721</v>
      </c>
      <c r="D204" s="1096">
        <f t="shared" ca="1" si="88"/>
        <v>19</v>
      </c>
      <c r="E204" s="1457">
        <f t="shared" ca="1" si="90"/>
        <v>2.1422892029120475</v>
      </c>
      <c r="F204" s="1457">
        <f t="shared" ca="1" si="91"/>
        <v>2.1520944623693721</v>
      </c>
      <c r="G204" s="1456">
        <f t="shared" ca="1" si="92"/>
        <v>2.1471918326407096</v>
      </c>
      <c r="H204" s="1096">
        <f t="shared" ca="1" si="93"/>
        <v>9.4999999999999998E-3</v>
      </c>
      <c r="I204" s="1096">
        <f t="shared" ref="I204:I221" ca="1" si="95">+I203+H204</f>
        <v>1.6500000000000001E-2</v>
      </c>
      <c r="J204" s="1096"/>
      <c r="K204" s="1096"/>
      <c r="L204" s="1096"/>
      <c r="M204" s="1096"/>
      <c r="N204" s="1096"/>
      <c r="O204" s="1096"/>
      <c r="P204" s="1096"/>
      <c r="Q204" s="1096"/>
      <c r="R204" s="1096"/>
      <c r="S204" s="1096"/>
      <c r="T204" s="1096"/>
      <c r="U204" s="1096"/>
      <c r="V204" s="1096"/>
      <c r="W204" s="1096"/>
      <c r="X204" s="1096"/>
      <c r="Y204" s="1096"/>
      <c r="Z204" s="1096"/>
      <c r="AA204" s="1096"/>
      <c r="AB204" s="1096"/>
      <c r="AC204" s="1096"/>
      <c r="AD204" s="1096"/>
      <c r="AE204" s="1096"/>
      <c r="AF204" s="1096"/>
      <c r="AG204" s="1096"/>
      <c r="AH204" s="1096"/>
      <c r="AI204" s="1096"/>
      <c r="AJ204" s="1096"/>
    </row>
    <row r="205" spans="1:36" x14ac:dyDescent="0.25">
      <c r="A205" s="1096"/>
      <c r="B205" s="1101">
        <f t="shared" ca="1" si="94"/>
        <v>2.1520944623693721</v>
      </c>
      <c r="C205" s="1454">
        <f t="shared" ca="1" si="89"/>
        <v>2.1618997218266967</v>
      </c>
      <c r="D205" s="1096">
        <f t="shared" ca="1" si="88"/>
        <v>45</v>
      </c>
      <c r="E205" s="1457">
        <f t="shared" ca="1" si="90"/>
        <v>2.1520944623693721</v>
      </c>
      <c r="F205" s="1457">
        <f t="shared" ca="1" si="91"/>
        <v>2.1618997218266967</v>
      </c>
      <c r="G205" s="1456">
        <f t="shared" ca="1" si="92"/>
        <v>2.1569970920980346</v>
      </c>
      <c r="H205" s="1096">
        <f t="shared" ca="1" si="93"/>
        <v>2.2499999999999999E-2</v>
      </c>
      <c r="I205" s="1096">
        <f t="shared" ca="1" si="95"/>
        <v>3.9E-2</v>
      </c>
      <c r="J205" s="1096"/>
      <c r="K205" s="1096"/>
      <c r="L205" s="1096"/>
      <c r="M205" s="1096"/>
      <c r="N205" s="1096"/>
      <c r="O205" s="1096"/>
      <c r="P205" s="1096"/>
      <c r="Q205" s="1096"/>
      <c r="R205" s="1096"/>
      <c r="S205" s="1096"/>
      <c r="T205" s="1096"/>
      <c r="U205" s="1096"/>
      <c r="V205" s="1096"/>
      <c r="W205" s="1096"/>
      <c r="X205" s="1096"/>
      <c r="Y205" s="1096"/>
      <c r="Z205" s="1096"/>
      <c r="AA205" s="1096"/>
      <c r="AB205" s="1096"/>
      <c r="AC205" s="1096"/>
      <c r="AD205" s="1096"/>
      <c r="AE205" s="1096"/>
      <c r="AF205" s="1096"/>
      <c r="AG205" s="1096"/>
      <c r="AH205" s="1096"/>
      <c r="AI205" s="1096"/>
      <c r="AJ205" s="1096"/>
    </row>
    <row r="206" spans="1:36" x14ac:dyDescent="0.25">
      <c r="A206" s="1096"/>
      <c r="B206" s="1101">
        <f t="shared" ca="1" si="94"/>
        <v>2.1618997218266967</v>
      </c>
      <c r="C206" s="1454">
        <f t="shared" ca="1" si="89"/>
        <v>2.1717049812840212</v>
      </c>
      <c r="D206" s="1096">
        <f t="shared" ca="1" si="88"/>
        <v>90</v>
      </c>
      <c r="E206" s="1457">
        <f t="shared" ca="1" si="90"/>
        <v>2.1618997218266967</v>
      </c>
      <c r="F206" s="1457">
        <f t="shared" ca="1" si="91"/>
        <v>2.1717049812840212</v>
      </c>
      <c r="G206" s="1456">
        <f t="shared" ca="1" si="92"/>
        <v>2.1668023515553587</v>
      </c>
      <c r="H206" s="1096">
        <f t="shared" ca="1" si="93"/>
        <v>4.4999999999999998E-2</v>
      </c>
      <c r="I206" s="1096">
        <f t="shared" ca="1" si="95"/>
        <v>8.3999999999999991E-2</v>
      </c>
      <c r="J206" s="1096"/>
      <c r="K206" s="1096"/>
      <c r="L206" s="1096"/>
      <c r="M206" s="1096"/>
      <c r="N206" s="1096"/>
      <c r="O206" s="1096"/>
      <c r="P206" s="1096"/>
      <c r="Q206" s="1096"/>
      <c r="R206" s="1096"/>
      <c r="S206" s="1096"/>
      <c r="T206" s="1096"/>
      <c r="U206" s="1096"/>
      <c r="V206" s="1096"/>
      <c r="W206" s="1096"/>
      <c r="X206" s="1096"/>
      <c r="Y206" s="1096"/>
      <c r="Z206" s="1096"/>
      <c r="AA206" s="1096"/>
      <c r="AB206" s="1096"/>
      <c r="AC206" s="1096"/>
      <c r="AD206" s="1096"/>
      <c r="AE206" s="1096"/>
      <c r="AF206" s="1096"/>
      <c r="AG206" s="1096"/>
      <c r="AH206" s="1096"/>
      <c r="AI206" s="1096"/>
      <c r="AJ206" s="1096"/>
    </row>
    <row r="207" spans="1:36" x14ac:dyDescent="0.25">
      <c r="A207" s="1096"/>
      <c r="B207" s="1101">
        <f t="shared" ca="1" si="94"/>
        <v>2.1717049812840212</v>
      </c>
      <c r="C207" s="1454">
        <f t="shared" ca="1" si="89"/>
        <v>2.1815102407413458</v>
      </c>
      <c r="D207" s="1096">
        <f t="shared" ca="1" si="88"/>
        <v>134</v>
      </c>
      <c r="E207" s="1457">
        <f t="shared" ca="1" si="90"/>
        <v>2.1717049812840212</v>
      </c>
      <c r="F207" s="1457">
        <f t="shared" ca="1" si="91"/>
        <v>2.1815102407413458</v>
      </c>
      <c r="G207" s="1456">
        <f t="shared" ca="1" si="92"/>
        <v>2.1766076110126837</v>
      </c>
      <c r="H207" s="1096">
        <f t="shared" ca="1" si="93"/>
        <v>6.7000000000000004E-2</v>
      </c>
      <c r="I207" s="1096">
        <f t="shared" ca="1" si="95"/>
        <v>0.151</v>
      </c>
      <c r="J207" s="1096"/>
      <c r="K207" s="1096"/>
      <c r="L207" s="1096"/>
      <c r="M207" s="1096"/>
      <c r="N207" s="1096"/>
      <c r="O207" s="1096"/>
      <c r="P207" s="1096"/>
      <c r="Q207" s="1096"/>
      <c r="R207" s="1096"/>
      <c r="S207" s="1096"/>
      <c r="T207" s="1096"/>
      <c r="U207" s="1096"/>
      <c r="V207" s="1096"/>
      <c r="W207" s="1096"/>
      <c r="X207" s="1096"/>
      <c r="Y207" s="1096"/>
      <c r="Z207" s="1096"/>
      <c r="AA207" s="1096"/>
      <c r="AB207" s="1096"/>
      <c r="AC207" s="1096"/>
      <c r="AD207" s="1096"/>
      <c r="AE207" s="1096"/>
      <c r="AF207" s="1096"/>
      <c r="AG207" s="1096"/>
      <c r="AH207" s="1096"/>
      <c r="AI207" s="1096"/>
      <c r="AJ207" s="1096"/>
    </row>
    <row r="208" spans="1:36" x14ac:dyDescent="0.25">
      <c r="A208" s="1096"/>
      <c r="B208" s="1101">
        <f t="shared" ca="1" si="94"/>
        <v>2.1815102407413458</v>
      </c>
      <c r="C208" s="1454">
        <f t="shared" ca="1" si="89"/>
        <v>2.1913155001986704</v>
      </c>
      <c r="D208" s="1096">
        <f t="shared" ca="1" si="88"/>
        <v>144</v>
      </c>
      <c r="E208" s="1457">
        <f t="shared" ca="1" si="90"/>
        <v>2.1815102407413458</v>
      </c>
      <c r="F208" s="1457">
        <f t="shared" ca="1" si="91"/>
        <v>2.1913155001986704</v>
      </c>
      <c r="G208" s="1456">
        <f t="shared" ca="1" si="92"/>
        <v>2.1864128704700079</v>
      </c>
      <c r="H208" s="1096">
        <f t="shared" ca="1" si="93"/>
        <v>7.1999999999999995E-2</v>
      </c>
      <c r="I208" s="1096">
        <f t="shared" ca="1" si="95"/>
        <v>0.22299999999999998</v>
      </c>
      <c r="J208" s="1096"/>
      <c r="K208" s="1096"/>
      <c r="L208" s="1096"/>
      <c r="M208" s="1096"/>
      <c r="N208" s="1096"/>
      <c r="O208" s="1096"/>
      <c r="P208" s="1096"/>
      <c r="Q208" s="1096"/>
      <c r="R208" s="1096"/>
      <c r="S208" s="1096"/>
      <c r="T208" s="1096"/>
      <c r="U208" s="1096"/>
      <c r="V208" s="1096"/>
      <c r="W208" s="1096"/>
      <c r="X208" s="1096"/>
      <c r="Y208" s="1096"/>
      <c r="Z208" s="1096"/>
      <c r="AA208" s="1096"/>
      <c r="AB208" s="1096"/>
      <c r="AC208" s="1096"/>
      <c r="AD208" s="1096"/>
      <c r="AE208" s="1096"/>
      <c r="AF208" s="1096"/>
      <c r="AG208" s="1096"/>
      <c r="AH208" s="1096"/>
      <c r="AI208" s="1096"/>
      <c r="AJ208" s="1096"/>
    </row>
    <row r="209" spans="1:36" x14ac:dyDescent="0.25">
      <c r="A209" s="1096"/>
      <c r="B209" s="1101">
        <f t="shared" ca="1" si="94"/>
        <v>2.1913155001986704</v>
      </c>
      <c r="C209" s="1454">
        <f t="shared" ca="1" si="89"/>
        <v>2.201120759655995</v>
      </c>
      <c r="D209" s="1096">
        <f t="shared" ca="1" si="88"/>
        <v>178</v>
      </c>
      <c r="E209" s="1457">
        <f t="shared" ca="1" si="90"/>
        <v>2.1913155001986704</v>
      </c>
      <c r="F209" s="1457">
        <f t="shared" ca="1" si="91"/>
        <v>2.201120759655995</v>
      </c>
      <c r="G209" s="1456">
        <f t="shared" ca="1" si="92"/>
        <v>2.1962181299273329</v>
      </c>
      <c r="H209" s="1096">
        <f t="shared" ca="1" si="93"/>
        <v>8.8999999999999996E-2</v>
      </c>
      <c r="I209" s="1096">
        <f t="shared" ca="1" si="95"/>
        <v>0.31199999999999994</v>
      </c>
      <c r="J209" s="1096"/>
      <c r="K209" s="1096"/>
      <c r="L209" s="1096"/>
      <c r="M209" s="1096"/>
      <c r="N209" s="1096"/>
      <c r="O209" s="1096"/>
      <c r="P209" s="1096"/>
      <c r="Q209" s="1096"/>
      <c r="R209" s="1096"/>
      <c r="S209" s="1096"/>
      <c r="T209" s="1096"/>
      <c r="U209" s="1096"/>
      <c r="V209" s="1096"/>
      <c r="W209" s="1096"/>
      <c r="X209" s="1096"/>
      <c r="Y209" s="1096"/>
      <c r="Z209" s="1096"/>
      <c r="AA209" s="1096"/>
      <c r="AB209" s="1096"/>
      <c r="AC209" s="1096"/>
      <c r="AD209" s="1096"/>
      <c r="AE209" s="1096"/>
      <c r="AF209" s="1096"/>
      <c r="AG209" s="1096"/>
      <c r="AH209" s="1096"/>
      <c r="AI209" s="1096"/>
      <c r="AJ209" s="1096"/>
    </row>
    <row r="210" spans="1:36" x14ac:dyDescent="0.25">
      <c r="A210" s="1096"/>
      <c r="B210" s="1101">
        <f t="shared" ca="1" si="94"/>
        <v>2.201120759655995</v>
      </c>
      <c r="C210" s="1454">
        <f t="shared" ca="1" si="89"/>
        <v>2.2109260191133195</v>
      </c>
      <c r="D210" s="1096">
        <f t="shared" ca="1" si="88"/>
        <v>223</v>
      </c>
      <c r="E210" s="1457">
        <f t="shared" ca="1" si="90"/>
        <v>2.201120759655995</v>
      </c>
      <c r="F210" s="1457">
        <f t="shared" ca="1" si="91"/>
        <v>2.2109260191133195</v>
      </c>
      <c r="G210" s="1456">
        <f t="shared" ca="1" si="92"/>
        <v>2.206023389384657</v>
      </c>
      <c r="H210" s="1096">
        <f t="shared" ca="1" si="93"/>
        <v>0.1115</v>
      </c>
      <c r="I210" s="1096">
        <f t="shared" ca="1" si="95"/>
        <v>0.42349999999999993</v>
      </c>
      <c r="J210" s="1096"/>
      <c r="K210" s="1096"/>
      <c r="L210" s="1096"/>
      <c r="M210" s="1096"/>
      <c r="N210" s="1096"/>
      <c r="O210" s="1096"/>
      <c r="P210" s="1096"/>
      <c r="Q210" s="1096"/>
      <c r="R210" s="1096"/>
      <c r="S210" s="1096"/>
      <c r="T210" s="1096"/>
      <c r="U210" s="1096"/>
      <c r="V210" s="1096"/>
      <c r="W210" s="1096"/>
      <c r="X210" s="1096"/>
      <c r="Y210" s="1096"/>
      <c r="Z210" s="1096"/>
      <c r="AA210" s="1096"/>
      <c r="AB210" s="1096"/>
      <c r="AC210" s="1096"/>
      <c r="AD210" s="1096"/>
      <c r="AE210" s="1096"/>
      <c r="AF210" s="1096"/>
      <c r="AG210" s="1096"/>
      <c r="AH210" s="1096"/>
      <c r="AI210" s="1096"/>
      <c r="AJ210" s="1096"/>
    </row>
    <row r="211" spans="1:36" x14ac:dyDescent="0.25">
      <c r="A211" s="1096"/>
      <c r="B211" s="1101">
        <f t="shared" ca="1" si="94"/>
        <v>2.2109260191133195</v>
      </c>
      <c r="C211" s="1454">
        <f t="shared" ca="1" si="89"/>
        <v>2.2207312785706441</v>
      </c>
      <c r="D211" s="1096">
        <f t="shared" ca="1" si="88"/>
        <v>227</v>
      </c>
      <c r="E211" s="1457">
        <f t="shared" ca="1" si="90"/>
        <v>2.2109260191133195</v>
      </c>
      <c r="F211" s="1457">
        <f t="shared" ca="1" si="91"/>
        <v>2.2207312785706441</v>
      </c>
      <c r="G211" s="1456">
        <f t="shared" ca="1" si="92"/>
        <v>2.2158286488419821</v>
      </c>
      <c r="H211" s="1096">
        <f t="shared" ca="1" si="93"/>
        <v>0.1135</v>
      </c>
      <c r="I211" s="1096">
        <f t="shared" ca="1" si="95"/>
        <v>0.53699999999999992</v>
      </c>
      <c r="J211" s="1096"/>
      <c r="K211" s="1096"/>
      <c r="L211" s="1096"/>
      <c r="M211" s="1096"/>
      <c r="N211" s="1096"/>
      <c r="O211" s="1096"/>
      <c r="P211" s="1096"/>
      <c r="Q211" s="1096"/>
      <c r="R211" s="1096"/>
      <c r="S211" s="1096"/>
      <c r="T211" s="1096"/>
      <c r="U211" s="1096"/>
      <c r="V211" s="1096"/>
      <c r="W211" s="1096"/>
      <c r="X211" s="1096"/>
      <c r="Y211" s="1096"/>
      <c r="Z211" s="1096"/>
      <c r="AA211" s="1096"/>
      <c r="AB211" s="1096"/>
      <c r="AC211" s="1096"/>
      <c r="AD211" s="1096"/>
      <c r="AE211" s="1096"/>
      <c r="AF211" s="1096"/>
      <c r="AG211" s="1096"/>
      <c r="AH211" s="1096"/>
      <c r="AI211" s="1096"/>
      <c r="AJ211" s="1096"/>
    </row>
    <row r="212" spans="1:36" x14ac:dyDescent="0.25">
      <c r="A212" s="1096"/>
      <c r="B212" s="1101">
        <f t="shared" ca="1" si="94"/>
        <v>2.2207312785706441</v>
      </c>
      <c r="C212" s="1454">
        <f t="shared" ca="1" si="89"/>
        <v>2.2305365380279687</v>
      </c>
      <c r="D212" s="1096">
        <f t="shared" ca="1" si="88"/>
        <v>231</v>
      </c>
      <c r="E212" s="1457">
        <f t="shared" ca="1" si="90"/>
        <v>2.2207312785706441</v>
      </c>
      <c r="F212" s="1457">
        <f t="shared" ca="1" si="91"/>
        <v>2.2305365380279687</v>
      </c>
      <c r="G212" s="1456">
        <f t="shared" ca="1" si="92"/>
        <v>2.2256339082993062</v>
      </c>
      <c r="H212" s="1096">
        <f t="shared" ca="1" si="93"/>
        <v>0.11550000000000001</v>
      </c>
      <c r="I212" s="1096">
        <f t="shared" ca="1" si="95"/>
        <v>0.65249999999999997</v>
      </c>
      <c r="J212" s="1096"/>
      <c r="K212" s="1096"/>
      <c r="L212" s="1096"/>
      <c r="M212" s="1096"/>
      <c r="N212" s="1096"/>
      <c r="O212" s="1096"/>
      <c r="P212" s="1096"/>
      <c r="Q212" s="1096"/>
      <c r="R212" s="1096"/>
      <c r="S212" s="1096"/>
      <c r="T212" s="1096"/>
      <c r="U212" s="1096"/>
      <c r="V212" s="1096"/>
      <c r="W212" s="1096"/>
      <c r="X212" s="1096"/>
      <c r="Y212" s="1096"/>
      <c r="Z212" s="1096"/>
      <c r="AA212" s="1096"/>
      <c r="AB212" s="1096"/>
      <c r="AC212" s="1096"/>
      <c r="AD212" s="1096"/>
      <c r="AE212" s="1096"/>
      <c r="AF212" s="1096"/>
      <c r="AG212" s="1096"/>
      <c r="AH212" s="1096"/>
      <c r="AI212" s="1096"/>
      <c r="AJ212" s="1096"/>
    </row>
    <row r="213" spans="1:36" x14ac:dyDescent="0.25">
      <c r="A213" s="1096"/>
      <c r="B213" s="1101">
        <f t="shared" ca="1" si="94"/>
        <v>2.2305365380279687</v>
      </c>
      <c r="C213" s="1454">
        <f t="shared" ca="1" si="89"/>
        <v>2.2403417974852933</v>
      </c>
      <c r="D213" s="1096">
        <f t="shared" ca="1" si="88"/>
        <v>198</v>
      </c>
      <c r="E213" s="1457">
        <f t="shared" ca="1" si="90"/>
        <v>2.2305365380279687</v>
      </c>
      <c r="F213" s="1457">
        <f t="shared" ca="1" si="91"/>
        <v>2.2403417974852933</v>
      </c>
      <c r="G213" s="1456">
        <f t="shared" ca="1" si="92"/>
        <v>2.2354391677566312</v>
      </c>
      <c r="H213" s="1096">
        <f t="shared" ca="1" si="93"/>
        <v>9.9000000000000005E-2</v>
      </c>
      <c r="I213" s="1096">
        <f t="shared" ca="1" si="95"/>
        <v>0.75149999999999995</v>
      </c>
      <c r="J213" s="1096"/>
      <c r="K213" s="1096"/>
      <c r="L213" s="1096"/>
      <c r="M213" s="1096"/>
      <c r="N213" s="1096"/>
      <c r="O213" s="1096"/>
      <c r="P213" s="1096"/>
      <c r="Q213" s="1096"/>
      <c r="R213" s="1096"/>
      <c r="S213" s="1096"/>
      <c r="T213" s="1096"/>
      <c r="U213" s="1096"/>
      <c r="V213" s="1096"/>
      <c r="W213" s="1096"/>
      <c r="X213" s="1096"/>
      <c r="Y213" s="1096"/>
      <c r="Z213" s="1096"/>
      <c r="AA213" s="1096"/>
      <c r="AB213" s="1096"/>
      <c r="AC213" s="1096"/>
      <c r="AD213" s="1096"/>
      <c r="AE213" s="1096"/>
      <c r="AF213" s="1096"/>
      <c r="AG213" s="1096"/>
      <c r="AH213" s="1096"/>
      <c r="AI213" s="1096"/>
      <c r="AJ213" s="1096"/>
    </row>
    <row r="214" spans="1:36" x14ac:dyDescent="0.25">
      <c r="A214" s="1096"/>
      <c r="B214" s="1101">
        <f t="shared" ca="1" si="94"/>
        <v>2.2403417974852933</v>
      </c>
      <c r="C214" s="1454">
        <f t="shared" ca="1" si="89"/>
        <v>2.2501470569426179</v>
      </c>
      <c r="D214" s="1096">
        <f t="shared" ca="1" si="88"/>
        <v>158</v>
      </c>
      <c r="E214" s="1457">
        <f t="shared" ca="1" si="90"/>
        <v>2.2403417974852933</v>
      </c>
      <c r="F214" s="1457">
        <f t="shared" ca="1" si="91"/>
        <v>2.2501470569426179</v>
      </c>
      <c r="G214" s="1456">
        <f t="shared" ca="1" si="92"/>
        <v>2.2452444272139553</v>
      </c>
      <c r="H214" s="1096">
        <f t="shared" ca="1" si="93"/>
        <v>7.9000000000000001E-2</v>
      </c>
      <c r="I214" s="1096">
        <f t="shared" ca="1" si="95"/>
        <v>0.8304999999999999</v>
      </c>
      <c r="J214" s="1096"/>
      <c r="K214" s="1096"/>
      <c r="L214" s="1096"/>
      <c r="M214" s="1096"/>
      <c r="N214" s="1096"/>
      <c r="O214" s="1096"/>
      <c r="P214" s="1096"/>
      <c r="Q214" s="1096"/>
      <c r="R214" s="1096"/>
      <c r="S214" s="1096"/>
      <c r="T214" s="1096"/>
      <c r="U214" s="1096"/>
      <c r="V214" s="1096"/>
      <c r="W214" s="1096"/>
      <c r="X214" s="1096"/>
      <c r="Y214" s="1096"/>
      <c r="Z214" s="1096"/>
      <c r="AA214" s="1096"/>
      <c r="AB214" s="1096"/>
      <c r="AC214" s="1096"/>
      <c r="AD214" s="1096"/>
      <c r="AE214" s="1096"/>
      <c r="AF214" s="1096"/>
      <c r="AG214" s="1096"/>
      <c r="AH214" s="1096"/>
      <c r="AI214" s="1096"/>
      <c r="AJ214" s="1096"/>
    </row>
    <row r="215" spans="1:36" x14ac:dyDescent="0.25">
      <c r="A215" s="1096"/>
      <c r="B215" s="1101">
        <f t="shared" ca="1" si="94"/>
        <v>2.2501470569426179</v>
      </c>
      <c r="C215" s="1454">
        <f t="shared" ca="1" si="89"/>
        <v>2.2599523163999424</v>
      </c>
      <c r="D215" s="1096">
        <f t="shared" ca="1" si="88"/>
        <v>115</v>
      </c>
      <c r="E215" s="1457">
        <f t="shared" ca="1" si="90"/>
        <v>2.2501470569426179</v>
      </c>
      <c r="F215" s="1457">
        <f t="shared" ca="1" si="91"/>
        <v>2.2599523163999424</v>
      </c>
      <c r="G215" s="1456">
        <f t="shared" ca="1" si="92"/>
        <v>2.2550496866712804</v>
      </c>
      <c r="H215" s="1096">
        <f t="shared" ca="1" si="93"/>
        <v>5.7500000000000002E-2</v>
      </c>
      <c r="I215" s="1096">
        <f t="shared" ca="1" si="95"/>
        <v>0.8879999999999999</v>
      </c>
      <c r="J215" s="1096"/>
      <c r="K215" s="1096"/>
      <c r="L215" s="1096"/>
      <c r="M215" s="1096"/>
      <c r="N215" s="1096"/>
      <c r="O215" s="1096"/>
      <c r="P215" s="1096"/>
      <c r="Q215" s="1096"/>
      <c r="R215" s="1096"/>
      <c r="S215" s="1096"/>
      <c r="T215" s="1096"/>
      <c r="U215" s="1096"/>
      <c r="V215" s="1096"/>
      <c r="W215" s="1096"/>
      <c r="X215" s="1096"/>
      <c r="Y215" s="1096"/>
      <c r="Z215" s="1096"/>
      <c r="AA215" s="1096"/>
      <c r="AB215" s="1096"/>
      <c r="AC215" s="1096"/>
      <c r="AD215" s="1096"/>
      <c r="AE215" s="1096"/>
      <c r="AF215" s="1096"/>
      <c r="AG215" s="1096"/>
      <c r="AH215" s="1096"/>
      <c r="AI215" s="1096"/>
      <c r="AJ215" s="1096"/>
    </row>
    <row r="216" spans="1:36" x14ac:dyDescent="0.25">
      <c r="A216" s="1096"/>
      <c r="B216" s="1101">
        <f t="shared" ca="1" si="94"/>
        <v>2.2599523163999424</v>
      </c>
      <c r="C216" s="1454">
        <f t="shared" ca="1" si="89"/>
        <v>2.269757575857267</v>
      </c>
      <c r="D216" s="1096">
        <f t="shared" ca="1" si="88"/>
        <v>107</v>
      </c>
      <c r="E216" s="1457">
        <f t="shared" ca="1" si="90"/>
        <v>2.2599523163999424</v>
      </c>
      <c r="F216" s="1457">
        <f t="shared" ca="1" si="91"/>
        <v>2.269757575857267</v>
      </c>
      <c r="G216" s="1456">
        <f t="shared" ca="1" si="92"/>
        <v>2.2648549461286045</v>
      </c>
      <c r="H216" s="1096">
        <f t="shared" ca="1" si="93"/>
        <v>5.3499999999999999E-2</v>
      </c>
      <c r="I216" s="1096">
        <f t="shared" ca="1" si="95"/>
        <v>0.94149999999999989</v>
      </c>
      <c r="J216" s="1096"/>
      <c r="K216" s="1096"/>
      <c r="L216" s="1096"/>
      <c r="M216" s="1096"/>
      <c r="N216" s="1096"/>
      <c r="O216" s="1096"/>
      <c r="P216" s="1096"/>
      <c r="Q216" s="1096"/>
      <c r="R216" s="1096"/>
      <c r="S216" s="1096"/>
      <c r="T216" s="1096"/>
      <c r="U216" s="1096"/>
      <c r="V216" s="1096"/>
      <c r="W216" s="1096"/>
      <c r="X216" s="1096"/>
      <c r="Y216" s="1096"/>
      <c r="Z216" s="1096"/>
      <c r="AA216" s="1096"/>
      <c r="AB216" s="1096"/>
      <c r="AC216" s="1096"/>
      <c r="AD216" s="1096"/>
      <c r="AE216" s="1096"/>
      <c r="AF216" s="1096"/>
      <c r="AG216" s="1096"/>
      <c r="AH216" s="1096"/>
      <c r="AI216" s="1096"/>
      <c r="AJ216" s="1096"/>
    </row>
    <row r="217" spans="1:36" x14ac:dyDescent="0.25">
      <c r="A217" s="1096"/>
      <c r="B217" s="1101">
        <f t="shared" ca="1" si="94"/>
        <v>2.269757575857267</v>
      </c>
      <c r="C217" s="1454">
        <f t="shared" ca="1" si="89"/>
        <v>2.2795628353145916</v>
      </c>
      <c r="D217" s="1096">
        <f t="shared" ca="1" si="88"/>
        <v>58</v>
      </c>
      <c r="E217" s="1457">
        <f t="shared" ca="1" si="90"/>
        <v>2.269757575857267</v>
      </c>
      <c r="F217" s="1457">
        <f t="shared" ca="1" si="91"/>
        <v>2.2795628353145916</v>
      </c>
      <c r="G217" s="1456">
        <f t="shared" ca="1" si="92"/>
        <v>2.2746602055859295</v>
      </c>
      <c r="H217" s="1096">
        <f t="shared" ca="1" si="93"/>
        <v>2.9000000000000001E-2</v>
      </c>
      <c r="I217" s="1096">
        <f t="shared" ca="1" si="95"/>
        <v>0.97049999999999992</v>
      </c>
      <c r="J217" s="1096"/>
      <c r="K217" s="1096"/>
      <c r="L217" s="1096"/>
      <c r="M217" s="1096"/>
      <c r="N217" s="1096"/>
      <c r="O217" s="1096"/>
      <c r="P217" s="1096"/>
      <c r="Q217" s="1096"/>
      <c r="R217" s="1096"/>
      <c r="S217" s="1096"/>
      <c r="T217" s="1096"/>
      <c r="U217" s="1096"/>
      <c r="V217" s="1096"/>
      <c r="W217" s="1096"/>
      <c r="X217" s="1096"/>
      <c r="Y217" s="1096"/>
      <c r="Z217" s="1096"/>
      <c r="AA217" s="1096"/>
      <c r="AB217" s="1096"/>
      <c r="AC217" s="1096"/>
      <c r="AD217" s="1096"/>
      <c r="AE217" s="1096"/>
      <c r="AF217" s="1096"/>
      <c r="AG217" s="1096"/>
      <c r="AH217" s="1096"/>
      <c r="AI217" s="1096"/>
      <c r="AJ217" s="1096"/>
    </row>
    <row r="218" spans="1:36" x14ac:dyDescent="0.25">
      <c r="A218" s="1096"/>
      <c r="B218" s="1101">
        <f t="shared" ca="1" si="94"/>
        <v>2.2795628353145916</v>
      </c>
      <c r="C218" s="1454">
        <f t="shared" ca="1" si="89"/>
        <v>2.2893680947719162</v>
      </c>
      <c r="D218" s="1096">
        <f t="shared" ca="1" si="88"/>
        <v>30</v>
      </c>
      <c r="E218" s="1457">
        <f t="shared" ca="1" si="90"/>
        <v>2.2795628353145916</v>
      </c>
      <c r="F218" s="1457">
        <f t="shared" ca="1" si="91"/>
        <v>2.2893680947719162</v>
      </c>
      <c r="G218" s="1456">
        <f t="shared" ca="1" si="92"/>
        <v>2.2844654650432537</v>
      </c>
      <c r="H218" s="1096">
        <f t="shared" ca="1" si="93"/>
        <v>1.4999999999999999E-2</v>
      </c>
      <c r="I218" s="1096">
        <f t="shared" ca="1" si="95"/>
        <v>0.98549999999999993</v>
      </c>
      <c r="J218" s="1096"/>
      <c r="K218" s="1096"/>
      <c r="L218" s="1096"/>
      <c r="M218" s="1096"/>
      <c r="N218" s="1096"/>
      <c r="O218" s="1096"/>
      <c r="P218" s="1096"/>
      <c r="Q218" s="1096"/>
      <c r="R218" s="1096"/>
      <c r="S218" s="1096"/>
      <c r="T218" s="1096"/>
      <c r="U218" s="1096"/>
      <c r="V218" s="1096"/>
      <c r="W218" s="1096"/>
      <c r="X218" s="1096"/>
      <c r="Y218" s="1096"/>
      <c r="Z218" s="1096"/>
      <c r="AA218" s="1096"/>
      <c r="AB218" s="1096"/>
      <c r="AC218" s="1096"/>
      <c r="AD218" s="1096"/>
      <c r="AE218" s="1096"/>
      <c r="AF218" s="1096"/>
      <c r="AG218" s="1096"/>
      <c r="AH218" s="1096"/>
      <c r="AI218" s="1096"/>
      <c r="AJ218" s="1096"/>
    </row>
    <row r="219" spans="1:36" x14ac:dyDescent="0.25">
      <c r="A219" s="1096"/>
      <c r="B219" s="1101">
        <f t="shared" ca="1" si="94"/>
        <v>2.2893680947719162</v>
      </c>
      <c r="C219" s="1454">
        <f t="shared" ca="1" si="89"/>
        <v>2.2991733542292407</v>
      </c>
      <c r="D219" s="1096">
        <f t="shared" ca="1" si="88"/>
        <v>18</v>
      </c>
      <c r="E219" s="1457">
        <f t="shared" ca="1" si="90"/>
        <v>2.2893680947719162</v>
      </c>
      <c r="F219" s="1457">
        <f t="shared" ca="1" si="91"/>
        <v>2.2991733542292407</v>
      </c>
      <c r="G219" s="1456">
        <f t="shared" ca="1" si="92"/>
        <v>2.2942707245005787</v>
      </c>
      <c r="H219" s="1096">
        <f t="shared" ca="1" si="93"/>
        <v>8.9999999999999993E-3</v>
      </c>
      <c r="I219" s="1096">
        <f t="shared" ca="1" si="95"/>
        <v>0.99449999999999994</v>
      </c>
      <c r="J219" s="1096"/>
      <c r="K219" s="1096"/>
      <c r="L219" s="1096"/>
      <c r="M219" s="1096"/>
      <c r="N219" s="1096"/>
      <c r="O219" s="1096"/>
      <c r="P219" s="1096"/>
      <c r="Q219" s="1096"/>
      <c r="R219" s="1096"/>
      <c r="S219" s="1096"/>
      <c r="T219" s="1096"/>
      <c r="U219" s="1096"/>
      <c r="V219" s="1096"/>
      <c r="W219" s="1096"/>
      <c r="X219" s="1096"/>
      <c r="Y219" s="1096"/>
      <c r="Z219" s="1096"/>
      <c r="AA219" s="1096"/>
      <c r="AB219" s="1096"/>
      <c r="AC219" s="1096"/>
      <c r="AD219" s="1096"/>
      <c r="AE219" s="1096"/>
      <c r="AF219" s="1096"/>
      <c r="AG219" s="1096"/>
      <c r="AH219" s="1096"/>
      <c r="AI219" s="1096"/>
      <c r="AJ219" s="1096"/>
    </row>
    <row r="220" spans="1:36" x14ac:dyDescent="0.25">
      <c r="A220" s="1096"/>
      <c r="B220" s="1101">
        <f t="shared" ca="1" si="94"/>
        <v>2.2991733542292407</v>
      </c>
      <c r="C220" s="1454">
        <f t="shared" ca="1" si="89"/>
        <v>2.3089786136865653</v>
      </c>
      <c r="D220" s="1096">
        <f t="shared" ca="1" si="88"/>
        <v>10</v>
      </c>
      <c r="E220" s="1457">
        <f t="shared" ca="1" si="90"/>
        <v>2.2991733542292407</v>
      </c>
      <c r="F220" s="1457">
        <f t="shared" ca="1" si="91"/>
        <v>2.3089786136865653</v>
      </c>
      <c r="G220" s="1456">
        <f t="shared" ca="1" si="92"/>
        <v>2.3040759839579028</v>
      </c>
      <c r="H220" s="1096">
        <f t="shared" ca="1" si="93"/>
        <v>5.0000000000000001E-3</v>
      </c>
      <c r="I220" s="1096">
        <f t="shared" ca="1" si="95"/>
        <v>0.99949999999999994</v>
      </c>
      <c r="J220" s="1096"/>
      <c r="K220" s="1096"/>
      <c r="L220" s="1096"/>
      <c r="M220" s="1096"/>
      <c r="N220" s="1096"/>
      <c r="O220" s="1096"/>
      <c r="P220" s="1096"/>
      <c r="Q220" s="1096"/>
      <c r="R220" s="1096"/>
      <c r="S220" s="1096"/>
      <c r="T220" s="1096"/>
      <c r="U220" s="1096"/>
      <c r="V220" s="1096"/>
      <c r="W220" s="1096"/>
      <c r="X220" s="1096"/>
      <c r="Y220" s="1096"/>
      <c r="Z220" s="1096"/>
      <c r="AA220" s="1096"/>
      <c r="AB220" s="1096"/>
      <c r="AC220" s="1096"/>
      <c r="AD220" s="1096"/>
      <c r="AE220" s="1096"/>
      <c r="AF220" s="1096"/>
      <c r="AG220" s="1096"/>
      <c r="AH220" s="1096"/>
      <c r="AI220" s="1096"/>
      <c r="AJ220" s="1096"/>
    </row>
    <row r="221" spans="1:36" x14ac:dyDescent="0.25">
      <c r="A221" s="1096"/>
      <c r="B221" s="1101">
        <f t="shared" ca="1" si="94"/>
        <v>2.3089786136865653</v>
      </c>
      <c r="C221" s="1454">
        <f ca="1">+B221+($C$197/20)+0.000001</f>
        <v>2.31878487314389</v>
      </c>
      <c r="D221" s="1096">
        <f t="shared" ca="1" si="88"/>
        <v>1</v>
      </c>
      <c r="E221" s="1457">
        <f t="shared" ca="1" si="90"/>
        <v>2.3089786136865653</v>
      </c>
      <c r="F221" s="1457">
        <f t="shared" ca="1" si="91"/>
        <v>2.31878487314389</v>
      </c>
      <c r="G221" s="1456">
        <f t="shared" ca="1" si="92"/>
        <v>2.3138817434152275</v>
      </c>
      <c r="H221" s="1096">
        <f t="shared" ca="1" si="93"/>
        <v>5.0000000000000001E-4</v>
      </c>
      <c r="I221" s="1096">
        <f t="shared" ca="1" si="95"/>
        <v>0.99999999999999989</v>
      </c>
      <c r="J221" s="1096"/>
      <c r="K221" s="1096"/>
      <c r="L221" s="1096"/>
      <c r="M221" s="1096"/>
      <c r="N221" s="1096"/>
      <c r="O221" s="1096"/>
      <c r="P221" s="1096"/>
      <c r="Q221" s="1096"/>
      <c r="R221" s="1096"/>
      <c r="S221" s="1096"/>
      <c r="T221" s="1096"/>
      <c r="U221" s="1096"/>
      <c r="V221" s="1096"/>
      <c r="W221" s="1096"/>
      <c r="X221" s="1096"/>
      <c r="Y221" s="1096"/>
      <c r="Z221" s="1096"/>
      <c r="AA221" s="1096"/>
      <c r="AB221" s="1096"/>
      <c r="AC221" s="1096"/>
      <c r="AD221" s="1096"/>
      <c r="AE221" s="1096"/>
      <c r="AF221" s="1096"/>
      <c r="AG221" s="1096"/>
      <c r="AH221" s="1096"/>
      <c r="AI221" s="1096"/>
      <c r="AJ221" s="1096"/>
    </row>
    <row r="222" spans="1:36" x14ac:dyDescent="0.25">
      <c r="A222" s="1096"/>
      <c r="B222" s="1097"/>
      <c r="C222" s="1458"/>
      <c r="D222" s="1096"/>
      <c r="E222" s="1096"/>
      <c r="F222" s="1096">
        <f t="shared" ca="1" si="91"/>
        <v>0</v>
      </c>
      <c r="G222" s="1456">
        <f t="shared" ca="1" si="92"/>
        <v>0</v>
      </c>
      <c r="H222" s="1096"/>
      <c r="I222" s="1096"/>
      <c r="J222" s="1096"/>
      <c r="K222" s="1096"/>
      <c r="L222" s="1096"/>
      <c r="M222" s="1096"/>
      <c r="N222" s="1096"/>
      <c r="O222" s="1096"/>
      <c r="P222" s="1096"/>
      <c r="Q222" s="1096"/>
      <c r="R222" s="1096"/>
      <c r="S222" s="1096"/>
      <c r="T222" s="1096"/>
      <c r="U222" s="1096"/>
      <c r="V222" s="1096"/>
      <c r="W222" s="1096"/>
      <c r="X222" s="1096"/>
      <c r="Y222" s="1096"/>
      <c r="Z222" s="1096"/>
      <c r="AA222" s="1096"/>
      <c r="AB222" s="1096"/>
      <c r="AC222" s="1096"/>
      <c r="AD222" s="1096"/>
      <c r="AE222" s="1096"/>
      <c r="AF222" s="1096"/>
      <c r="AG222" s="1096"/>
      <c r="AH222" s="1096"/>
      <c r="AI222" s="1096"/>
      <c r="AJ222" s="1096"/>
    </row>
    <row r="223" spans="1:36" x14ac:dyDescent="0.25">
      <c r="A223" s="1096"/>
      <c r="B223" s="1097" t="s">
        <v>1314</v>
      </c>
      <c r="C223" s="1096"/>
      <c r="D223" s="1096">
        <f ca="1">+SUM(D202:D221)</f>
        <v>2000</v>
      </c>
      <c r="E223" s="1096"/>
      <c r="F223" s="1096"/>
      <c r="G223" s="1096"/>
      <c r="H223" s="1096"/>
      <c r="I223" s="1096"/>
      <c r="J223" s="1096"/>
      <c r="K223" s="1096"/>
      <c r="L223" s="1096"/>
      <c r="M223" s="1096"/>
      <c r="N223" s="1096"/>
      <c r="O223" s="1096"/>
      <c r="P223" s="1096"/>
      <c r="Q223" s="1096"/>
      <c r="R223" s="1096"/>
      <c r="S223" s="1096"/>
      <c r="T223" s="1096"/>
      <c r="U223" s="1096"/>
      <c r="V223" s="1096"/>
      <c r="W223" s="1096"/>
      <c r="X223" s="1096"/>
      <c r="Y223" s="1096"/>
      <c r="Z223" s="1096"/>
      <c r="AA223" s="1096"/>
      <c r="AB223" s="1096"/>
      <c r="AC223" s="1096"/>
      <c r="AD223" s="1096"/>
      <c r="AE223" s="1096"/>
      <c r="AF223" s="1096"/>
      <c r="AG223" s="1096"/>
      <c r="AH223" s="1096"/>
      <c r="AI223" s="1096"/>
      <c r="AJ223" s="1096"/>
    </row>
    <row r="224" spans="1:36" x14ac:dyDescent="0.25">
      <c r="A224" s="1096"/>
      <c r="B224" s="1096" t="str">
        <f t="array" ref="B224:B238">+TRANSPOSE(Sensitivity_output)</f>
        <v>Cost of hydrogen ($/kg)</v>
      </c>
      <c r="C224" s="1096"/>
      <c r="D224" s="1096"/>
      <c r="E224" s="1096"/>
      <c r="F224" s="1096"/>
      <c r="G224" s="1096"/>
      <c r="H224" s="1096"/>
      <c r="I224" s="1096"/>
      <c r="J224" s="1096"/>
      <c r="K224" s="1096"/>
      <c r="L224" s="1096"/>
      <c r="M224" s="1096"/>
      <c r="N224" s="1096"/>
      <c r="O224" s="1096"/>
      <c r="P224" s="1096"/>
      <c r="Q224" s="1096"/>
      <c r="R224" s="1096"/>
      <c r="S224" s="1096"/>
      <c r="T224" s="1096"/>
      <c r="U224" s="1096"/>
      <c r="V224" s="1096"/>
      <c r="W224" s="1096"/>
      <c r="X224" s="1096"/>
      <c r="Y224" s="1096"/>
      <c r="Z224" s="1096"/>
      <c r="AA224" s="1096"/>
      <c r="AB224" s="1096"/>
      <c r="AC224" s="1096"/>
      <c r="AD224" s="1096"/>
      <c r="AE224" s="1096"/>
      <c r="AF224" s="1096"/>
      <c r="AG224" s="1096"/>
      <c r="AH224" s="1096"/>
      <c r="AI224" s="1096"/>
      <c r="AJ224" s="1096"/>
    </row>
    <row r="225" spans="1:36" x14ac:dyDescent="0.25">
      <c r="A225" s="1096"/>
      <c r="B225" s="1096" t="str">
        <v>Revenue from byproduct sales ($/kg)</v>
      </c>
      <c r="C225" s="1096"/>
      <c r="D225" s="1096"/>
      <c r="E225" s="1096"/>
      <c r="F225" s="1096"/>
      <c r="G225" s="1096"/>
      <c r="H225" s="1096"/>
      <c r="I225" s="1096"/>
      <c r="J225" s="1096"/>
      <c r="K225" s="1096"/>
      <c r="L225" s="1096"/>
      <c r="M225" s="1096"/>
      <c r="N225" s="1096"/>
      <c r="O225" s="1096"/>
      <c r="P225" s="1096"/>
      <c r="Q225" s="1096"/>
      <c r="R225" s="1096"/>
      <c r="S225" s="1096"/>
      <c r="T225" s="1096"/>
      <c r="U225" s="1096"/>
      <c r="V225" s="1096"/>
      <c r="W225" s="1096"/>
      <c r="X225" s="1096"/>
      <c r="Y225" s="1096"/>
      <c r="Z225" s="1096"/>
      <c r="AA225" s="1096"/>
      <c r="AB225" s="1096"/>
      <c r="AC225" s="1096"/>
      <c r="AD225" s="1096"/>
      <c r="AE225" s="1096"/>
      <c r="AF225" s="1096"/>
      <c r="AG225" s="1096"/>
      <c r="AH225" s="1096"/>
      <c r="AI225" s="1096"/>
      <c r="AJ225" s="1096"/>
    </row>
    <row r="226" spans="1:36" x14ac:dyDescent="0.25">
      <c r="A226" s="1096"/>
      <c r="B226" s="1096" t="str">
        <v>Salvage value ($/kg)</v>
      </c>
      <c r="C226" s="1096"/>
      <c r="D226" s="1096"/>
      <c r="E226" s="1096"/>
      <c r="F226" s="1096"/>
      <c r="G226" s="1096"/>
      <c r="H226" s="1096"/>
      <c r="I226" s="1096"/>
      <c r="J226" s="1096"/>
      <c r="K226" s="1096"/>
      <c r="L226" s="1096"/>
      <c r="M226" s="1096"/>
      <c r="N226" s="1096"/>
      <c r="O226" s="1096"/>
      <c r="P226" s="1096"/>
      <c r="Q226" s="1096"/>
      <c r="R226" s="1096"/>
      <c r="S226" s="1096"/>
      <c r="T226" s="1096"/>
      <c r="U226" s="1096"/>
      <c r="V226" s="1096"/>
      <c r="W226" s="1096"/>
      <c r="X226" s="1096"/>
      <c r="Y226" s="1096"/>
      <c r="Z226" s="1096"/>
      <c r="AA226" s="1096"/>
      <c r="AB226" s="1096"/>
      <c r="AC226" s="1096"/>
      <c r="AD226" s="1096"/>
      <c r="AE226" s="1096"/>
      <c r="AF226" s="1096"/>
      <c r="AG226" s="1096"/>
      <c r="AH226" s="1096"/>
      <c r="AI226" s="1096"/>
      <c r="AJ226" s="1096"/>
    </row>
    <row r="227" spans="1:36" x14ac:dyDescent="0.25">
      <c r="A227" s="1096"/>
      <c r="B227" s="1096" t="str">
        <v>Initial equity depreciable capital ($/kg)</v>
      </c>
      <c r="C227" s="1096"/>
      <c r="D227" s="1096"/>
      <c r="E227" s="1096"/>
      <c r="F227" s="1096"/>
      <c r="G227" s="1096"/>
      <c r="H227" s="1096"/>
      <c r="I227" s="1096"/>
      <c r="J227" s="1096"/>
      <c r="K227" s="1096"/>
      <c r="L227" s="1096"/>
      <c r="M227" s="1096"/>
      <c r="N227" s="1096"/>
      <c r="O227" s="1096"/>
      <c r="P227" s="1096"/>
      <c r="Q227" s="1096"/>
      <c r="R227" s="1096"/>
      <c r="S227" s="1096"/>
      <c r="T227" s="1096"/>
      <c r="U227" s="1096"/>
      <c r="V227" s="1096"/>
      <c r="W227" s="1096"/>
      <c r="X227" s="1096"/>
      <c r="Y227" s="1096"/>
      <c r="Z227" s="1096"/>
      <c r="AA227" s="1096"/>
      <c r="AB227" s="1096"/>
      <c r="AC227" s="1096"/>
      <c r="AD227" s="1096"/>
      <c r="AE227" s="1096"/>
      <c r="AF227" s="1096"/>
      <c r="AG227" s="1096"/>
      <c r="AH227" s="1096"/>
      <c r="AI227" s="1096"/>
      <c r="AJ227" s="1096"/>
    </row>
    <row r="228" spans="1:36" x14ac:dyDescent="0.25">
      <c r="A228" s="1096"/>
      <c r="B228" s="1096" t="str">
        <v>Yearly replacement costs ($/kg)</v>
      </c>
      <c r="C228" s="1096"/>
      <c r="D228" s="1096"/>
      <c r="E228" s="1096"/>
      <c r="F228" s="1096"/>
      <c r="G228" s="1096"/>
      <c r="H228" s="1096"/>
      <c r="I228" s="1096"/>
      <c r="J228" s="1096"/>
      <c r="K228" s="1096"/>
      <c r="L228" s="1096"/>
      <c r="M228" s="1096"/>
      <c r="N228" s="1096"/>
      <c r="O228" s="1096"/>
      <c r="P228" s="1096"/>
      <c r="Q228" s="1096"/>
      <c r="R228" s="1096"/>
      <c r="S228" s="1096"/>
      <c r="T228" s="1096"/>
      <c r="U228" s="1096"/>
      <c r="V228" s="1096"/>
      <c r="W228" s="1096"/>
      <c r="X228" s="1096"/>
      <c r="Y228" s="1096"/>
      <c r="Z228" s="1096"/>
      <c r="AA228" s="1096"/>
      <c r="AB228" s="1096"/>
      <c r="AC228" s="1096"/>
      <c r="AD228" s="1096"/>
      <c r="AE228" s="1096"/>
      <c r="AF228" s="1096"/>
      <c r="AG228" s="1096"/>
      <c r="AH228" s="1096"/>
      <c r="AI228" s="1096"/>
      <c r="AJ228" s="1096"/>
    </row>
    <row r="229" spans="1:36" x14ac:dyDescent="0.25">
      <c r="A229" s="1096"/>
      <c r="B229" s="1096" t="str">
        <v>Cash from working capital reserve ($/kg)</v>
      </c>
      <c r="C229" s="1096"/>
      <c r="D229" s="1096"/>
      <c r="E229" s="1096"/>
      <c r="F229" s="1096"/>
      <c r="G229" s="1096"/>
      <c r="H229" s="1096"/>
      <c r="I229" s="1096"/>
      <c r="J229" s="1096"/>
      <c r="K229" s="1096"/>
      <c r="L229" s="1096"/>
      <c r="M229" s="1096"/>
      <c r="N229" s="1096"/>
      <c r="O229" s="1096"/>
      <c r="P229" s="1096"/>
      <c r="Q229" s="1096"/>
      <c r="R229" s="1096"/>
      <c r="S229" s="1096"/>
      <c r="T229" s="1096"/>
      <c r="U229" s="1096"/>
      <c r="V229" s="1096"/>
      <c r="W229" s="1096"/>
      <c r="X229" s="1096"/>
      <c r="Y229" s="1096"/>
      <c r="Z229" s="1096"/>
      <c r="AA229" s="1096"/>
      <c r="AB229" s="1096"/>
      <c r="AC229" s="1096"/>
      <c r="AD229" s="1096"/>
      <c r="AE229" s="1096"/>
      <c r="AF229" s="1096"/>
      <c r="AG229" s="1096"/>
      <c r="AH229" s="1096"/>
      <c r="AI229" s="1096"/>
      <c r="AJ229" s="1096"/>
    </row>
    <row r="230" spans="1:36" x14ac:dyDescent="0.25">
      <c r="A230" s="1096"/>
      <c r="B230" s="1096" t="str">
        <v>Other non-depreciable capital costs ($/kg)</v>
      </c>
      <c r="C230" s="1096"/>
      <c r="D230" s="1096"/>
      <c r="E230" s="1096"/>
      <c r="F230" s="1096"/>
      <c r="G230" s="1096"/>
      <c r="H230" s="1096"/>
      <c r="I230" s="1096"/>
      <c r="J230" s="1096"/>
      <c r="K230" s="1096"/>
      <c r="L230" s="1096"/>
      <c r="M230" s="1096"/>
      <c r="N230" s="1096"/>
      <c r="O230" s="1096"/>
      <c r="P230" s="1096"/>
      <c r="Q230" s="1096"/>
      <c r="R230" s="1096"/>
      <c r="S230" s="1096"/>
      <c r="T230" s="1096"/>
      <c r="U230" s="1096"/>
      <c r="V230" s="1096"/>
      <c r="W230" s="1096"/>
      <c r="X230" s="1096"/>
      <c r="Y230" s="1096"/>
      <c r="Z230" s="1096"/>
      <c r="AA230" s="1096"/>
      <c r="AB230" s="1096"/>
      <c r="AC230" s="1096"/>
      <c r="AD230" s="1096"/>
      <c r="AE230" s="1096"/>
      <c r="AF230" s="1096"/>
      <c r="AG230" s="1096"/>
      <c r="AH230" s="1096"/>
      <c r="AI230" s="1096"/>
      <c r="AJ230" s="1096"/>
    </row>
    <row r="231" spans="1:36" x14ac:dyDescent="0.25">
      <c r="A231" s="1096"/>
      <c r="B231" s="1096" t="str">
        <v>Decommissioning costs ($/kg)</v>
      </c>
      <c r="C231" s="1096"/>
      <c r="D231" s="1096"/>
      <c r="E231" s="1096"/>
      <c r="F231" s="1096"/>
      <c r="G231" s="1096"/>
      <c r="H231" s="1096"/>
      <c r="I231" s="1096"/>
      <c r="J231" s="1096"/>
      <c r="K231" s="1096"/>
      <c r="L231" s="1096"/>
      <c r="M231" s="1096"/>
      <c r="N231" s="1096"/>
      <c r="O231" s="1096"/>
      <c r="P231" s="1096"/>
      <c r="Q231" s="1096"/>
      <c r="R231" s="1096"/>
      <c r="S231" s="1096"/>
      <c r="T231" s="1096"/>
      <c r="U231" s="1096"/>
      <c r="V231" s="1096"/>
      <c r="W231" s="1096"/>
      <c r="X231" s="1096"/>
      <c r="Y231" s="1096"/>
      <c r="Z231" s="1096"/>
      <c r="AA231" s="1096"/>
      <c r="AB231" s="1096"/>
      <c r="AC231" s="1096"/>
      <c r="AD231" s="1096"/>
      <c r="AE231" s="1096"/>
      <c r="AF231" s="1096"/>
      <c r="AG231" s="1096"/>
      <c r="AH231" s="1096"/>
      <c r="AI231" s="1096"/>
      <c r="AJ231" s="1096"/>
    </row>
    <row r="232" spans="1:36" x14ac:dyDescent="0.25">
      <c r="A232" s="1096"/>
      <c r="B232" s="1096" t="str">
        <v>Fixed operating cost ($/kg)</v>
      </c>
      <c r="C232" s="1096"/>
      <c r="D232" s="1096"/>
      <c r="E232" s="1096"/>
      <c r="F232" s="1096"/>
      <c r="G232" s="1096"/>
      <c r="H232" s="1096"/>
      <c r="I232" s="1096"/>
      <c r="J232" s="1096"/>
      <c r="K232" s="1096"/>
      <c r="L232" s="1096"/>
      <c r="M232" s="1096"/>
      <c r="N232" s="1096"/>
      <c r="O232" s="1096"/>
      <c r="P232" s="1096"/>
      <c r="Q232" s="1096"/>
      <c r="R232" s="1096"/>
      <c r="S232" s="1096"/>
      <c r="T232" s="1096"/>
      <c r="U232" s="1096"/>
      <c r="V232" s="1096"/>
      <c r="W232" s="1096"/>
      <c r="X232" s="1096"/>
      <c r="Y232" s="1096"/>
      <c r="Z232" s="1096"/>
      <c r="AA232" s="1096"/>
      <c r="AB232" s="1096"/>
      <c r="AC232" s="1096"/>
      <c r="AD232" s="1096"/>
      <c r="AE232" s="1096"/>
      <c r="AF232" s="1096"/>
      <c r="AG232" s="1096"/>
      <c r="AH232" s="1096"/>
      <c r="AI232" s="1096"/>
      <c r="AJ232" s="1096"/>
    </row>
    <row r="233" spans="1:36" x14ac:dyDescent="0.25">
      <c r="A233" s="1096"/>
      <c r="B233" s="1096" t="str">
        <v>Feedstock cost ($/kg)</v>
      </c>
      <c r="C233" s="1096"/>
      <c r="D233" s="1096"/>
      <c r="E233" s="1096"/>
      <c r="F233" s="1096"/>
      <c r="G233" s="1096"/>
      <c r="H233" s="1096"/>
      <c r="I233" s="1096"/>
      <c r="J233" s="1096"/>
      <c r="K233" s="1096"/>
      <c r="L233" s="1096"/>
      <c r="M233" s="1096"/>
      <c r="N233" s="1096"/>
      <c r="O233" s="1096"/>
      <c r="P233" s="1096"/>
      <c r="Q233" s="1096"/>
      <c r="R233" s="1096"/>
      <c r="S233" s="1096"/>
      <c r="T233" s="1096"/>
      <c r="U233" s="1096"/>
      <c r="V233" s="1096"/>
      <c r="W233" s="1096"/>
      <c r="X233" s="1096"/>
      <c r="Y233" s="1096"/>
      <c r="Z233" s="1096"/>
      <c r="AA233" s="1096"/>
      <c r="AB233" s="1096"/>
      <c r="AC233" s="1096"/>
      <c r="AD233" s="1096"/>
      <c r="AE233" s="1096"/>
      <c r="AF233" s="1096"/>
      <c r="AG233" s="1096"/>
      <c r="AH233" s="1096"/>
      <c r="AI233" s="1096"/>
      <c r="AJ233" s="1096"/>
    </row>
    <row r="234" spans="1:36" x14ac:dyDescent="0.25">
      <c r="A234" s="1096"/>
      <c r="B234" s="1096" t="str">
        <v>Other raw material cost ($/kg)</v>
      </c>
      <c r="C234" s="1096"/>
      <c r="D234" s="1096"/>
      <c r="E234" s="1096"/>
      <c r="F234" s="1096"/>
      <c r="G234" s="1096"/>
      <c r="H234" s="1096"/>
      <c r="I234" s="1096"/>
      <c r="J234" s="1096"/>
      <c r="K234" s="1096"/>
      <c r="L234" s="1096"/>
      <c r="M234" s="1096"/>
      <c r="N234" s="1096"/>
      <c r="O234" s="1096"/>
      <c r="P234" s="1096"/>
      <c r="Q234" s="1096"/>
      <c r="R234" s="1096"/>
      <c r="S234" s="1096"/>
      <c r="T234" s="1096"/>
      <c r="U234" s="1096"/>
      <c r="V234" s="1096"/>
      <c r="W234" s="1096"/>
      <c r="X234" s="1096"/>
      <c r="Y234" s="1096"/>
      <c r="Z234" s="1096"/>
      <c r="AA234" s="1096"/>
      <c r="AB234" s="1096"/>
      <c r="AC234" s="1096"/>
      <c r="AD234" s="1096"/>
      <c r="AE234" s="1096"/>
      <c r="AF234" s="1096"/>
      <c r="AG234" s="1096"/>
      <c r="AH234" s="1096"/>
      <c r="AI234" s="1096"/>
      <c r="AJ234" s="1096"/>
    </row>
    <row r="235" spans="1:36" x14ac:dyDescent="0.25">
      <c r="A235" s="1096"/>
      <c r="B235" s="1096" t="str">
        <v>Other variable operating costs ($/kg)</v>
      </c>
      <c r="C235" s="1096"/>
      <c r="D235" s="1096"/>
      <c r="E235" s="1096"/>
      <c r="F235" s="1096"/>
      <c r="G235" s="1096"/>
      <c r="H235" s="1096"/>
      <c r="I235" s="1096"/>
      <c r="J235" s="1096"/>
      <c r="K235" s="1096"/>
      <c r="L235" s="1096"/>
      <c r="M235" s="1096"/>
      <c r="N235" s="1096"/>
      <c r="O235" s="1096"/>
      <c r="P235" s="1096"/>
      <c r="Q235" s="1096"/>
      <c r="R235" s="1096"/>
      <c r="S235" s="1096"/>
      <c r="T235" s="1096"/>
      <c r="U235" s="1096"/>
      <c r="V235" s="1096"/>
      <c r="W235" s="1096"/>
      <c r="X235" s="1096"/>
      <c r="Y235" s="1096"/>
      <c r="Z235" s="1096"/>
      <c r="AA235" s="1096"/>
      <c r="AB235" s="1096"/>
      <c r="AC235" s="1096"/>
      <c r="AD235" s="1096"/>
      <c r="AE235" s="1096"/>
      <c r="AF235" s="1096"/>
      <c r="AG235" s="1096"/>
      <c r="AH235" s="1096"/>
      <c r="AI235" s="1096"/>
      <c r="AJ235" s="1096"/>
    </row>
    <row r="236" spans="1:36" x14ac:dyDescent="0.25">
      <c r="A236" s="1096"/>
      <c r="B236" s="1096" t="str">
        <v>Debt interest ($/kg)</v>
      </c>
      <c r="C236" s="1096"/>
      <c r="D236" s="1096"/>
      <c r="E236" s="1096"/>
      <c r="F236" s="1096"/>
      <c r="G236" s="1096"/>
      <c r="H236" s="1096"/>
      <c r="I236" s="1096"/>
      <c r="J236" s="1096"/>
      <c r="K236" s="1096"/>
      <c r="L236" s="1096"/>
      <c r="M236" s="1096"/>
      <c r="N236" s="1096"/>
      <c r="O236" s="1096"/>
      <c r="P236" s="1096"/>
      <c r="Q236" s="1096"/>
      <c r="R236" s="1096"/>
      <c r="S236" s="1096"/>
      <c r="T236" s="1096"/>
      <c r="U236" s="1096"/>
      <c r="V236" s="1096"/>
      <c r="W236" s="1096"/>
      <c r="X236" s="1096"/>
      <c r="Y236" s="1096"/>
      <c r="Z236" s="1096"/>
      <c r="AA236" s="1096"/>
      <c r="AB236" s="1096"/>
      <c r="AC236" s="1096"/>
      <c r="AD236" s="1096"/>
      <c r="AE236" s="1096"/>
      <c r="AF236" s="1096"/>
      <c r="AG236" s="1096"/>
      <c r="AH236" s="1096"/>
      <c r="AI236" s="1096"/>
      <c r="AJ236" s="1096"/>
    </row>
    <row r="237" spans="1:36" x14ac:dyDescent="0.25">
      <c r="A237" s="1096"/>
      <c r="B237" s="1096" t="str">
        <v>Taxes ($/kg)</v>
      </c>
      <c r="C237" s="1096"/>
      <c r="D237" s="1096"/>
      <c r="E237" s="1096"/>
      <c r="F237" s="1096"/>
      <c r="G237" s="1096"/>
      <c r="H237" s="1096"/>
      <c r="I237" s="1096"/>
      <c r="J237" s="1096"/>
      <c r="K237" s="1096"/>
      <c r="L237" s="1096"/>
      <c r="M237" s="1096"/>
      <c r="N237" s="1096"/>
      <c r="O237" s="1096"/>
      <c r="P237" s="1096"/>
      <c r="Q237" s="1096"/>
      <c r="R237" s="1096"/>
      <c r="S237" s="1096"/>
      <c r="T237" s="1096"/>
      <c r="U237" s="1096"/>
      <c r="V237" s="1096"/>
      <c r="W237" s="1096"/>
      <c r="X237" s="1096"/>
      <c r="Y237" s="1096"/>
      <c r="Z237" s="1096"/>
      <c r="AA237" s="1096"/>
      <c r="AB237" s="1096"/>
      <c r="AC237" s="1096"/>
      <c r="AD237" s="1096"/>
      <c r="AE237" s="1096"/>
      <c r="AF237" s="1096"/>
      <c r="AG237" s="1096"/>
      <c r="AH237" s="1096"/>
      <c r="AI237" s="1096"/>
      <c r="AJ237" s="1096"/>
    </row>
    <row r="238" spans="1:36" x14ac:dyDescent="0.25">
      <c r="A238" s="1096"/>
      <c r="B238" s="1096" t="str">
        <v>Principal payment ($/kg)</v>
      </c>
      <c r="C238" s="1096"/>
      <c r="D238" s="1096"/>
      <c r="E238" s="1096"/>
      <c r="F238" s="1096"/>
      <c r="G238" s="1096"/>
      <c r="H238" s="1096"/>
      <c r="I238" s="1096"/>
      <c r="J238" s="1096"/>
      <c r="K238" s="1096"/>
      <c r="L238" s="1096"/>
      <c r="M238" s="1096"/>
      <c r="N238" s="1096"/>
      <c r="O238" s="1096"/>
      <c r="P238" s="1096"/>
      <c r="Q238" s="1096"/>
      <c r="R238" s="1096"/>
      <c r="S238" s="1096"/>
      <c r="T238" s="1096"/>
      <c r="U238" s="1096"/>
      <c r="V238" s="1096"/>
      <c r="W238" s="1096"/>
      <c r="X238" s="1096"/>
      <c r="Y238" s="1096"/>
      <c r="Z238" s="1096"/>
      <c r="AA238" s="1096"/>
      <c r="AB238" s="1096"/>
      <c r="AC238" s="1096"/>
      <c r="AD238" s="1096"/>
      <c r="AE238" s="1096"/>
      <c r="AF238" s="1096"/>
      <c r="AG238" s="1096"/>
      <c r="AH238" s="1096"/>
      <c r="AI238" s="1096"/>
      <c r="AJ238" s="1096"/>
    </row>
    <row r="239" spans="1:36" x14ac:dyDescent="0.25">
      <c r="A239" s="1096"/>
      <c r="B239" s="1096" t="str">
        <f t="array" ref="B239:B245">+TRANSPOSE(C50:I50)</f>
        <v>Operating capacity factor</v>
      </c>
      <c r="C239" s="1096"/>
      <c r="D239" s="1096"/>
      <c r="E239" s="1096"/>
      <c r="F239" s="1096"/>
      <c r="G239" s="1096"/>
      <c r="H239" s="1096"/>
      <c r="I239" s="1096"/>
      <c r="J239" s="1096"/>
      <c r="K239" s="1096"/>
      <c r="L239" s="1096"/>
      <c r="M239" s="1096"/>
      <c r="N239" s="1096"/>
      <c r="O239" s="1096"/>
      <c r="P239" s="1096"/>
      <c r="Q239" s="1096"/>
      <c r="R239" s="1096"/>
      <c r="S239" s="1096"/>
      <c r="T239" s="1096"/>
      <c r="U239" s="1096"/>
      <c r="V239" s="1096"/>
      <c r="W239" s="1096"/>
      <c r="X239" s="1096"/>
      <c r="Y239" s="1096"/>
      <c r="Z239" s="1096"/>
      <c r="AA239" s="1096"/>
      <c r="AB239" s="1096"/>
      <c r="AC239" s="1096"/>
      <c r="AD239" s="1096"/>
      <c r="AE239" s="1096"/>
      <c r="AF239" s="1096"/>
      <c r="AG239" s="1096"/>
      <c r="AH239" s="1096"/>
      <c r="AI239" s="1096"/>
      <c r="AJ239" s="1096"/>
    </row>
    <row r="240" spans="1:36" x14ac:dyDescent="0.25">
      <c r="A240" s="1096"/>
      <c r="B240" s="1096" t="str">
        <v>Plant design capacity (kg of H2/day)</v>
      </c>
      <c r="C240" s="1096"/>
      <c r="D240" s="1096"/>
      <c r="E240" s="1096"/>
      <c r="F240" s="1096"/>
      <c r="G240" s="1096"/>
      <c r="H240" s="1096"/>
      <c r="I240" s="1096"/>
      <c r="J240" s="1096"/>
      <c r="K240" s="1096"/>
      <c r="L240" s="1096"/>
      <c r="M240" s="1096"/>
      <c r="N240" s="1096"/>
      <c r="O240" s="1096"/>
      <c r="P240" s="1096"/>
      <c r="Q240" s="1096"/>
      <c r="R240" s="1096"/>
      <c r="S240" s="1096"/>
      <c r="T240" s="1096"/>
      <c r="U240" s="1096"/>
      <c r="V240" s="1096"/>
      <c r="W240" s="1096"/>
      <c r="X240" s="1096"/>
      <c r="Y240" s="1096"/>
      <c r="Z240" s="1096"/>
      <c r="AA240" s="1096"/>
      <c r="AB240" s="1096"/>
      <c r="AC240" s="1096"/>
      <c r="AD240" s="1096"/>
      <c r="AE240" s="1096"/>
      <c r="AF240" s="1096"/>
      <c r="AG240" s="1096"/>
      <c r="AH240" s="1096"/>
      <c r="AI240" s="1096"/>
      <c r="AJ240" s="1096"/>
    </row>
    <row r="241" spans="1:36" x14ac:dyDescent="0.25">
      <c r="A241" s="1096"/>
      <c r="B241" s="1096" t="str">
        <v>After-tax real IRR (%)</v>
      </c>
      <c r="C241" s="1096"/>
      <c r="D241" s="1096"/>
      <c r="E241" s="1096"/>
      <c r="F241" s="1096"/>
      <c r="G241" s="1096"/>
      <c r="H241" s="1096"/>
      <c r="I241" s="1096"/>
      <c r="J241" s="1096"/>
      <c r="K241" s="1096"/>
      <c r="L241" s="1096"/>
      <c r="M241" s="1096"/>
      <c r="N241" s="1096"/>
      <c r="O241" s="1096"/>
      <c r="P241" s="1096"/>
      <c r="Q241" s="1096"/>
      <c r="R241" s="1096"/>
      <c r="S241" s="1096"/>
      <c r="T241" s="1096"/>
      <c r="U241" s="1096"/>
      <c r="V241" s="1096"/>
      <c r="W241" s="1096"/>
      <c r="X241" s="1096"/>
      <c r="Y241" s="1096"/>
      <c r="Z241" s="1096"/>
      <c r="AA241" s="1096"/>
      <c r="AB241" s="1096"/>
      <c r="AC241" s="1096"/>
      <c r="AD241" s="1096"/>
      <c r="AE241" s="1096"/>
      <c r="AF241" s="1096"/>
      <c r="AG241" s="1096"/>
      <c r="AH241" s="1096"/>
      <c r="AI241" s="1096"/>
      <c r="AJ241" s="1096"/>
    </row>
    <row r="242" spans="1:36" x14ac:dyDescent="0.25">
      <c r="A242" s="1096"/>
      <c r="B242" s="1096" t="str">
        <v>Feedstock consumption (% of most likely value)</v>
      </c>
      <c r="C242" s="1096"/>
      <c r="D242" s="1096"/>
      <c r="E242" s="1096"/>
      <c r="F242" s="1096"/>
      <c r="G242" s="1096"/>
      <c r="H242" s="1096"/>
      <c r="I242" s="1096"/>
      <c r="J242" s="1096"/>
      <c r="K242" s="1096"/>
      <c r="L242" s="1096"/>
      <c r="M242" s="1096"/>
      <c r="N242" s="1096"/>
      <c r="O242" s="1096"/>
      <c r="P242" s="1096"/>
      <c r="Q242" s="1096"/>
      <c r="R242" s="1096"/>
      <c r="S242" s="1096"/>
      <c r="T242" s="1096"/>
      <c r="U242" s="1096"/>
      <c r="V242" s="1096"/>
      <c r="W242" s="1096"/>
      <c r="X242" s="1096"/>
      <c r="Y242" s="1096"/>
      <c r="Z242" s="1096"/>
      <c r="AA242" s="1096"/>
      <c r="AB242" s="1096"/>
      <c r="AC242" s="1096"/>
      <c r="AD242" s="1096"/>
      <c r="AE242" s="1096"/>
      <c r="AF242" s="1096"/>
      <c r="AG242" s="1096"/>
      <c r="AH242" s="1096"/>
      <c r="AI242" s="1096"/>
      <c r="AJ242" s="1096"/>
    </row>
    <row r="243" spans="1:36" x14ac:dyDescent="0.25">
      <c r="A243" s="1096"/>
      <c r="B243" s="1096" t="str">
        <v>Utilities consumption (% of most likely value)</v>
      </c>
      <c r="C243" s="1096"/>
      <c r="D243" s="1096"/>
      <c r="E243" s="1096"/>
      <c r="F243" s="1096"/>
      <c r="G243" s="1096"/>
      <c r="H243" s="1096"/>
      <c r="I243" s="1096"/>
      <c r="J243" s="1096"/>
      <c r="K243" s="1096"/>
      <c r="L243" s="1096"/>
      <c r="M243" s="1096"/>
      <c r="N243" s="1096"/>
      <c r="O243" s="1096"/>
      <c r="P243" s="1096"/>
      <c r="Q243" s="1096"/>
      <c r="R243" s="1096"/>
      <c r="S243" s="1096"/>
      <c r="T243" s="1096"/>
      <c r="U243" s="1096"/>
      <c r="V243" s="1096"/>
      <c r="W243" s="1096"/>
      <c r="X243" s="1096"/>
      <c r="Y243" s="1096"/>
      <c r="Z243" s="1096"/>
      <c r="AA243" s="1096"/>
      <c r="AB243" s="1096"/>
      <c r="AC243" s="1096"/>
      <c r="AD243" s="1096"/>
      <c r="AE243" s="1096"/>
      <c r="AF243" s="1096"/>
      <c r="AG243" s="1096"/>
      <c r="AH243" s="1096"/>
      <c r="AI243" s="1096"/>
      <c r="AJ243" s="1096"/>
    </row>
    <row r="244" spans="1:36" x14ac:dyDescent="0.25">
      <c r="A244" s="1096"/>
      <c r="B244" s="1096" t="str">
        <v>Total capital investment ($)</v>
      </c>
      <c r="C244" s="1096"/>
      <c r="D244" s="1096"/>
      <c r="E244" s="1096"/>
      <c r="F244" s="1096"/>
      <c r="G244" s="1096"/>
      <c r="H244" s="1096"/>
      <c r="I244" s="1096"/>
      <c r="J244" s="1096"/>
      <c r="K244" s="1096"/>
      <c r="L244" s="1096"/>
      <c r="M244" s="1096"/>
      <c r="N244" s="1096"/>
      <c r="O244" s="1096"/>
      <c r="P244" s="1096"/>
      <c r="Q244" s="1096"/>
      <c r="R244" s="1096"/>
      <c r="S244" s="1096"/>
      <c r="T244" s="1096"/>
      <c r="U244" s="1096"/>
      <c r="V244" s="1096"/>
      <c r="W244" s="1096"/>
      <c r="X244" s="1096"/>
      <c r="Y244" s="1096"/>
      <c r="Z244" s="1096"/>
      <c r="AA244" s="1096"/>
      <c r="AB244" s="1096"/>
      <c r="AC244" s="1096"/>
      <c r="AD244" s="1096"/>
      <c r="AE244" s="1096"/>
      <c r="AF244" s="1096"/>
      <c r="AG244" s="1096"/>
      <c r="AH244" s="1096"/>
      <c r="AI244" s="1096"/>
      <c r="AJ244" s="1096"/>
    </row>
    <row r="245" spans="1:36" x14ac:dyDescent="0.25">
      <c r="A245" s="1096"/>
      <c r="B245" s="1096" t="str">
        <v>Total fixed operating cost ($/year)</v>
      </c>
      <c r="C245" s="1096"/>
      <c r="D245" s="1096"/>
      <c r="E245" s="1096"/>
      <c r="F245" s="1096"/>
      <c r="G245" s="1096"/>
      <c r="H245" s="1096"/>
      <c r="I245" s="1096"/>
      <c r="J245" s="1096"/>
      <c r="K245" s="1096"/>
      <c r="L245" s="1096"/>
      <c r="M245" s="1096"/>
      <c r="N245" s="1096"/>
      <c r="O245" s="1096"/>
      <c r="P245" s="1096"/>
      <c r="Q245" s="1096"/>
      <c r="R245" s="1096"/>
      <c r="S245" s="1096"/>
      <c r="T245" s="1096"/>
      <c r="U245" s="1096"/>
      <c r="V245" s="1096"/>
      <c r="W245" s="1096"/>
      <c r="X245" s="1096"/>
      <c r="Y245" s="1096"/>
      <c r="Z245" s="1096"/>
      <c r="AA245" s="1096"/>
      <c r="AB245" s="1096"/>
      <c r="AC245" s="1096"/>
      <c r="AD245" s="1096"/>
      <c r="AE245" s="1096"/>
      <c r="AF245" s="1096"/>
      <c r="AG245" s="1096"/>
      <c r="AH245" s="1096"/>
      <c r="AI245" s="1096"/>
      <c r="AJ245" s="1096"/>
    </row>
    <row r="246" spans="1:36" x14ac:dyDescent="0.25">
      <c r="A246" s="1096"/>
      <c r="B246" s="1096"/>
      <c r="C246" s="1096"/>
      <c r="D246" s="1096"/>
      <c r="E246" s="1096"/>
      <c r="F246" s="1096"/>
      <c r="G246" s="1096"/>
      <c r="H246" s="1096"/>
      <c r="I246" s="1096"/>
      <c r="J246" s="1096"/>
      <c r="K246" s="1096"/>
      <c r="L246" s="1096"/>
      <c r="M246" s="1096"/>
      <c r="N246" s="1096"/>
      <c r="O246" s="1096"/>
      <c r="P246" s="1096"/>
      <c r="Q246" s="1096"/>
      <c r="R246" s="1096"/>
      <c r="S246" s="1096"/>
      <c r="T246" s="1096"/>
      <c r="U246" s="1096"/>
      <c r="V246" s="1096"/>
      <c r="W246" s="1096"/>
      <c r="X246" s="1096"/>
      <c r="Y246" s="1096"/>
      <c r="Z246" s="1096"/>
      <c r="AA246" s="1096"/>
      <c r="AB246" s="1096"/>
      <c r="AC246" s="1096"/>
      <c r="AD246" s="1096"/>
      <c r="AE246" s="1096"/>
      <c r="AF246" s="1096"/>
      <c r="AG246" s="1096"/>
      <c r="AH246" s="1096"/>
      <c r="AI246" s="1096"/>
      <c r="AJ246" s="1096"/>
    </row>
    <row r="247" spans="1:36" x14ac:dyDescent="0.25">
      <c r="A247" s="1096"/>
      <c r="B247" s="1096"/>
      <c r="C247" s="1096"/>
      <c r="D247" s="1096"/>
      <c r="E247" s="1096"/>
      <c r="F247" s="1096"/>
      <c r="G247" s="1096"/>
      <c r="H247" s="1096"/>
      <c r="I247" s="1096"/>
      <c r="J247" s="1096"/>
      <c r="K247" s="1096"/>
      <c r="L247" s="1096"/>
      <c r="M247" s="1096"/>
      <c r="N247" s="1096"/>
      <c r="O247" s="1096"/>
      <c r="P247" s="1096"/>
      <c r="Q247" s="1096"/>
      <c r="R247" s="1096"/>
      <c r="S247" s="1096"/>
      <c r="T247" s="1096"/>
      <c r="U247" s="1096"/>
      <c r="V247" s="1096"/>
      <c r="W247" s="1096"/>
      <c r="X247" s="1096"/>
      <c r="Y247" s="1096"/>
      <c r="Z247" s="1096"/>
      <c r="AA247" s="1096"/>
      <c r="AB247" s="1096"/>
      <c r="AC247" s="1096"/>
      <c r="AD247" s="1096"/>
      <c r="AE247" s="1096"/>
      <c r="AF247" s="1096"/>
      <c r="AG247" s="1096"/>
      <c r="AH247" s="1096"/>
      <c r="AI247" s="1096"/>
      <c r="AJ247" s="1096"/>
    </row>
    <row r="248" spans="1:36" x14ac:dyDescent="0.25">
      <c r="A248" s="1096"/>
      <c r="B248" s="1097"/>
      <c r="C248">
        <f ca="1">+RAND()</f>
        <v>0.37925926347969996</v>
      </c>
      <c r="D248">
        <f t="shared" ref="D248:I248" ca="1" si="96">+RAND()</f>
        <v>0.21382318869277983</v>
      </c>
      <c r="E248">
        <f t="shared" ca="1" si="96"/>
        <v>0.52596087961885829</v>
      </c>
      <c r="F248">
        <f t="shared" ca="1" si="96"/>
        <v>0.59489683700098828</v>
      </c>
      <c r="G248">
        <f t="shared" ca="1" si="96"/>
        <v>0.1813220303031281</v>
      </c>
      <c r="H248">
        <f t="shared" ca="1" si="96"/>
        <v>0.16712918358626072</v>
      </c>
      <c r="I248">
        <f t="shared" ca="1" si="96"/>
        <v>0.40640102197232131</v>
      </c>
      <c r="J248" s="1096"/>
      <c r="K248" s="1096"/>
      <c r="L248" s="1096"/>
      <c r="M248" s="1096"/>
      <c r="N248" s="1096"/>
      <c r="O248" s="1096"/>
      <c r="P248" s="1096"/>
      <c r="Q248" s="1096"/>
      <c r="R248" s="1096"/>
      <c r="S248" s="1096"/>
      <c r="T248" s="1096"/>
      <c r="U248" s="1096"/>
      <c r="V248" s="1096"/>
      <c r="W248" s="1096"/>
      <c r="X248" s="1096"/>
      <c r="Y248" s="1096"/>
      <c r="Z248" s="1096"/>
      <c r="AA248" s="1096"/>
      <c r="AB248" s="1096"/>
      <c r="AC248" s="1096"/>
      <c r="AD248" s="1096"/>
      <c r="AE248" s="1096"/>
      <c r="AF248" s="1096"/>
      <c r="AG248" s="1096"/>
      <c r="AH248" s="1096"/>
      <c r="AI248" s="1096"/>
      <c r="AJ248" s="1096"/>
    </row>
    <row r="249" spans="1:36" x14ac:dyDescent="0.25">
      <c r="A249" s="1096"/>
      <c r="B249" s="305"/>
      <c r="C249" s="1101">
        <f ca="1">IFERROR(IF(C$248&lt;=(C$190-C$189)/(C$191-C$189),C$189+SQRT(C$248*(C$191-C$189)*(C$190-C$189)),C$191-SQRT((1-C$248)*(C$191-C$189)*(C$191-C$190))),1)</f>
        <v>0.99354648455844052</v>
      </c>
      <c r="D249" s="1101">
        <f t="shared" ref="D249:I249" ca="1" si="97">IFERROR(IF(D$248&lt;=(D$190-D$189)/(D$191-D$189),D$189+SQRT(D$248*(D$191-D$189)*(D$190-D$189)),D$191-SQRT((1-D$248)*(D$191-D$189)*(D$191-D$190))),1)</f>
        <v>0.98269733847676133</v>
      </c>
      <c r="E249" s="1101">
        <f t="shared" ca="1" si="97"/>
        <v>1.0013153453138908</v>
      </c>
      <c r="F249" s="1101">
        <f t="shared" ca="1" si="97"/>
        <v>1.0049942690872034</v>
      </c>
      <c r="G249" s="1101">
        <f t="shared" ca="1" si="97"/>
        <v>0.98010996764388225</v>
      </c>
      <c r="H249" s="1101">
        <f t="shared" ca="1" si="97"/>
        <v>0.9789075408489083</v>
      </c>
      <c r="I249" s="1101">
        <f t="shared" ca="1" si="97"/>
        <v>0.99507776735666498</v>
      </c>
    </row>
    <row r="250" spans="1:36" x14ac:dyDescent="0.25">
      <c r="A250" s="1096"/>
      <c r="B250" s="305"/>
    </row>
    <row r="251" spans="1:36" x14ac:dyDescent="0.25">
      <c r="A251" s="1096"/>
      <c r="B251" s="1455">
        <v>1</v>
      </c>
      <c r="C251" s="1101">
        <v>0.96920157688337427</v>
      </c>
      <c r="D251" s="1101">
        <v>1.0277318572969203</v>
      </c>
      <c r="E251" s="1101">
        <v>1.0050852050797732</v>
      </c>
      <c r="F251" s="1101">
        <v>0.98230376564895805</v>
      </c>
      <c r="G251" s="1101">
        <v>1.020931042851837</v>
      </c>
      <c r="H251" s="1101">
        <v>0.97554978300442519</v>
      </c>
      <c r="I251" s="1101">
        <v>0.99725937449158364</v>
      </c>
      <c r="K251">
        <v>2.2051305229274356</v>
      </c>
      <c r="L251">
        <v>0</v>
      </c>
      <c r="M251">
        <v>1.5312193388552172E-3</v>
      </c>
      <c r="N251">
        <v>0.14133807702438239</v>
      </c>
      <c r="O251">
        <v>2.0260859715163539E-2</v>
      </c>
      <c r="P251">
        <v>2.6016291788223938E-2</v>
      </c>
      <c r="Q251">
        <v>5.6792266123531013E-3</v>
      </c>
      <c r="R251">
        <v>1.5091585038902451E-3</v>
      </c>
      <c r="S251">
        <v>0.24318617200713424</v>
      </c>
      <c r="T251">
        <v>1.3200905600343174</v>
      </c>
      <c r="U251">
        <v>0.14732150791643633</v>
      </c>
      <c r="V251">
        <v>0.18898205906539695</v>
      </c>
      <c r="W251">
        <v>9.2569867567188699E-2</v>
      </c>
      <c r="X251">
        <v>1.5600530078181024E-2</v>
      </c>
      <c r="Y251">
        <v>4.1074319536221439E-3</v>
      </c>
    </row>
    <row r="252" spans="1:36" x14ac:dyDescent="0.25">
      <c r="A252" s="1096"/>
      <c r="B252" s="1455">
        <v>2</v>
      </c>
      <c r="C252" s="1101">
        <v>0.99896745396739139</v>
      </c>
      <c r="D252" s="1101">
        <v>0.99326047571965725</v>
      </c>
      <c r="E252" s="1101">
        <v>1.0007732830755542</v>
      </c>
      <c r="F252" s="1101">
        <v>1.0088440845116098</v>
      </c>
      <c r="G252" s="1101">
        <v>0.98383450259493854</v>
      </c>
      <c r="H252" s="1101">
        <v>0.99163654165168424</v>
      </c>
      <c r="I252" s="1101">
        <v>1.0152659948316098</v>
      </c>
      <c r="K252">
        <v>2.2301887827091162</v>
      </c>
      <c r="L252">
        <v>0</v>
      </c>
      <c r="M252">
        <v>1.5351440343921916E-3</v>
      </c>
      <c r="N252">
        <v>0.13989990972999311</v>
      </c>
      <c r="O252">
        <v>1.9802547501299408E-2</v>
      </c>
      <c r="P252">
        <v>2.6310593107391696E-2</v>
      </c>
      <c r="Q252">
        <v>5.526791704522028E-3</v>
      </c>
      <c r="R252">
        <v>1.5133854526441061E-3</v>
      </c>
      <c r="S252">
        <v>0.24560852787868603</v>
      </c>
      <c r="T252">
        <v>1.3557501504063409</v>
      </c>
      <c r="U252">
        <v>0.14292187925389607</v>
      </c>
      <c r="V252">
        <v>0.18296104958743456</v>
      </c>
      <c r="W252">
        <v>9.1862513861947326E-2</v>
      </c>
      <c r="X252">
        <v>1.5447641944635378E-2</v>
      </c>
      <c r="Y252">
        <v>4.1189363147168716E-3</v>
      </c>
    </row>
    <row r="253" spans="1:36" x14ac:dyDescent="0.25">
      <c r="A253" s="1096"/>
      <c r="B253" s="1455">
        <v>3</v>
      </c>
      <c r="C253" s="1101">
        <v>0.99220964336196493</v>
      </c>
      <c r="D253" s="1101">
        <v>0.97972759358691064</v>
      </c>
      <c r="E253" s="1101">
        <v>1.0151299965456297</v>
      </c>
      <c r="F253" s="1101">
        <v>1.0101582949826866</v>
      </c>
      <c r="G253" s="1101">
        <v>0.97389940204924852</v>
      </c>
      <c r="H253" s="1101">
        <v>1.0301816295899671</v>
      </c>
      <c r="I253" s="1101">
        <v>0.95429166636048779</v>
      </c>
      <c r="K253">
        <v>2.2390176750905413</v>
      </c>
      <c r="L253">
        <v>0</v>
      </c>
      <c r="M253">
        <v>1.5632188338904189E-3</v>
      </c>
      <c r="N253">
        <v>0.14884973169980134</v>
      </c>
      <c r="O253">
        <v>2.0006773590889405E-2</v>
      </c>
      <c r="P253">
        <v>2.6503521162413685E-2</v>
      </c>
      <c r="Q253">
        <v>5.6645962070372129E-3</v>
      </c>
      <c r="R253">
        <v>1.5418913336973652E-3</v>
      </c>
      <c r="S253">
        <v>0.23712593246194935</v>
      </c>
      <c r="T253">
        <v>1.3575418547768405</v>
      </c>
      <c r="U253">
        <v>0.14392865574793579</v>
      </c>
      <c r="V253">
        <v>0.18225552089003488</v>
      </c>
      <c r="W253">
        <v>9.6913957488473243E-2</v>
      </c>
      <c r="X253">
        <v>1.6051938639376141E-2</v>
      </c>
      <c r="Y253">
        <v>4.1965199259826813E-3</v>
      </c>
    </row>
    <row r="254" spans="1:36" x14ac:dyDescent="0.25">
      <c r="A254" s="1096"/>
      <c r="B254" s="1455">
        <v>4</v>
      </c>
      <c r="C254" s="1101">
        <v>1.0335485660864221</v>
      </c>
      <c r="D254" s="1101">
        <v>1.023491868226915</v>
      </c>
      <c r="E254" s="1101">
        <v>0.99234108080245775</v>
      </c>
      <c r="F254" s="1101">
        <v>1.0120165967220351</v>
      </c>
      <c r="G254" s="1101">
        <v>1.003349807434593</v>
      </c>
      <c r="H254" s="1101">
        <v>0.99860170547433813</v>
      </c>
      <c r="I254" s="1101">
        <v>1.0175524296746774</v>
      </c>
      <c r="K254">
        <v>2.2081098559144854</v>
      </c>
      <c r="L254">
        <v>0</v>
      </c>
      <c r="M254">
        <v>1.510556061785821E-3</v>
      </c>
      <c r="N254">
        <v>0.134209121900221</v>
      </c>
      <c r="O254">
        <v>1.900907905636744E-2</v>
      </c>
      <c r="P254">
        <v>2.599500154115671E-2</v>
      </c>
      <c r="Q254">
        <v>5.2604761467511755E-3</v>
      </c>
      <c r="R254">
        <v>1.489295314686845E-3</v>
      </c>
      <c r="S254">
        <v>0.23488054918056281</v>
      </c>
      <c r="T254">
        <v>1.3600006313326038</v>
      </c>
      <c r="U254">
        <v>0.13812113669190285</v>
      </c>
      <c r="V254">
        <v>0.18317290776156545</v>
      </c>
      <c r="W254">
        <v>8.8569743077029403E-2</v>
      </c>
      <c r="X254">
        <v>1.4859099072913924E-2</v>
      </c>
      <c r="Y254">
        <v>4.0533709005090507E-3</v>
      </c>
    </row>
    <row r="255" spans="1:36" x14ac:dyDescent="0.25">
      <c r="A255" s="1096"/>
      <c r="B255" s="1455">
        <v>5</v>
      </c>
      <c r="C255" s="1101">
        <v>0.97024511868122754</v>
      </c>
      <c r="D255" s="1101">
        <v>0.98477079523751798</v>
      </c>
      <c r="E255" s="1101">
        <v>0.95709202060821297</v>
      </c>
      <c r="F255" s="1101">
        <v>0.99637135042865621</v>
      </c>
      <c r="G255" s="1101">
        <v>0.96215425869956694</v>
      </c>
      <c r="H255" s="1101">
        <v>0.97577493208718757</v>
      </c>
      <c r="I255" s="1101">
        <v>0.97256944456123207</v>
      </c>
      <c r="K255">
        <v>2.2074609011259447</v>
      </c>
      <c r="L255">
        <v>0</v>
      </c>
      <c r="M255">
        <v>1.7055166516795981E-3</v>
      </c>
      <c r="N255">
        <v>0.13615068227373656</v>
      </c>
      <c r="O255">
        <v>2.039918419530512E-2</v>
      </c>
      <c r="P255">
        <v>2.5222438714211915E-2</v>
      </c>
      <c r="Q255">
        <v>5.4459176307450384E-3</v>
      </c>
      <c r="R255">
        <v>1.6809503215302099E-3</v>
      </c>
      <c r="S255">
        <v>0.24167678306501886</v>
      </c>
      <c r="T255">
        <v>1.3389393217068577</v>
      </c>
      <c r="U255">
        <v>0.14704952307071059</v>
      </c>
      <c r="V255">
        <v>0.18222979476007689</v>
      </c>
      <c r="W255">
        <v>9.1792241402600852E-2</v>
      </c>
      <c r="X255">
        <v>1.4004587986748964E-2</v>
      </c>
      <c r="Y255">
        <v>4.5749926500806629E-3</v>
      </c>
    </row>
    <row r="256" spans="1:36" x14ac:dyDescent="0.25">
      <c r="A256" s="1096"/>
      <c r="B256" s="1455">
        <v>6</v>
      </c>
      <c r="C256" s="1101">
        <v>1.0160192650283049</v>
      </c>
      <c r="D256" s="1101">
        <v>1.0017233213698788</v>
      </c>
      <c r="E256" s="1101">
        <v>1.000298044300191</v>
      </c>
      <c r="F256" s="1101">
        <v>1.0287427373874471</v>
      </c>
      <c r="G256" s="1101">
        <v>1.008087642725805</v>
      </c>
      <c r="H256" s="1101">
        <v>1.0346893104143362</v>
      </c>
      <c r="I256" s="1101">
        <v>1.0076493645826603</v>
      </c>
      <c r="K256">
        <v>2.2583083193466607</v>
      </c>
      <c r="L256">
        <v>0</v>
      </c>
      <c r="M256">
        <v>1.5735244892343654E-3</v>
      </c>
      <c r="N256">
        <v>0.14327750463934161</v>
      </c>
      <c r="O256">
        <v>1.9433602429318506E-2</v>
      </c>
      <c r="P256">
        <v>2.6609018898373377E-2</v>
      </c>
      <c r="Q256">
        <v>5.4212314114072029E-3</v>
      </c>
      <c r="R256">
        <v>1.5521499126246315E-3</v>
      </c>
      <c r="S256">
        <v>0.24207744681303575</v>
      </c>
      <c r="T256">
        <v>1.3824904674269078</v>
      </c>
      <c r="U256">
        <v>0.14052215002882301</v>
      </c>
      <c r="V256">
        <v>0.18470544071903461</v>
      </c>
      <c r="W256">
        <v>9.4106910943267397E-2</v>
      </c>
      <c r="X256">
        <v>1.54614802176776E-2</v>
      </c>
      <c r="Y256">
        <v>4.2244403960830634E-3</v>
      </c>
    </row>
    <row r="257" spans="1:25" x14ac:dyDescent="0.25">
      <c r="A257" s="1096"/>
      <c r="B257" s="1455">
        <v>7</v>
      </c>
      <c r="C257" s="1101">
        <v>0.99448165144691791</v>
      </c>
      <c r="D257" s="1101">
        <v>1.0266793760392405</v>
      </c>
      <c r="E257" s="1101">
        <v>0.96529761019095217</v>
      </c>
      <c r="F257" s="1101">
        <v>1.0003291839092561</v>
      </c>
      <c r="G257" s="1101">
        <v>1.0085243338077583</v>
      </c>
      <c r="H257" s="1101">
        <v>0.97828553528841222</v>
      </c>
      <c r="I257" s="1101">
        <v>0.99613140778777465</v>
      </c>
      <c r="K257">
        <v>2.201635656749533</v>
      </c>
      <c r="L257">
        <v>0</v>
      </c>
      <c r="M257">
        <v>1.6252802212689318E-3</v>
      </c>
      <c r="N257">
        <v>0.13301655717433813</v>
      </c>
      <c r="O257">
        <v>1.9725484601561517E-2</v>
      </c>
      <c r="P257">
        <v>2.5391002135084915E-2</v>
      </c>
      <c r="Q257">
        <v>5.3106322361454825E-3</v>
      </c>
      <c r="R257">
        <v>1.601929699197399E-3</v>
      </c>
      <c r="S257">
        <v>0.2367777356027857</v>
      </c>
      <c r="T257">
        <v>1.3442639664142855</v>
      </c>
      <c r="U257">
        <v>0.14348465148923756</v>
      </c>
      <c r="V257">
        <v>0.18598949421443611</v>
      </c>
      <c r="W257">
        <v>8.9229336982955557E-2</v>
      </c>
      <c r="X257">
        <v>1.4110221855542185E-2</v>
      </c>
      <c r="Y257">
        <v>4.3599245652319023E-3</v>
      </c>
    </row>
    <row r="258" spans="1:25" x14ac:dyDescent="0.25">
      <c r="A258" s="1096"/>
      <c r="B258" s="1455">
        <v>8</v>
      </c>
      <c r="C258" s="1101">
        <v>1.0070637747689053</v>
      </c>
      <c r="D258" s="1101">
        <v>0.9722203402316536</v>
      </c>
      <c r="E258" s="1101">
        <v>0.98440813636270719</v>
      </c>
      <c r="F258" s="1101">
        <v>1.0325070709239854</v>
      </c>
      <c r="G258" s="1101">
        <v>1.01744741737706</v>
      </c>
      <c r="H258" s="1101">
        <v>0.96351845274134729</v>
      </c>
      <c r="I258" s="1101">
        <v>0.99542853164502665</v>
      </c>
      <c r="K258">
        <v>2.246918560454314</v>
      </c>
      <c r="L258">
        <v>0</v>
      </c>
      <c r="M258">
        <v>1.5378794927174996E-3</v>
      </c>
      <c r="N258">
        <v>0.13332880825388466</v>
      </c>
      <c r="O258">
        <v>1.972588643503188E-2</v>
      </c>
      <c r="P258">
        <v>2.6358522039433112E-2</v>
      </c>
      <c r="Q258">
        <v>5.4152066727226429E-3</v>
      </c>
      <c r="R258">
        <v>1.5154460335159642E-3</v>
      </c>
      <c r="S258">
        <v>0.23908856159742503</v>
      </c>
      <c r="T258">
        <v>1.3875258350919097</v>
      </c>
      <c r="U258">
        <v>0.1417354848633518</v>
      </c>
      <c r="V258">
        <v>0.18626908656234675</v>
      </c>
      <c r="W258">
        <v>8.840847761375531E-2</v>
      </c>
      <c r="X258">
        <v>1.4960580247072289E-2</v>
      </c>
      <c r="Y258">
        <v>4.1245445365797676E-3</v>
      </c>
    </row>
    <row r="259" spans="1:25" x14ac:dyDescent="0.25">
      <c r="A259" s="1096"/>
      <c r="B259" s="1455">
        <v>9</v>
      </c>
      <c r="C259" s="1101">
        <v>1.0186162518481692</v>
      </c>
      <c r="D259" s="1101">
        <v>1.0038756660231443</v>
      </c>
      <c r="E259" s="1101">
        <v>0.99002728081383362</v>
      </c>
      <c r="F259" s="1101">
        <v>1.0244057390405983</v>
      </c>
      <c r="G259" s="1101">
        <v>0.97486043485179597</v>
      </c>
      <c r="H259" s="1101">
        <v>1.0016745460325331</v>
      </c>
      <c r="I259" s="1101">
        <v>1.0089548393378245</v>
      </c>
      <c r="K259">
        <v>2.2338091215589109</v>
      </c>
      <c r="L259">
        <v>0</v>
      </c>
      <c r="M259">
        <v>1.5513935981785118E-3</v>
      </c>
      <c r="N259">
        <v>0.13688261811478569</v>
      </c>
      <c r="O259">
        <v>1.9368616669810178E-2</v>
      </c>
      <c r="P259">
        <v>2.622373352611667E-2</v>
      </c>
      <c r="Q259">
        <v>5.3474602054535891E-3</v>
      </c>
      <c r="R259">
        <v>1.5296250565841262E-3</v>
      </c>
      <c r="S259">
        <v>0.23882039090155657</v>
      </c>
      <c r="T259">
        <v>1.3766464879185523</v>
      </c>
      <c r="U259">
        <v>0.1401406887589591</v>
      </c>
      <c r="V259">
        <v>0.1807918646162715</v>
      </c>
      <c r="W259">
        <v>9.0459267845458158E-2</v>
      </c>
      <c r="X259">
        <v>1.4986626380283632E-2</v>
      </c>
      <c r="Y259">
        <v>4.1631351632576072E-3</v>
      </c>
    </row>
    <row r="260" spans="1:25" x14ac:dyDescent="0.25">
      <c r="A260" s="1096"/>
      <c r="B260" s="1455">
        <v>10</v>
      </c>
      <c r="C260" s="1101">
        <v>1.0299617651447963</v>
      </c>
      <c r="D260" s="1101">
        <v>0.97841865029999098</v>
      </c>
      <c r="E260" s="1101">
        <v>1.0051074278979519</v>
      </c>
      <c r="F260" s="1101">
        <v>0.97128754044469656</v>
      </c>
      <c r="G260" s="1101">
        <v>1.0184108857645082</v>
      </c>
      <c r="H260" s="1101">
        <v>0.97401686488479955</v>
      </c>
      <c r="I260" s="1101">
        <v>1.0076918372217156</v>
      </c>
      <c r="K260">
        <v>2.1572597294789451</v>
      </c>
      <c r="L260">
        <v>0</v>
      </c>
      <c r="M260">
        <v>1.4542046882693302E-3</v>
      </c>
      <c r="N260">
        <v>0.13423521703644078</v>
      </c>
      <c r="O260">
        <v>1.927299928749536E-2</v>
      </c>
      <c r="P260">
        <v>2.5555103680752932E-2</v>
      </c>
      <c r="Q260">
        <v>5.4024444248729278E-3</v>
      </c>
      <c r="R260">
        <v>1.4332204581269411E-3</v>
      </c>
      <c r="S260">
        <v>0.23687595730892985</v>
      </c>
      <c r="T260">
        <v>1.3052861998048932</v>
      </c>
      <c r="U260">
        <v>0.13863066942677363</v>
      </c>
      <c r="V260">
        <v>0.18508602598463586</v>
      </c>
      <c r="W260">
        <v>8.7916668038483109E-2</v>
      </c>
      <c r="X260">
        <v>1.5118675089785654E-2</v>
      </c>
      <c r="Y260">
        <v>3.9007536260244886E-3</v>
      </c>
    </row>
    <row r="261" spans="1:25" x14ac:dyDescent="0.25">
      <c r="A261" s="1096"/>
      <c r="B261" s="1455">
        <v>11</v>
      </c>
      <c r="C261" s="1101">
        <v>1.0156621918019488</v>
      </c>
      <c r="D261" s="1101">
        <v>1.0067556130327453</v>
      </c>
      <c r="E261" s="1101">
        <v>1.0005050117566017</v>
      </c>
      <c r="F261" s="1101">
        <v>1.0321046317903797</v>
      </c>
      <c r="G261" s="1101">
        <v>0.99613188742035352</v>
      </c>
      <c r="H261" s="1101">
        <v>1.0163371767899669</v>
      </c>
      <c r="I261" s="1101">
        <v>1.0178834544458548</v>
      </c>
      <c r="K261">
        <v>2.257564096833335</v>
      </c>
      <c r="L261">
        <v>0</v>
      </c>
      <c r="M261">
        <v>1.5437919501167432E-3</v>
      </c>
      <c r="N261">
        <v>0.14062314980808563</v>
      </c>
      <c r="O261">
        <v>1.9419141791162112E-2</v>
      </c>
      <c r="P261">
        <v>2.6663704010509822E-2</v>
      </c>
      <c r="Q261">
        <v>5.4183243039163257E-3</v>
      </c>
      <c r="R261">
        <v>1.5224425863602149E-3</v>
      </c>
      <c r="S261">
        <v>0.24254593778076317</v>
      </c>
      <c r="T261">
        <v>1.3870087386855678</v>
      </c>
      <c r="U261">
        <v>0.14057202215414635</v>
      </c>
      <c r="V261">
        <v>0.18337471670729488</v>
      </c>
      <c r="W261">
        <v>9.2352131738101348E-2</v>
      </c>
      <c r="X261">
        <v>1.546399237053561E-2</v>
      </c>
      <c r="Y261">
        <v>4.1435868470087941E-3</v>
      </c>
    </row>
    <row r="262" spans="1:25" x14ac:dyDescent="0.25">
      <c r="A262" s="1096"/>
      <c r="B262" s="1455">
        <v>12</v>
      </c>
      <c r="C262" s="1101">
        <v>1.012070194689326</v>
      </c>
      <c r="D262" s="1101">
        <v>0.98060502693573182</v>
      </c>
      <c r="E262" s="1101">
        <v>0.99303083875566811</v>
      </c>
      <c r="F262" s="1101">
        <v>0.99964397995993992</v>
      </c>
      <c r="G262" s="1101">
        <v>1.0132171394069569</v>
      </c>
      <c r="H262" s="1101">
        <v>0.97989518196315517</v>
      </c>
      <c r="I262" s="1101">
        <v>1.0096341166749345</v>
      </c>
      <c r="K262">
        <v>2.2070469901617411</v>
      </c>
      <c r="L262">
        <v>0</v>
      </c>
      <c r="M262">
        <v>1.5258562319959044E-3</v>
      </c>
      <c r="N262">
        <v>0.13581443930184126</v>
      </c>
      <c r="O262">
        <v>1.959659680763811E-2</v>
      </c>
      <c r="P262">
        <v>2.5946035118190196E-2</v>
      </c>
      <c r="Q262">
        <v>5.4268393850829917E-3</v>
      </c>
      <c r="R262">
        <v>1.503970152598749E-3</v>
      </c>
      <c r="S262">
        <v>0.24163642688953585</v>
      </c>
      <c r="T262">
        <v>1.343374652226067</v>
      </c>
      <c r="U262">
        <v>0.14105394045563532</v>
      </c>
      <c r="V262">
        <v>0.18550685146131826</v>
      </c>
      <c r="W262">
        <v>8.9592204367804143E-2</v>
      </c>
      <c r="X262">
        <v>1.5027579256277995E-2</v>
      </c>
      <c r="Y262">
        <v>4.0933109717462349E-3</v>
      </c>
    </row>
    <row r="263" spans="1:25" x14ac:dyDescent="0.25">
      <c r="A263" s="1096"/>
      <c r="B263" s="1455">
        <v>13</v>
      </c>
      <c r="C263" s="1101">
        <v>0.99295286893528745</v>
      </c>
      <c r="D263" s="1101">
        <v>1.0133395673995125</v>
      </c>
      <c r="E263" s="1101">
        <v>1.0267549926648065</v>
      </c>
      <c r="F263" s="1101">
        <v>1.0447590843601193</v>
      </c>
      <c r="G263" s="1101">
        <v>0.99179817531160075</v>
      </c>
      <c r="H263" s="1101">
        <v>0.9918066532099038</v>
      </c>
      <c r="I263" s="1101">
        <v>0.97563450228541537</v>
      </c>
      <c r="K263">
        <v>2.2773413872617594</v>
      </c>
      <c r="L263">
        <v>0</v>
      </c>
      <c r="M263">
        <v>1.4570646233488574E-3</v>
      </c>
      <c r="N263">
        <v>0.14361648669762778</v>
      </c>
      <c r="O263">
        <v>1.9851302660954334E-2</v>
      </c>
      <c r="P263">
        <v>2.7378430670601642E-2</v>
      </c>
      <c r="Q263">
        <v>5.6858765636521548E-3</v>
      </c>
      <c r="R263">
        <v>1.4364162533606222E-3</v>
      </c>
      <c r="S263">
        <v>0.23529782118314485</v>
      </c>
      <c r="T263">
        <v>1.4040663290229891</v>
      </c>
      <c r="U263">
        <v>0.14384796551337331</v>
      </c>
      <c r="V263">
        <v>0.18424462564138497</v>
      </c>
      <c r="W263">
        <v>9.2873327232642605E-2</v>
      </c>
      <c r="X263">
        <v>1.6590418918217331E-2</v>
      </c>
      <c r="Y263">
        <v>3.9094515271569531E-3</v>
      </c>
    </row>
    <row r="264" spans="1:25" x14ac:dyDescent="0.25">
      <c r="A264" s="1096"/>
      <c r="B264" s="1455">
        <v>14</v>
      </c>
      <c r="C264" s="1101">
        <v>1.003317148288708</v>
      </c>
      <c r="D264" s="1101">
        <v>1.0056660557845796</v>
      </c>
      <c r="E264" s="1101">
        <v>0.97881031886420367</v>
      </c>
      <c r="F264" s="1101">
        <v>0.97866674253016495</v>
      </c>
      <c r="G264" s="1101">
        <v>1.0312817409880417</v>
      </c>
      <c r="H264" s="1101">
        <v>0.99869712389951781</v>
      </c>
      <c r="I264" s="1101">
        <v>0.99915088629728055</v>
      </c>
      <c r="K264">
        <v>2.1822744281741961</v>
      </c>
      <c r="L264">
        <v>0</v>
      </c>
      <c r="M264">
        <v>1.6066137991897871E-3</v>
      </c>
      <c r="N264">
        <v>0.13702025351028027</v>
      </c>
      <c r="O264">
        <v>1.9649294671362179E-2</v>
      </c>
      <c r="P264">
        <v>2.5312642375993916E-2</v>
      </c>
      <c r="Q264">
        <v>5.3636041329455332E-3</v>
      </c>
      <c r="R264">
        <v>1.5840032208749839E-3</v>
      </c>
      <c r="S264">
        <v>0.23957105408638671</v>
      </c>
      <c r="T264">
        <v>1.3151664497817728</v>
      </c>
      <c r="U264">
        <v>0.1422519516587083</v>
      </c>
      <c r="V264">
        <v>0.18804817163488149</v>
      </c>
      <c r="W264">
        <v>9.1163453268913369E-2</v>
      </c>
      <c r="X264">
        <v>1.4439029030566182E-2</v>
      </c>
      <c r="Y264">
        <v>4.3111346007002806E-3</v>
      </c>
    </row>
    <row r="265" spans="1:25" x14ac:dyDescent="0.25">
      <c r="A265" s="1096"/>
      <c r="B265" s="1455">
        <v>15</v>
      </c>
      <c r="C265" s="1101">
        <v>0.99965672907370628</v>
      </c>
      <c r="D265" s="1101">
        <v>1.0134602194291631</v>
      </c>
      <c r="E265" s="1101">
        <v>0.99264346891756783</v>
      </c>
      <c r="F265" s="1101">
        <v>1.0226720106736715</v>
      </c>
      <c r="G265" s="1101">
        <v>1.0003709354127017</v>
      </c>
      <c r="H265" s="1101">
        <v>0.96697711895881655</v>
      </c>
      <c r="I265" s="1101">
        <v>1.026448770551313</v>
      </c>
      <c r="K265">
        <v>2.2397305391137143</v>
      </c>
      <c r="L265">
        <v>0</v>
      </c>
      <c r="M265">
        <v>1.5146411053814709E-3</v>
      </c>
      <c r="N265">
        <v>0.13463224753875816</v>
      </c>
      <c r="O265">
        <v>1.9696375399850394E-2</v>
      </c>
      <c r="P265">
        <v>2.6398627660979272E-2</v>
      </c>
      <c r="Q265">
        <v>5.4523389670383584E-3</v>
      </c>
      <c r="R265">
        <v>1.4926256578631778E-3</v>
      </c>
      <c r="S265">
        <v>0.2435762179301029</v>
      </c>
      <c r="T265">
        <v>1.374320373556263</v>
      </c>
      <c r="U265">
        <v>0.14280461881437204</v>
      </c>
      <c r="V265">
        <v>0.18478220733293088</v>
      </c>
      <c r="W265">
        <v>8.8832918154213278E-2</v>
      </c>
      <c r="X265">
        <v>1.519419420993599E-2</v>
      </c>
      <c r="Y265">
        <v>4.0624349967876951E-3</v>
      </c>
    </row>
    <row r="266" spans="1:25" x14ac:dyDescent="0.25">
      <c r="A266" s="1096"/>
      <c r="B266" s="1455">
        <v>16</v>
      </c>
      <c r="C266" s="1101">
        <v>0.9817423216913006</v>
      </c>
      <c r="D266" s="1101">
        <v>1.0010544447661403</v>
      </c>
      <c r="E266" s="1101">
        <v>1.0223855469324039</v>
      </c>
      <c r="F266" s="1101">
        <v>0.9971847583591279</v>
      </c>
      <c r="G266" s="1101">
        <v>1.0267292087925226</v>
      </c>
      <c r="H266" s="1101">
        <v>0.97248524970260541</v>
      </c>
      <c r="I266" s="1101">
        <v>1.0053520570280448</v>
      </c>
      <c r="K266">
        <v>2.2266188128770148</v>
      </c>
      <c r="L266">
        <v>0</v>
      </c>
      <c r="M266">
        <v>1.4621178540811925E-3</v>
      </c>
      <c r="N266">
        <v>0.1421873637054927</v>
      </c>
      <c r="O266">
        <v>2.012914594682404E-2</v>
      </c>
      <c r="P266">
        <v>2.6627323273413956E-2</v>
      </c>
      <c r="Q266">
        <v>5.7405299562857592E-3</v>
      </c>
      <c r="R266">
        <v>1.440986207706224E-3</v>
      </c>
      <c r="S266">
        <v>0.24510889702231475</v>
      </c>
      <c r="T266">
        <v>1.3401212891136169</v>
      </c>
      <c r="U266">
        <v>0.14548028492015594</v>
      </c>
      <c r="V266">
        <v>0.1888713069653615</v>
      </c>
      <c r="W266">
        <v>9.2183658605268601E-2</v>
      </c>
      <c r="X266">
        <v>1.6268255578252282E-2</v>
      </c>
      <c r="Y266">
        <v>3.9218894364006357E-3</v>
      </c>
    </row>
    <row r="267" spans="1:25" x14ac:dyDescent="0.25">
      <c r="A267" s="1096"/>
      <c r="B267" s="1455">
        <v>17</v>
      </c>
      <c r="C267" s="1101">
        <v>1.0004416053352345</v>
      </c>
      <c r="D267" s="1101">
        <v>0.99916059340992536</v>
      </c>
      <c r="E267" s="1101">
        <v>1.0252643044003067</v>
      </c>
      <c r="F267" s="1101">
        <v>0.99780964910430137</v>
      </c>
      <c r="G267" s="1101">
        <v>1.017822998632095</v>
      </c>
      <c r="H267" s="1101">
        <v>1.0014372149207293</v>
      </c>
      <c r="I267" s="1101">
        <v>1.0379051626742128</v>
      </c>
      <c r="K267">
        <v>2.2313194866522106</v>
      </c>
      <c r="L267">
        <v>0</v>
      </c>
      <c r="M267">
        <v>1.4692881654873474E-3</v>
      </c>
      <c r="N267">
        <v>0.14419171231741554</v>
      </c>
      <c r="O267">
        <v>1.9762946642309202E-2</v>
      </c>
      <c r="P267">
        <v>2.6709396160955981E-2</v>
      </c>
      <c r="Q267">
        <v>5.6522144583397342E-3</v>
      </c>
      <c r="R267">
        <v>1.4486668089546233E-3</v>
      </c>
      <c r="S267">
        <v>0.25098362201508556</v>
      </c>
      <c r="T267">
        <v>1.3409671276992776</v>
      </c>
      <c r="U267">
        <v>0.14276775748059703</v>
      </c>
      <c r="V267">
        <v>0.18673741200082022</v>
      </c>
      <c r="W267">
        <v>9.3326286018088664E-2</v>
      </c>
      <c r="X267">
        <v>1.6298839714762252E-2</v>
      </c>
      <c r="Y267">
        <v>3.9427935010892586E-3</v>
      </c>
    </row>
    <row r="268" spans="1:25" x14ac:dyDescent="0.25">
      <c r="A268" s="1096"/>
      <c r="B268" s="1455">
        <v>18</v>
      </c>
      <c r="C268" s="1101">
        <v>1.0055066408534759</v>
      </c>
      <c r="D268" s="1101">
        <v>1.0196212034998344</v>
      </c>
      <c r="E268" s="1101">
        <v>1.0043252268461444</v>
      </c>
      <c r="F268" s="1101">
        <v>0.98283647395032481</v>
      </c>
      <c r="G268" s="1101">
        <v>0.9794771572076244</v>
      </c>
      <c r="H268" s="1101">
        <v>1.0157030879991944</v>
      </c>
      <c r="I268" s="1101">
        <v>0.97699086405392765</v>
      </c>
      <c r="K268">
        <v>2.1838729588759627</v>
      </c>
      <c r="L268">
        <v>0</v>
      </c>
      <c r="M268">
        <v>1.5417929451238546E-3</v>
      </c>
      <c r="N268">
        <v>0.14206984477429735</v>
      </c>
      <c r="O268">
        <v>1.9562916690802304E-2</v>
      </c>
      <c r="P268">
        <v>2.5713675465724506E-2</v>
      </c>
      <c r="Q268">
        <v>5.4794129613389827E-3</v>
      </c>
      <c r="R268">
        <v>1.5204579151085482E-3</v>
      </c>
      <c r="S268">
        <v>0.23365726999122619</v>
      </c>
      <c r="T268">
        <v>1.3208051864772372</v>
      </c>
      <c r="U268">
        <v>0.14200054080933874</v>
      </c>
      <c r="V268">
        <v>0.18208544320778278</v>
      </c>
      <c r="W268">
        <v>9.3091024387493351E-2</v>
      </c>
      <c r="X268">
        <v>1.5290793914625237E-2</v>
      </c>
      <c r="Y268">
        <v>4.1381852261084583E-3</v>
      </c>
    </row>
    <row r="269" spans="1:25" x14ac:dyDescent="0.25">
      <c r="A269" s="1096"/>
      <c r="B269" s="1455">
        <v>19</v>
      </c>
      <c r="C269" s="1101">
        <v>1.0166863591609134</v>
      </c>
      <c r="D269" s="1101">
        <v>0.9991978568267933</v>
      </c>
      <c r="E269" s="1101">
        <v>1.01272832527101</v>
      </c>
      <c r="F269" s="1101">
        <v>1.0017360287872159</v>
      </c>
      <c r="G269" s="1101">
        <v>0.99923965510451485</v>
      </c>
      <c r="H269" s="1101">
        <v>0.99019848724564807</v>
      </c>
      <c r="I269" s="1101">
        <v>0.99637016716846616</v>
      </c>
      <c r="K269">
        <v>2.2062421616046688</v>
      </c>
      <c r="L269">
        <v>0</v>
      </c>
      <c r="M269">
        <v>1.4673466806490549E-3</v>
      </c>
      <c r="N269">
        <v>0.13863419812702177</v>
      </c>
      <c r="O269">
        <v>1.9439285939030888E-2</v>
      </c>
      <c r="P269">
        <v>2.6258499356086054E-2</v>
      </c>
      <c r="Q269">
        <v>5.4907517596964007E-3</v>
      </c>
      <c r="R269">
        <v>1.4465188301182891E-3</v>
      </c>
      <c r="S269">
        <v>0.236108233161444</v>
      </c>
      <c r="T269">
        <v>1.3462186997234953</v>
      </c>
      <c r="U269">
        <v>0.14045812421963166</v>
      </c>
      <c r="V269">
        <v>0.18367786149312479</v>
      </c>
      <c r="W269">
        <v>9.0390293828648494E-2</v>
      </c>
      <c r="X269">
        <v>1.565009443623917E-2</v>
      </c>
      <c r="Y269">
        <v>3.9369474107777891E-3</v>
      </c>
    </row>
    <row r="270" spans="1:25" x14ac:dyDescent="0.25">
      <c r="A270" s="1096"/>
      <c r="B270" s="1455">
        <v>20</v>
      </c>
      <c r="C270" s="1101">
        <v>0.99887186063992583</v>
      </c>
      <c r="D270" s="1101">
        <v>0.99285369030113613</v>
      </c>
      <c r="E270" s="1101">
        <v>0.95777222185992639</v>
      </c>
      <c r="F270" s="1101">
        <v>1.0299657809365221</v>
      </c>
      <c r="G270" s="1101">
        <v>0.9745002034593595</v>
      </c>
      <c r="H270" s="1101">
        <v>0.97439318691932197</v>
      </c>
      <c r="I270" s="1101">
        <v>1.0056300250720873</v>
      </c>
      <c r="K270">
        <v>2.2405165442798634</v>
      </c>
      <c r="L270">
        <v>0</v>
      </c>
      <c r="M270">
        <v>1.6490074057670292E-3</v>
      </c>
      <c r="N270">
        <v>0.13190849125374857</v>
      </c>
      <c r="O270">
        <v>1.9779383711446552E-2</v>
      </c>
      <c r="P270">
        <v>2.5771198866933506E-2</v>
      </c>
      <c r="Q270">
        <v>5.2841493232363987E-3</v>
      </c>
      <c r="R270">
        <v>1.6252213548438488E-3</v>
      </c>
      <c r="S270">
        <v>0.24162928568982056</v>
      </c>
      <c r="T270">
        <v>1.3840844971187658</v>
      </c>
      <c r="U270">
        <v>0.14283677677076315</v>
      </c>
      <c r="V270">
        <v>0.18187494862709772</v>
      </c>
      <c r="W270">
        <v>8.889499400156016E-2</v>
      </c>
      <c r="X270">
        <v>1.4053288193605667E-2</v>
      </c>
      <c r="Y270">
        <v>4.4233167738093196E-3</v>
      </c>
    </row>
    <row r="271" spans="1:25" x14ac:dyDescent="0.25">
      <c r="A271" s="1096"/>
      <c r="B271" s="1455">
        <v>21</v>
      </c>
      <c r="C271" s="1101">
        <v>1.0097766837619473</v>
      </c>
      <c r="D271" s="1101">
        <v>0.9944219146582024</v>
      </c>
      <c r="E271" s="1101">
        <v>1.0003847368273757</v>
      </c>
      <c r="F271" s="1101">
        <v>0.99825955300045643</v>
      </c>
      <c r="G271" s="1101">
        <v>1.0126087462039124</v>
      </c>
      <c r="H271" s="1101">
        <v>1.0131752661772264</v>
      </c>
      <c r="I271" s="1101">
        <v>0.97890089870776387</v>
      </c>
      <c r="K271">
        <v>2.2089756966247571</v>
      </c>
      <c r="L271">
        <v>0</v>
      </c>
      <c r="M271">
        <v>1.5525499703580282E-3</v>
      </c>
      <c r="N271">
        <v>0.14136334819897695</v>
      </c>
      <c r="O271">
        <v>1.9585292884545229E-2</v>
      </c>
      <c r="P271">
        <v>2.5989918897519112E-2</v>
      </c>
      <c r="Q271">
        <v>5.4640232763036043E-3</v>
      </c>
      <c r="R271">
        <v>1.5310124855063855E-3</v>
      </c>
      <c r="S271">
        <v>0.23581179718685971</v>
      </c>
      <c r="T271">
        <v>1.3415253476755091</v>
      </c>
      <c r="U271">
        <v>0.14139107536620529</v>
      </c>
      <c r="V271">
        <v>0.18557753203269095</v>
      </c>
      <c r="W271">
        <v>9.2844880295162219E-2</v>
      </c>
      <c r="X271">
        <v>1.5277107008415268E-2</v>
      </c>
      <c r="Y271">
        <v>4.166911287418174E-3</v>
      </c>
    </row>
    <row r="272" spans="1:25" x14ac:dyDescent="0.25">
      <c r="A272" s="1096"/>
      <c r="B272" s="1455">
        <v>22</v>
      </c>
      <c r="C272" s="1101">
        <v>1.0428897486468078</v>
      </c>
      <c r="D272" s="1101">
        <v>1.0426591889515098</v>
      </c>
      <c r="E272" s="1101">
        <v>1.0276591349351534</v>
      </c>
      <c r="F272" s="1101">
        <v>0.97026212001201595</v>
      </c>
      <c r="G272" s="1101">
        <v>0.99006215637853134</v>
      </c>
      <c r="H272" s="1101">
        <v>1.033602504030732</v>
      </c>
      <c r="I272" s="1101">
        <v>1.0292178066435296</v>
      </c>
      <c r="K272">
        <v>2.1615285048450508</v>
      </c>
      <c r="L272">
        <v>0</v>
      </c>
      <c r="M272">
        <v>1.4340109856858169E-3</v>
      </c>
      <c r="N272">
        <v>0.14181242794903015</v>
      </c>
      <c r="O272">
        <v>1.8783065956598663E-2</v>
      </c>
      <c r="P272">
        <v>2.5877946792980097E-2</v>
      </c>
      <c r="Q272">
        <v>5.3847273793702051E-3</v>
      </c>
      <c r="R272">
        <v>1.4145110624142004E-3</v>
      </c>
      <c r="S272">
        <v>0.23630068186612041</v>
      </c>
      <c r="T272">
        <v>1.3039507271578137</v>
      </c>
      <c r="U272">
        <v>0.1369620714201536</v>
      </c>
      <c r="V272">
        <v>0.18118718825088242</v>
      </c>
      <c r="W272">
        <v>9.1658462238731947E-2</v>
      </c>
      <c r="X272">
        <v>1.5780872938196289E-2</v>
      </c>
      <c r="Y272">
        <v>3.8498328184450488E-3</v>
      </c>
    </row>
    <row r="273" spans="1:25" x14ac:dyDescent="0.25">
      <c r="A273" s="1096"/>
      <c r="B273" s="1455">
        <v>23</v>
      </c>
      <c r="C273" s="1101">
        <v>0.99503658925727989</v>
      </c>
      <c r="D273" s="1101">
        <v>1.0332909540450557</v>
      </c>
      <c r="E273" s="1101">
        <v>1.0152376840125801</v>
      </c>
      <c r="F273" s="1101">
        <v>0.99695685280564539</v>
      </c>
      <c r="G273" s="1101">
        <v>0.99161630879200269</v>
      </c>
      <c r="H273" s="1101">
        <v>1.0263875133303664</v>
      </c>
      <c r="I273" s="1101">
        <v>1.0229543071294542</v>
      </c>
      <c r="K273">
        <v>2.2270270333000313</v>
      </c>
      <c r="L273">
        <v>0</v>
      </c>
      <c r="M273">
        <v>1.5346123520130386E-3</v>
      </c>
      <c r="N273">
        <v>0.14616584421746895</v>
      </c>
      <c r="O273">
        <v>1.9717739689520241E-2</v>
      </c>
      <c r="P273">
        <v>2.641073314758657E-2</v>
      </c>
      <c r="Q273">
        <v>5.5833601984245163E-3</v>
      </c>
      <c r="R273">
        <v>1.5135977433724036E-3</v>
      </c>
      <c r="S273">
        <v>0.24656265993075702</v>
      </c>
      <c r="T273">
        <v>1.3398007718317093</v>
      </c>
      <c r="U273">
        <v>0.1435199973952247</v>
      </c>
      <c r="V273">
        <v>0.18408829083165995</v>
      </c>
      <c r="W273">
        <v>9.5160497930426427E-2</v>
      </c>
      <c r="X273">
        <v>1.5918638635796432E-2</v>
      </c>
      <c r="Y273">
        <v>4.1195141000976779E-3</v>
      </c>
    </row>
    <row r="274" spans="1:25" x14ac:dyDescent="0.25">
      <c r="A274" s="1096"/>
      <c r="B274" s="1455">
        <v>24</v>
      </c>
      <c r="C274" s="1101">
        <v>0.98782780130344583</v>
      </c>
      <c r="D274" s="1101">
        <v>0.99785708940924789</v>
      </c>
      <c r="E274" s="1101">
        <v>1.0206534232882041</v>
      </c>
      <c r="F274" s="1101">
        <v>1.0145051679280312</v>
      </c>
      <c r="G274" s="1101">
        <v>0.98830663409161956</v>
      </c>
      <c r="H274" s="1101">
        <v>0.97290531644593359</v>
      </c>
      <c r="I274" s="1101">
        <v>1.0130799356290718</v>
      </c>
      <c r="K274">
        <v>2.2436419174563542</v>
      </c>
      <c r="L274">
        <v>0</v>
      </c>
      <c r="M274">
        <v>1.4600152783112246E-3</v>
      </c>
      <c r="N274">
        <v>0.14124388155335832</v>
      </c>
      <c r="O274">
        <v>2.0018126182656696E-2</v>
      </c>
      <c r="P274">
        <v>2.6848964827294781E-2</v>
      </c>
      <c r="Q274">
        <v>5.699054889622978E-3</v>
      </c>
      <c r="R274">
        <v>1.4389231307615239E-3</v>
      </c>
      <c r="S274">
        <v>0.24588645849399068</v>
      </c>
      <c r="T274">
        <v>1.3633946573328202</v>
      </c>
      <c r="U274">
        <v>0.14458000828947842</v>
      </c>
      <c r="V274">
        <v>0.18415438693482605</v>
      </c>
      <c r="W274">
        <v>9.1664709044050968E-2</v>
      </c>
      <c r="X274">
        <v>1.6256487634754915E-2</v>
      </c>
      <c r="Y274">
        <v>3.9162744210502944E-3</v>
      </c>
    </row>
    <row r="275" spans="1:25" x14ac:dyDescent="0.25">
      <c r="A275" s="1096"/>
      <c r="B275" s="1455">
        <v>25</v>
      </c>
      <c r="C275" s="1101">
        <v>1.0353229506983674</v>
      </c>
      <c r="D275" s="1101">
        <v>1.0015860083297488</v>
      </c>
      <c r="E275" s="1101">
        <v>0.98131370714565458</v>
      </c>
      <c r="F275" s="1101">
        <v>1.0291078142979198</v>
      </c>
      <c r="G275" s="1101">
        <v>0.96316715423624433</v>
      </c>
      <c r="H275" s="1101">
        <v>1.0142704615078983</v>
      </c>
      <c r="I275" s="1101">
        <v>1.0072391424757192</v>
      </c>
      <c r="K275">
        <v>2.2294286988882615</v>
      </c>
      <c r="L275">
        <v>0</v>
      </c>
      <c r="M275">
        <v>1.5744691303040677E-3</v>
      </c>
      <c r="N275">
        <v>0.13532938383107909</v>
      </c>
      <c r="O275">
        <v>1.9060402768331808E-2</v>
      </c>
      <c r="P275">
        <v>2.6034043131515156E-2</v>
      </c>
      <c r="Q275">
        <v>5.2161109715889338E-3</v>
      </c>
      <c r="R275">
        <v>1.5526511598530164E-3</v>
      </c>
      <c r="S275">
        <v>0.23575054154927269</v>
      </c>
      <c r="T275">
        <v>1.3829538961369912</v>
      </c>
      <c r="U275">
        <v>0.13785994747461325</v>
      </c>
      <c r="V275">
        <v>0.1785231596147234</v>
      </c>
      <c r="W275">
        <v>8.9902476734219819E-2</v>
      </c>
      <c r="X275">
        <v>1.4594750020574289E-2</v>
      </c>
      <c r="Y275">
        <v>4.2258046258026221E-3</v>
      </c>
    </row>
    <row r="276" spans="1:25" x14ac:dyDescent="0.25">
      <c r="A276" s="1096"/>
      <c r="B276" s="1455">
        <v>26</v>
      </c>
      <c r="C276" s="1101">
        <v>1.012373705729074</v>
      </c>
      <c r="D276" s="1101">
        <v>0.96849851146652821</v>
      </c>
      <c r="E276" s="1101">
        <v>1.0008124497784416</v>
      </c>
      <c r="F276" s="1101">
        <v>0.97994066793130485</v>
      </c>
      <c r="G276" s="1101">
        <v>1.0067223682270241</v>
      </c>
      <c r="H276" s="1101">
        <v>0.98924229531871177</v>
      </c>
      <c r="I276" s="1101">
        <v>0.97748454920749328</v>
      </c>
      <c r="K276">
        <v>2.1782433644673618</v>
      </c>
      <c r="L276">
        <v>0</v>
      </c>
      <c r="M276">
        <v>1.5194506574444501E-3</v>
      </c>
      <c r="N276">
        <v>0.13848131577612879</v>
      </c>
      <c r="O276">
        <v>1.964916988384437E-2</v>
      </c>
      <c r="P276">
        <v>2.5650369425540394E-2</v>
      </c>
      <c r="Q276">
        <v>5.4842005922032038E-3</v>
      </c>
      <c r="R276">
        <v>1.4978623844239286E-3</v>
      </c>
      <c r="S276">
        <v>0.23612669310595807</v>
      </c>
      <c r="T276">
        <v>1.3169079252646407</v>
      </c>
      <c r="U276">
        <v>0.1410293404618114</v>
      </c>
      <c r="V276">
        <v>0.18476182002870833</v>
      </c>
      <c r="W276">
        <v>9.0928906754981137E-2</v>
      </c>
      <c r="X276">
        <v>1.5168523806366794E-2</v>
      </c>
      <c r="Y276">
        <v>4.0766876401996119E-3</v>
      </c>
    </row>
    <row r="277" spans="1:25" x14ac:dyDescent="0.25">
      <c r="A277" s="1096"/>
      <c r="B277" s="1455">
        <v>27</v>
      </c>
      <c r="C277" s="1101">
        <v>0.9902434869942166</v>
      </c>
      <c r="D277" s="1101">
        <v>0.99742727249133645</v>
      </c>
      <c r="E277" s="1101">
        <v>0.96815457724873755</v>
      </c>
      <c r="F277" s="1101">
        <v>1.0306846692521865</v>
      </c>
      <c r="G277" s="1101">
        <v>1.0174315008651265</v>
      </c>
      <c r="H277" s="1101">
        <v>1.0197647934596084</v>
      </c>
      <c r="I277" s="1101">
        <v>1.0088638859987902</v>
      </c>
      <c r="K277">
        <v>2.2694710056188199</v>
      </c>
      <c r="L277">
        <v>0</v>
      </c>
      <c r="M277">
        <v>1.7022331833777009E-3</v>
      </c>
      <c r="N277">
        <v>0.14060854879584808</v>
      </c>
      <c r="O277">
        <v>1.9938079375515495E-2</v>
      </c>
      <c r="P277">
        <v>2.6161255054148722E-2</v>
      </c>
      <c r="Q277">
        <v>5.3835945289363819E-3</v>
      </c>
      <c r="R277">
        <v>1.6787718324786152E-3</v>
      </c>
      <c r="S277">
        <v>0.24773764266178616</v>
      </c>
      <c r="T277">
        <v>1.3850588562088035</v>
      </c>
      <c r="U277">
        <v>0.14410536087326531</v>
      </c>
      <c r="V277">
        <v>0.18725394778617752</v>
      </c>
      <c r="W277">
        <v>9.4157853898502883E-2</v>
      </c>
      <c r="X277">
        <v>1.4520264265710375E-2</v>
      </c>
      <c r="Y277">
        <v>4.5690635210209451E-3</v>
      </c>
    </row>
    <row r="278" spans="1:25" x14ac:dyDescent="0.25">
      <c r="A278" s="1096"/>
      <c r="B278" s="1455">
        <v>28</v>
      </c>
      <c r="C278" s="1101">
        <v>0.96106907183809509</v>
      </c>
      <c r="D278" s="1101">
        <v>1.0289390910456893</v>
      </c>
      <c r="E278" s="1101">
        <v>0.9995647211622537</v>
      </c>
      <c r="F278" s="1101">
        <v>1.0018807649025381</v>
      </c>
      <c r="G278" s="1101">
        <v>0.98877665416055771</v>
      </c>
      <c r="H278" s="1101">
        <v>1.0137292445555461</v>
      </c>
      <c r="I278" s="1101">
        <v>0.99068111649804447</v>
      </c>
      <c r="K278">
        <v>2.2439749496899535</v>
      </c>
      <c r="L278">
        <v>0</v>
      </c>
      <c r="M278">
        <v>1.6226776746532333E-3</v>
      </c>
      <c r="N278">
        <v>0.14738418800304182</v>
      </c>
      <c r="O278">
        <v>2.0423462348229678E-2</v>
      </c>
      <c r="P278">
        <v>2.6288841783425915E-2</v>
      </c>
      <c r="Q278">
        <v>5.6931661898643902E-3</v>
      </c>
      <c r="R278">
        <v>1.6001796565182644E-3</v>
      </c>
      <c r="S278">
        <v>0.24657557697841556</v>
      </c>
      <c r="T278">
        <v>1.3463904574371046</v>
      </c>
      <c r="U278">
        <v>0.14855490354647671</v>
      </c>
      <c r="V278">
        <v>0.18586038064530253</v>
      </c>
      <c r="W278">
        <v>9.6846448282840142E-2</v>
      </c>
      <c r="X278">
        <v>1.5624860967427885E-2</v>
      </c>
      <c r="Y278">
        <v>4.355161525960714E-3</v>
      </c>
    </row>
    <row r="279" spans="1:25" x14ac:dyDescent="0.25">
      <c r="A279" s="1096"/>
      <c r="B279" s="1455">
        <v>29</v>
      </c>
      <c r="C279" s="1101">
        <v>1.0393718784531265</v>
      </c>
      <c r="D279" s="1101">
        <v>0.99087626255176708</v>
      </c>
      <c r="E279" s="1101">
        <v>1.0068396097959755</v>
      </c>
      <c r="F279" s="1101">
        <v>0.97376644811473723</v>
      </c>
      <c r="G279" s="1101">
        <v>1.0002081512811394</v>
      </c>
      <c r="H279" s="1101">
        <v>0.97759139594851818</v>
      </c>
      <c r="I279" s="1101">
        <v>0.96883537091737171</v>
      </c>
      <c r="K279">
        <v>2.14234109153512</v>
      </c>
      <c r="L279">
        <v>0</v>
      </c>
      <c r="M279">
        <v>1.4371293083210474E-3</v>
      </c>
      <c r="N279">
        <v>0.13336191373480194</v>
      </c>
      <c r="O279">
        <v>1.9046466633150145E-2</v>
      </c>
      <c r="P279">
        <v>2.541177975159889E-2</v>
      </c>
      <c r="Q279">
        <v>5.348218011476562E-3</v>
      </c>
      <c r="R279">
        <v>1.4164673037802284E-3</v>
      </c>
      <c r="S279">
        <v>0.22452806715210183</v>
      </c>
      <c r="T279">
        <v>1.3086204382691045</v>
      </c>
      <c r="U279">
        <v>0.13737939584631786</v>
      </c>
      <c r="V279">
        <v>0.18250844530446894</v>
      </c>
      <c r="W279">
        <v>8.7255248569203275E-2</v>
      </c>
      <c r="X279">
        <v>1.5046623204864926E-2</v>
      </c>
      <c r="Y279">
        <v>3.8551570625685828E-3</v>
      </c>
    </row>
    <row r="280" spans="1:25" x14ac:dyDescent="0.25">
      <c r="A280" s="1096"/>
      <c r="B280" s="1455">
        <v>30</v>
      </c>
      <c r="C280" s="1101">
        <v>1.0276573430564648</v>
      </c>
      <c r="D280" s="1101">
        <v>1.0005699072326013</v>
      </c>
      <c r="E280" s="1101">
        <v>0.96233771206375285</v>
      </c>
      <c r="F280" s="1101">
        <v>0.99450228287333631</v>
      </c>
      <c r="G280" s="1101">
        <v>1.0071489751897809</v>
      </c>
      <c r="H280" s="1101">
        <v>0.96655367316595187</v>
      </c>
      <c r="I280" s="1101">
        <v>1.0216291256866605</v>
      </c>
      <c r="K280">
        <v>2.176963800519534</v>
      </c>
      <c r="L280">
        <v>0</v>
      </c>
      <c r="M280">
        <v>1.5723506273238287E-3</v>
      </c>
      <c r="N280">
        <v>0.12751344611733079</v>
      </c>
      <c r="O280">
        <v>1.9195388046964249E-2</v>
      </c>
      <c r="P280">
        <v>2.5144224163677606E-2</v>
      </c>
      <c r="Q280">
        <v>5.1522514781090689E-3</v>
      </c>
      <c r="R280">
        <v>1.5494863541868869E-3</v>
      </c>
      <c r="S280">
        <v>0.2370834411217814</v>
      </c>
      <c r="T280">
        <v>1.3364313098862228</v>
      </c>
      <c r="U280">
        <v>0.13884596840968316</v>
      </c>
      <c r="V280">
        <v>0.18390697875780135</v>
      </c>
      <c r="W280">
        <v>8.5692769228801383E-2</v>
      </c>
      <c r="X280">
        <v>1.3803696514237438E-2</v>
      </c>
      <c r="Y280">
        <v>4.2171910680573266E-3</v>
      </c>
    </row>
    <row r="281" spans="1:25" x14ac:dyDescent="0.25">
      <c r="A281" s="1096"/>
      <c r="B281" s="1455">
        <v>31</v>
      </c>
      <c r="C281" s="1101">
        <v>0.99449412774482415</v>
      </c>
      <c r="D281" s="1101">
        <v>1.0170484150558343</v>
      </c>
      <c r="E281" s="1101">
        <v>1.0006687383585542</v>
      </c>
      <c r="F281" s="1101">
        <v>1.0193026980030944</v>
      </c>
      <c r="G281" s="1101">
        <v>1.0032169489286011</v>
      </c>
      <c r="H281" s="1101">
        <v>0.9620716000484606</v>
      </c>
      <c r="I281" s="1101">
        <v>0.99588067843938943</v>
      </c>
      <c r="K281">
        <v>2.2313143649735516</v>
      </c>
      <c r="L281">
        <v>0</v>
      </c>
      <c r="M281">
        <v>1.4886275240204975E-3</v>
      </c>
      <c r="N281">
        <v>0.13555803328474811</v>
      </c>
      <c r="O281">
        <v>1.9788254161102393E-2</v>
      </c>
      <c r="P281">
        <v>2.6422409453377829E-2</v>
      </c>
      <c r="Q281">
        <v>5.5222223967560649E-3</v>
      </c>
      <c r="R281">
        <v>1.4668798594036025E-3</v>
      </c>
      <c r="S281">
        <v>0.23679791382167284</v>
      </c>
      <c r="T281">
        <v>1.3698049426109566</v>
      </c>
      <c r="U281">
        <v>0.14356451298111783</v>
      </c>
      <c r="V281">
        <v>0.18541899298372916</v>
      </c>
      <c r="W281">
        <v>8.9017034222798261E-2</v>
      </c>
      <c r="X281">
        <v>1.5449433301424806E-2</v>
      </c>
      <c r="Y281">
        <v>3.9923634204809119E-3</v>
      </c>
    </row>
    <row r="282" spans="1:25" x14ac:dyDescent="0.25">
      <c r="A282" s="1096"/>
      <c r="B282" s="1455">
        <v>32</v>
      </c>
      <c r="C282" s="1100">
        <v>0.98580905723920953</v>
      </c>
      <c r="D282" s="1100">
        <v>0.99636447582036669</v>
      </c>
      <c r="E282" s="1100">
        <v>0.9824362799557651</v>
      </c>
      <c r="F282" s="1100">
        <v>1.0020705614816063</v>
      </c>
      <c r="G282" s="1100">
        <v>0.97329901831737409</v>
      </c>
      <c r="H282" s="1100">
        <v>1.038507940392807</v>
      </c>
      <c r="I282" s="1100">
        <v>0.99426808138748823</v>
      </c>
      <c r="K282">
        <v>2.2344975848394308</v>
      </c>
      <c r="L282">
        <v>0</v>
      </c>
      <c r="M282">
        <v>1.6910803040273731E-3</v>
      </c>
      <c r="N282">
        <v>0.14589468838525202</v>
      </c>
      <c r="O282">
        <v>2.0041484924725309E-2</v>
      </c>
      <c r="P282">
        <v>2.5866117195794493E-2</v>
      </c>
      <c r="Q282">
        <v>5.4908508908850526E-3</v>
      </c>
      <c r="R282">
        <v>1.6681933294732945E-3</v>
      </c>
      <c r="S282">
        <v>0.24700754892365348</v>
      </c>
      <c r="T282">
        <v>1.3466215610938272</v>
      </c>
      <c r="U282">
        <v>0.14478680588502499</v>
      </c>
      <c r="V282">
        <v>0.18254657941800342</v>
      </c>
      <c r="W282">
        <v>9.6855678858102798E-2</v>
      </c>
      <c r="X282">
        <v>1.4868883915674274E-2</v>
      </c>
      <c r="Y282">
        <v>4.5402723230430408E-3</v>
      </c>
    </row>
    <row r="283" spans="1:25" x14ac:dyDescent="0.25">
      <c r="A283" s="1096"/>
      <c r="B283" s="1455">
        <v>33</v>
      </c>
      <c r="C283" s="1100">
        <v>1.0349178835692217</v>
      </c>
      <c r="D283" s="1100">
        <v>1.0200203915554618</v>
      </c>
      <c r="E283" s="1100">
        <v>1.0300734220218366</v>
      </c>
      <c r="F283" s="1100">
        <v>0.99497632237162892</v>
      </c>
      <c r="G283" s="1100">
        <v>0.98860516037291368</v>
      </c>
      <c r="H283" s="1100">
        <v>0.96531781502324698</v>
      </c>
      <c r="I283" s="1100">
        <v>0.99446127427016551</v>
      </c>
      <c r="K283">
        <v>2.1752873093192675</v>
      </c>
      <c r="L283">
        <v>0</v>
      </c>
      <c r="M283">
        <v>1.3493189797807842E-3</v>
      </c>
      <c r="N283">
        <v>0.13428076407613454</v>
      </c>
      <c r="O283">
        <v>1.9020837647551119E-2</v>
      </c>
      <c r="P283">
        <v>2.6280543262752237E-2</v>
      </c>
      <c r="Q283">
        <v>5.465931425338539E-3</v>
      </c>
      <c r="R283">
        <v>1.3296727922628526E-3</v>
      </c>
      <c r="S283">
        <v>0.22735373029132061</v>
      </c>
      <c r="T283">
        <v>1.3371698502693621</v>
      </c>
      <c r="U283">
        <v>0.13802247036412468</v>
      </c>
      <c r="V283">
        <v>0.18146304234384669</v>
      </c>
      <c r="W283">
        <v>8.6668823399317391E-2</v>
      </c>
      <c r="X283">
        <v>1.5962031413013004E-2</v>
      </c>
      <c r="Y283">
        <v>3.6189310140213177E-3</v>
      </c>
    </row>
    <row r="284" spans="1:25" x14ac:dyDescent="0.25">
      <c r="A284" s="1096"/>
      <c r="B284" s="1455">
        <v>34</v>
      </c>
      <c r="C284" s="1100">
        <v>1.0317507339122782</v>
      </c>
      <c r="D284" s="1100">
        <v>0.99681358381751428</v>
      </c>
      <c r="E284" s="1100">
        <v>1.0236726158288103</v>
      </c>
      <c r="F284" s="1100">
        <v>1.0159834017966562</v>
      </c>
      <c r="G284" s="1100">
        <v>0.97083607762539803</v>
      </c>
      <c r="H284" s="1100">
        <v>1.0116766371526329</v>
      </c>
      <c r="I284" s="1100">
        <v>1.021279974479727</v>
      </c>
      <c r="K284">
        <v>2.2278318660816883</v>
      </c>
      <c r="L284">
        <v>0</v>
      </c>
      <c r="M284">
        <v>1.4447938304870964E-3</v>
      </c>
      <c r="N284">
        <v>0.14112925834239856</v>
      </c>
      <c r="O284">
        <v>1.9172176889120058E-2</v>
      </c>
      <c r="P284">
        <v>2.6713585589258185E-2</v>
      </c>
      <c r="Q284">
        <v>5.4746055634311269E-3</v>
      </c>
      <c r="R284">
        <v>1.4247214844912643E-3</v>
      </c>
      <c r="S284">
        <v>0.24055147453272732</v>
      </c>
      <c r="T284">
        <v>1.3653876042046871</v>
      </c>
      <c r="U284">
        <v>0.13843181458854298</v>
      </c>
      <c r="V284">
        <v>0.17962490668479208</v>
      </c>
      <c r="W284">
        <v>9.1428953763954074E-2</v>
      </c>
      <c r="X284">
        <v>1.6059936047297625E-2</v>
      </c>
      <c r="Y284">
        <v>3.8776222214740828E-3</v>
      </c>
    </row>
    <row r="285" spans="1:25" x14ac:dyDescent="0.25">
      <c r="A285" s="1096"/>
      <c r="B285" s="1455">
        <v>35</v>
      </c>
      <c r="C285" s="1100">
        <v>0.97683033853485179</v>
      </c>
      <c r="D285" s="1100">
        <v>0.9632339031502879</v>
      </c>
      <c r="E285" s="1100">
        <v>1.032768406233433</v>
      </c>
      <c r="F285" s="1100">
        <v>1.0108211466839998</v>
      </c>
      <c r="G285" s="1100">
        <v>1.0350878263561214</v>
      </c>
      <c r="H285" s="1100">
        <v>1.0251644388357224</v>
      </c>
      <c r="I285" s="1100">
        <v>0.999264932591299</v>
      </c>
      <c r="K285">
        <v>2.2759712055424695</v>
      </c>
      <c r="L285">
        <v>0</v>
      </c>
      <c r="M285">
        <v>1.5288263108512708E-3</v>
      </c>
      <c r="N285">
        <v>0.15351813906287931</v>
      </c>
      <c r="O285">
        <v>2.0409224572240755E-2</v>
      </c>
      <c r="P285">
        <v>2.7239320632504605E-2</v>
      </c>
      <c r="Q285">
        <v>5.8805416111158085E-3</v>
      </c>
      <c r="R285">
        <v>1.507865957859886E-3</v>
      </c>
      <c r="S285">
        <v>0.25408608078198019</v>
      </c>
      <c r="T285">
        <v>1.3584702190364404</v>
      </c>
      <c r="U285">
        <v>0.14623640495313825</v>
      </c>
      <c r="V285">
        <v>0.19012981116675454</v>
      </c>
      <c r="W285">
        <v>9.8930488270499467E-2</v>
      </c>
      <c r="X285">
        <v>1.6988021738493186E-2</v>
      </c>
      <c r="Y285">
        <v>4.1039140694151908E-3</v>
      </c>
    </row>
    <row r="286" spans="1:25" x14ac:dyDescent="0.25">
      <c r="A286" s="1096"/>
      <c r="B286" s="1455">
        <v>36</v>
      </c>
      <c r="C286" s="1100">
        <v>0.99097521557875756</v>
      </c>
      <c r="D286" s="1100">
        <v>1.0085743933905194</v>
      </c>
      <c r="E286" s="1100">
        <v>0.97280180763242874</v>
      </c>
      <c r="F286" s="1100">
        <v>0.98185918551741658</v>
      </c>
      <c r="G286" s="1100">
        <v>0.9694167996973817</v>
      </c>
      <c r="H286" s="1100">
        <v>0.96190462268321697</v>
      </c>
      <c r="I286" s="1100">
        <v>0.96801510635721311</v>
      </c>
      <c r="K286">
        <v>2.167118589471595</v>
      </c>
      <c r="L286">
        <v>0</v>
      </c>
      <c r="M286">
        <v>1.585263355286281E-3</v>
      </c>
      <c r="N286">
        <v>0.13269046769105453</v>
      </c>
      <c r="O286">
        <v>1.9877612954993063E-2</v>
      </c>
      <c r="P286">
        <v>2.5089376440854464E-2</v>
      </c>
      <c r="Q286">
        <v>5.392815051744446E-3</v>
      </c>
      <c r="R286">
        <v>1.5620998977483875E-3</v>
      </c>
      <c r="S286">
        <v>0.23174192672607788</v>
      </c>
      <c r="T286">
        <v>1.3194503021327142</v>
      </c>
      <c r="U286">
        <v>0.14400969955521628</v>
      </c>
      <c r="V286">
        <v>0.18178581790182899</v>
      </c>
      <c r="W286">
        <v>8.8604673904309567E-2</v>
      </c>
      <c r="X286">
        <v>1.4247539594759813E-2</v>
      </c>
      <c r="Y286">
        <v>4.2515209755782119E-3</v>
      </c>
    </row>
    <row r="287" spans="1:25" x14ac:dyDescent="0.25">
      <c r="A287" s="1096"/>
      <c r="B287" s="1455">
        <v>37</v>
      </c>
      <c r="C287" s="1100">
        <v>0.99321733472773499</v>
      </c>
      <c r="D287" s="1100">
        <v>0.96702880489362919</v>
      </c>
      <c r="E287" s="1100">
        <v>0.99407907372755688</v>
      </c>
      <c r="F287" s="1100">
        <v>1.0265896260682856</v>
      </c>
      <c r="G287" s="1100">
        <v>1.0169135632733963</v>
      </c>
      <c r="H287" s="1100">
        <v>1.0010627034535797</v>
      </c>
      <c r="I287" s="1100">
        <v>0.96837780188458433</v>
      </c>
      <c r="K287">
        <v>2.257185713457373</v>
      </c>
      <c r="L287">
        <v>0</v>
      </c>
      <c r="M287">
        <v>1.5898285428304496E-3</v>
      </c>
      <c r="N287">
        <v>0.14200128403579587</v>
      </c>
      <c r="O287">
        <v>2.0030575270276331E-2</v>
      </c>
      <c r="P287">
        <v>2.6486494901423421E-2</v>
      </c>
      <c r="Q287">
        <v>5.5528887201473061E-3</v>
      </c>
      <c r="R287">
        <v>1.5675070628883292E-3</v>
      </c>
      <c r="S287">
        <v>0.23950054999744075</v>
      </c>
      <c r="T287">
        <v>1.3795872043100801</v>
      </c>
      <c r="U287">
        <v>0.14373379813155152</v>
      </c>
      <c r="V287">
        <v>0.18703811021846187</v>
      </c>
      <c r="W287">
        <v>9.3614817780694054E-2</v>
      </c>
      <c r="X287">
        <v>1.539607407482697E-2</v>
      </c>
      <c r="Y287">
        <v>4.2662374966176255E-3</v>
      </c>
    </row>
    <row r="288" spans="1:25" x14ac:dyDescent="0.25">
      <c r="A288" s="1096"/>
      <c r="B288" s="1455">
        <v>38</v>
      </c>
      <c r="C288" s="1100">
        <v>0.97602358891546415</v>
      </c>
      <c r="D288" s="1100">
        <v>1.0304151021070052</v>
      </c>
      <c r="E288" s="1100">
        <v>0.96945275967404865</v>
      </c>
      <c r="F288" s="1100">
        <v>1.0363783381789433</v>
      </c>
      <c r="G288" s="1100">
        <v>1.0198727547790591</v>
      </c>
      <c r="H288" s="1100">
        <v>1.0325891888419145</v>
      </c>
      <c r="I288" s="1100">
        <v>0.98136108942525679</v>
      </c>
      <c r="K288">
        <v>2.2796967728080237</v>
      </c>
      <c r="L288">
        <v>0</v>
      </c>
      <c r="M288">
        <v>1.7316326783721934E-3</v>
      </c>
      <c r="N288">
        <v>0.14362534114287789</v>
      </c>
      <c r="O288">
        <v>2.0085097465815285E-2</v>
      </c>
      <c r="P288">
        <v>2.6251154700077949E-2</v>
      </c>
      <c r="Q288">
        <v>5.4304971607997809E-3</v>
      </c>
      <c r="R288">
        <v>1.708062537609355E-3</v>
      </c>
      <c r="S288">
        <v>0.24162313544514669</v>
      </c>
      <c r="T288">
        <v>1.392711364993851</v>
      </c>
      <c r="U288">
        <v>0.14620790961996988</v>
      </c>
      <c r="V288">
        <v>0.18840338802760473</v>
      </c>
      <c r="W288">
        <v>9.6102000639741642E-2</v>
      </c>
      <c r="X288">
        <v>1.4631670588190959E-2</v>
      </c>
      <c r="Y288">
        <v>4.6487831647084674E-3</v>
      </c>
    </row>
    <row r="289" spans="1:25" x14ac:dyDescent="0.25">
      <c r="A289" s="1096"/>
      <c r="B289" s="1455">
        <v>39</v>
      </c>
      <c r="C289" s="1100">
        <v>1.004774293841264</v>
      </c>
      <c r="D289" s="1100">
        <v>0.99741692241366975</v>
      </c>
      <c r="E289" s="1100">
        <v>0.99905564778752598</v>
      </c>
      <c r="F289" s="1100">
        <v>1.0040795050783493</v>
      </c>
      <c r="G289" s="1100">
        <v>1.0389184442858319</v>
      </c>
      <c r="H289" s="1100">
        <v>0.98736837363374141</v>
      </c>
      <c r="I289" s="1100">
        <v>1.018137577788389</v>
      </c>
      <c r="K289">
        <v>2.2239930047441399</v>
      </c>
      <c r="L289">
        <v>0</v>
      </c>
      <c r="M289">
        <v>1.5237263714956537E-3</v>
      </c>
      <c r="N289">
        <v>0.13813208846622346</v>
      </c>
      <c r="O289">
        <v>1.9668956018771586E-2</v>
      </c>
      <c r="P289">
        <v>2.6236644800936907E-2</v>
      </c>
      <c r="Q289">
        <v>5.4800369148822322E-3</v>
      </c>
      <c r="R289">
        <v>1.5020362617854837E-3</v>
      </c>
      <c r="S289">
        <v>0.24400888081667843</v>
      </c>
      <c r="T289">
        <v>1.3493444567992245</v>
      </c>
      <c r="U289">
        <v>0.14209196256520962</v>
      </c>
      <c r="V289">
        <v>0.18884282103988378</v>
      </c>
      <c r="W289">
        <v>9.0794356979177301E-2</v>
      </c>
      <c r="X289">
        <v>1.5326442894400353E-2</v>
      </c>
      <c r="Y289">
        <v>4.0880475584594619E-3</v>
      </c>
    </row>
    <row r="290" spans="1:25" x14ac:dyDescent="0.25">
      <c r="A290" s="1096"/>
      <c r="B290" s="1455">
        <v>40</v>
      </c>
      <c r="C290" s="1100">
        <v>0.96723269267719192</v>
      </c>
      <c r="D290" s="1100">
        <v>1.0127127267982086</v>
      </c>
      <c r="E290" s="1100">
        <v>0.9861314463158195</v>
      </c>
      <c r="F290" s="1100">
        <v>0.95617981554270859</v>
      </c>
      <c r="G290" s="1100">
        <v>1.00515737879513</v>
      </c>
      <c r="H290" s="1100">
        <v>1.0111979166479552</v>
      </c>
      <c r="I290" s="1100">
        <v>0.98250908266804338</v>
      </c>
      <c r="K290">
        <v>2.175398564023423</v>
      </c>
      <c r="L290">
        <v>0</v>
      </c>
      <c r="M290">
        <v>1.6594983307421532E-3</v>
      </c>
      <c r="N290">
        <v>0.14472552686123805</v>
      </c>
      <c r="O290">
        <v>2.0355764399150041E-2</v>
      </c>
      <c r="P290">
        <v>2.5175236656088344E-2</v>
      </c>
      <c r="Q290">
        <v>5.5978904387918643E-3</v>
      </c>
      <c r="R290">
        <v>1.6364322063055436E-3</v>
      </c>
      <c r="S290">
        <v>0.2445924794888267</v>
      </c>
      <c r="T290">
        <v>1.2849561962383675</v>
      </c>
      <c r="U290">
        <v>0.14757630894934751</v>
      </c>
      <c r="V290">
        <v>0.18730658303551087</v>
      </c>
      <c r="W290">
        <v>9.5866091410271595E-2</v>
      </c>
      <c r="X290">
        <v>1.4815723654435337E-2</v>
      </c>
      <c r="Y290">
        <v>4.4538290158318604E-3</v>
      </c>
    </row>
    <row r="291" spans="1:25" x14ac:dyDescent="0.25">
      <c r="A291" s="1096"/>
      <c r="B291" s="1455">
        <v>41</v>
      </c>
      <c r="C291" s="1100">
        <v>0.97488289563366259</v>
      </c>
      <c r="D291" s="1100">
        <v>1.0031803378619644</v>
      </c>
      <c r="E291" s="1100">
        <v>1.0062538246779524</v>
      </c>
      <c r="F291" s="1100">
        <v>0.95858427960898251</v>
      </c>
      <c r="G291" s="1100">
        <v>1.0025050046590858</v>
      </c>
      <c r="H291" s="1100">
        <v>1.0156478101967303</v>
      </c>
      <c r="I291" s="1100">
        <v>1.0361304713841486</v>
      </c>
      <c r="K291">
        <v>2.194148240283496</v>
      </c>
      <c r="L291">
        <v>0</v>
      </c>
      <c r="M291">
        <v>1.5894587403282438E-3</v>
      </c>
      <c r="N291">
        <v>0.14731748772681952</v>
      </c>
      <c r="O291">
        <v>2.0250967210328728E-2</v>
      </c>
      <c r="P291">
        <v>2.5755330232879521E-2</v>
      </c>
      <c r="Q291">
        <v>5.6831046816775161E-3</v>
      </c>
      <c r="R291">
        <v>1.5674629232545819E-3</v>
      </c>
      <c r="S291">
        <v>0.2576644622972149</v>
      </c>
      <c r="T291">
        <v>1.2882165271417705</v>
      </c>
      <c r="U291">
        <v>0.14646572560280172</v>
      </c>
      <c r="V291">
        <v>0.18654360658803756</v>
      </c>
      <c r="W291">
        <v>9.6419409963051692E-2</v>
      </c>
      <c r="X291">
        <v>1.5587497292902885E-2</v>
      </c>
      <c r="Y291">
        <v>4.2661173630851902E-3</v>
      </c>
    </row>
    <row r="292" spans="1:25" x14ac:dyDescent="0.25">
      <c r="A292" s="1096"/>
      <c r="B292" s="1455">
        <v>42</v>
      </c>
      <c r="C292" s="1100">
        <v>0.98283246108941613</v>
      </c>
      <c r="D292" s="1100">
        <v>1.0240168895007313</v>
      </c>
      <c r="E292" s="1100">
        <v>1.02962599894363</v>
      </c>
      <c r="F292" s="1100">
        <v>0.9594594259560224</v>
      </c>
      <c r="G292" s="1100">
        <v>1.0137809760168914</v>
      </c>
      <c r="H292" s="1100">
        <v>0.99906747761972581</v>
      </c>
      <c r="I292" s="1100">
        <v>0.99988010737151911</v>
      </c>
      <c r="K292">
        <v>2.1776892009558764</v>
      </c>
      <c r="L292">
        <v>0</v>
      </c>
      <c r="M292">
        <v>1.4706076078094977E-3</v>
      </c>
      <c r="N292">
        <v>0.14622678015222748</v>
      </c>
      <c r="O292">
        <v>2.0011343778962274E-2</v>
      </c>
      <c r="P292">
        <v>2.6008379932693018E-2</v>
      </c>
      <c r="Q292">
        <v>5.7480251619342216E-3</v>
      </c>
      <c r="R292">
        <v>1.4499187762616772E-3</v>
      </c>
      <c r="S292">
        <v>0.24297384520875068</v>
      </c>
      <c r="T292">
        <v>1.2894369790976665</v>
      </c>
      <c r="U292">
        <v>0.14533594872317526</v>
      </c>
      <c r="V292">
        <v>0.18734749507584381</v>
      </c>
      <c r="W292">
        <v>9.4403657707203367E-2</v>
      </c>
      <c r="X292">
        <v>1.6271234005578238E-2</v>
      </c>
      <c r="Y292">
        <v>3.9462009433881475E-3</v>
      </c>
    </row>
    <row r="293" spans="1:25" x14ac:dyDescent="0.25">
      <c r="A293" s="1096"/>
      <c r="B293" s="1455">
        <v>43</v>
      </c>
      <c r="C293" s="1100">
        <v>0.98641461486860371</v>
      </c>
      <c r="D293" s="1100">
        <v>0.96560148171364657</v>
      </c>
      <c r="E293" s="1100">
        <v>0.99426423841244782</v>
      </c>
      <c r="F293" s="1100">
        <v>1.0327419891032441</v>
      </c>
      <c r="G293" s="1100">
        <v>0.99218737170745896</v>
      </c>
      <c r="H293" s="1100">
        <v>0.99923816551217115</v>
      </c>
      <c r="I293" s="1100">
        <v>0.98009116625228754</v>
      </c>
      <c r="K293">
        <v>2.2704331851857695</v>
      </c>
      <c r="L293">
        <v>0</v>
      </c>
      <c r="M293">
        <v>1.5977811223218739E-3</v>
      </c>
      <c r="N293">
        <v>0.14278777724988945</v>
      </c>
      <c r="O293">
        <v>2.0175387428906424E-2</v>
      </c>
      <c r="P293">
        <v>2.6646175313954159E-2</v>
      </c>
      <c r="Q293">
        <v>5.5940780978522659E-3</v>
      </c>
      <c r="R293">
        <v>1.5753070254142902E-3</v>
      </c>
      <c r="S293">
        <v>0.24410564309147695</v>
      </c>
      <c r="T293">
        <v>1.387855365947543</v>
      </c>
      <c r="U293">
        <v>0.14472547715152109</v>
      </c>
      <c r="V293">
        <v>0.18465515793987319</v>
      </c>
      <c r="W293">
        <v>9.4122909275414487E-2</v>
      </c>
      <c r="X293">
        <v>1.5500221362889921E-2</v>
      </c>
      <c r="Y293">
        <v>4.2874664233563354E-3</v>
      </c>
    </row>
    <row r="294" spans="1:25" x14ac:dyDescent="0.25">
      <c r="A294" s="1096"/>
      <c r="B294" s="1455">
        <v>44</v>
      </c>
      <c r="C294" s="1100">
        <v>1.028721238406616</v>
      </c>
      <c r="D294" s="1100">
        <v>1.0242979291284573</v>
      </c>
      <c r="E294" s="1100">
        <v>0.97106772899811644</v>
      </c>
      <c r="F294" s="1100">
        <v>0.99659941493463644</v>
      </c>
      <c r="G294" s="1100">
        <v>1.0120213179267699</v>
      </c>
      <c r="H294" s="1100">
        <v>0.99479589284505476</v>
      </c>
      <c r="I294" s="1100">
        <v>0.98084375810122304</v>
      </c>
      <c r="K294">
        <v>2.1765930416510488</v>
      </c>
      <c r="L294">
        <v>0</v>
      </c>
      <c r="M294">
        <v>1.5795947275741992E-3</v>
      </c>
      <c r="N294">
        <v>0.13158817760008473</v>
      </c>
      <c r="O294">
        <v>1.9082160683812074E-2</v>
      </c>
      <c r="P294">
        <v>2.522072595551612E-2</v>
      </c>
      <c r="Q294">
        <v>5.1678505793374425E-3</v>
      </c>
      <c r="R294">
        <v>1.5572772211323621E-3</v>
      </c>
      <c r="S294">
        <v>0.22693923749481404</v>
      </c>
      <c r="T294">
        <v>1.3392569550402846</v>
      </c>
      <c r="U294">
        <v>0.1387218067709089</v>
      </c>
      <c r="V294">
        <v>0.18440503306215436</v>
      </c>
      <c r="W294">
        <v>8.7961259156114247E-2</v>
      </c>
      <c r="X294">
        <v>1.4033757574835827E-2</v>
      </c>
      <c r="Y294">
        <v>4.2383952396243107E-3</v>
      </c>
    </row>
    <row r="295" spans="1:25" x14ac:dyDescent="0.25">
      <c r="A295" s="1096"/>
      <c r="B295" s="1455">
        <v>45</v>
      </c>
      <c r="C295" s="1100">
        <v>0.9807032375234449</v>
      </c>
      <c r="D295" s="1100">
        <v>1.0121287752688071</v>
      </c>
      <c r="E295" s="1100">
        <v>0.98104983179949323</v>
      </c>
      <c r="F295" s="1100">
        <v>1.0016560904214558</v>
      </c>
      <c r="G295" s="1100">
        <v>0.98896245872852717</v>
      </c>
      <c r="H295" s="1100">
        <v>0.98584590057677457</v>
      </c>
      <c r="I295" s="1100">
        <v>1.0168015235182026</v>
      </c>
      <c r="K295">
        <v>2.2248216962278664</v>
      </c>
      <c r="L295">
        <v>0</v>
      </c>
      <c r="M295">
        <v>1.6127394017790792E-3</v>
      </c>
      <c r="N295">
        <v>0.13845206823775302</v>
      </c>
      <c r="O295">
        <v>2.0075493748635841E-2</v>
      </c>
      <c r="P295">
        <v>2.5877309825108007E-2</v>
      </c>
      <c r="Q295">
        <v>5.4924306488431211E-3</v>
      </c>
      <c r="R295">
        <v>1.5897467459454198E-3</v>
      </c>
      <c r="S295">
        <v>0.24758445462867854</v>
      </c>
      <c r="T295">
        <v>1.3460629221751916</v>
      </c>
      <c r="U295">
        <v>0.14553736181488236</v>
      </c>
      <c r="V295">
        <v>0.1846292017201486</v>
      </c>
      <c r="W295">
        <v>9.1991591574503748E-2</v>
      </c>
      <c r="X295">
        <v>1.4815087927366946E-2</v>
      </c>
      <c r="Y295">
        <v>4.3267665825894768E-3</v>
      </c>
    </row>
    <row r="296" spans="1:25" x14ac:dyDescent="0.25">
      <c r="A296" s="1096"/>
      <c r="B296" s="1455">
        <v>46</v>
      </c>
      <c r="C296" s="1100">
        <v>1.0161038647507961</v>
      </c>
      <c r="D296" s="1100">
        <v>0.99051205499267991</v>
      </c>
      <c r="E296" s="1100">
        <v>1.0406444129723182</v>
      </c>
      <c r="F296" s="1100">
        <v>1.0067800600331132</v>
      </c>
      <c r="G296" s="1100">
        <v>1.0072169206048314</v>
      </c>
      <c r="H296" s="1100">
        <v>1.0291216733776032</v>
      </c>
      <c r="I296" s="1100">
        <v>0.99388736127897415</v>
      </c>
      <c r="K296">
        <v>2.2345349156042595</v>
      </c>
      <c r="L296">
        <v>0</v>
      </c>
      <c r="M296">
        <v>1.4424792122319408E-3</v>
      </c>
      <c r="N296">
        <v>0.14833397180518915</v>
      </c>
      <c r="O296">
        <v>1.9505092827693984E-2</v>
      </c>
      <c r="P296">
        <v>2.6963475319002207E-2</v>
      </c>
      <c r="Q296">
        <v>5.6638047070660417E-3</v>
      </c>
      <c r="R296">
        <v>1.4227787318830255E-3</v>
      </c>
      <c r="S296">
        <v>0.23995741682358479</v>
      </c>
      <c r="T296">
        <v>1.3530581429119806</v>
      </c>
      <c r="U296">
        <v>0.14060215143923691</v>
      </c>
      <c r="V296">
        <v>0.18463832998053104</v>
      </c>
      <c r="W296">
        <v>9.5155954472461585E-2</v>
      </c>
      <c r="X296">
        <v>1.680394110856006E-2</v>
      </c>
      <c r="Y296">
        <v>3.8723346893026829E-3</v>
      </c>
    </row>
    <row r="297" spans="1:25" x14ac:dyDescent="0.25">
      <c r="A297" s="1096"/>
      <c r="B297" s="1455">
        <v>47</v>
      </c>
      <c r="C297" s="1100">
        <v>0.9850793730759444</v>
      </c>
      <c r="D297" s="1100">
        <v>0.97247110783068369</v>
      </c>
      <c r="E297" s="1100">
        <v>0.99516555203983503</v>
      </c>
      <c r="F297" s="1100">
        <v>1.0059906812627468</v>
      </c>
      <c r="G297" s="1100">
        <v>0.98104474444325829</v>
      </c>
      <c r="H297" s="1100">
        <v>1.0329856469100009</v>
      </c>
      <c r="I297" s="1100">
        <v>0.95357333872188577</v>
      </c>
      <c r="K297">
        <v>2.2366986157391153</v>
      </c>
      <c r="L297">
        <v>0</v>
      </c>
      <c r="M297">
        <v>1.6483225911246839E-3</v>
      </c>
      <c r="N297">
        <v>0.14777514668585692</v>
      </c>
      <c r="O297">
        <v>2.0171825139114828E-2</v>
      </c>
      <c r="P297">
        <v>2.6101150171074717E-2</v>
      </c>
      <c r="Q297">
        <v>5.5981747750990171E-3</v>
      </c>
      <c r="R297">
        <v>1.6258950376601567E-3</v>
      </c>
      <c r="S297">
        <v>0.23961709069654052</v>
      </c>
      <c r="T297">
        <v>1.3519068295476528</v>
      </c>
      <c r="U297">
        <v>0.14492375242810482</v>
      </c>
      <c r="V297">
        <v>0.18347793487655883</v>
      </c>
      <c r="W297">
        <v>9.7358099458862452E-2</v>
      </c>
      <c r="X297">
        <v>1.5365889197358646E-2</v>
      </c>
      <c r="Y297">
        <v>4.4251503163558288E-3</v>
      </c>
    </row>
    <row r="298" spans="1:25" x14ac:dyDescent="0.25">
      <c r="A298" s="1096"/>
      <c r="B298" s="1455">
        <v>48</v>
      </c>
      <c r="C298" s="1100">
        <v>0.97719870304536671</v>
      </c>
      <c r="D298" s="1100">
        <v>1.0334899774299315</v>
      </c>
      <c r="E298" s="1100">
        <v>1.0087746089991785</v>
      </c>
      <c r="F298" s="1100">
        <v>1.0321054136527184</v>
      </c>
      <c r="G298" s="1100">
        <v>0.96217346695865091</v>
      </c>
      <c r="H298" s="1100">
        <v>0.97901451937951389</v>
      </c>
      <c r="I298" s="1100">
        <v>0.99282057009731672</v>
      </c>
      <c r="K298">
        <v>2.2604424362957705</v>
      </c>
      <c r="L298">
        <v>0</v>
      </c>
      <c r="M298">
        <v>1.5105924801128729E-3</v>
      </c>
      <c r="N298">
        <v>0.14100351909520617</v>
      </c>
      <c r="O298">
        <v>2.0072709395514792E-2</v>
      </c>
      <c r="P298">
        <v>2.6845167580816991E-2</v>
      </c>
      <c r="Q298">
        <v>5.64731161962574E-3</v>
      </c>
      <c r="R298">
        <v>1.4889058454862236E-3</v>
      </c>
      <c r="S298">
        <v>0.23976462405431462</v>
      </c>
      <c r="T298">
        <v>1.3870242358095692</v>
      </c>
      <c r="U298">
        <v>0.14612457082969729</v>
      </c>
      <c r="V298">
        <v>0.18184286045831743</v>
      </c>
      <c r="W298">
        <v>9.2149566331869617E-2</v>
      </c>
      <c r="X298">
        <v>1.5937246861729922E-2</v>
      </c>
      <c r="Y298">
        <v>4.0523108937334466E-3</v>
      </c>
    </row>
    <row r="299" spans="1:25" x14ac:dyDescent="0.25">
      <c r="A299" s="1096"/>
      <c r="B299" s="1455">
        <v>49</v>
      </c>
      <c r="C299" s="1100">
        <v>1.0252489265510532</v>
      </c>
      <c r="D299" s="1100">
        <v>0.99953555692830021</v>
      </c>
      <c r="E299" s="1100">
        <v>1.0209470137356891</v>
      </c>
      <c r="F299" s="1100">
        <v>0.99194698443270179</v>
      </c>
      <c r="G299" s="1100">
        <v>1.0195894546010613</v>
      </c>
      <c r="H299" s="1100">
        <v>0.98466163143313301</v>
      </c>
      <c r="I299" s="1100">
        <v>1.0158803918321648</v>
      </c>
      <c r="K299">
        <v>2.1939745589808823</v>
      </c>
      <c r="L299">
        <v>0</v>
      </c>
      <c r="M299">
        <v>1.4223283163604058E-3</v>
      </c>
      <c r="N299">
        <v>0.13774401297033498</v>
      </c>
      <c r="O299">
        <v>1.9280522909024541E-2</v>
      </c>
      <c r="P299">
        <v>2.6275059891627948E-2</v>
      </c>
      <c r="Q299">
        <v>5.490664757394138E-3</v>
      </c>
      <c r="R299">
        <v>1.4020259426472856E-3</v>
      </c>
      <c r="S299">
        <v>0.23830291204865567</v>
      </c>
      <c r="T299">
        <v>1.3330792827837412</v>
      </c>
      <c r="U299">
        <v>0.13930356432027888</v>
      </c>
      <c r="V299">
        <v>0.18549785428944629</v>
      </c>
      <c r="W299">
        <v>8.9378014253025218E-2</v>
      </c>
      <c r="X299">
        <v>1.582712069290847E-2</v>
      </c>
      <c r="Y299">
        <v>3.8158524381581311E-3</v>
      </c>
    </row>
    <row r="300" spans="1:25" x14ac:dyDescent="0.25">
      <c r="A300" s="1096"/>
      <c r="B300" s="1455">
        <v>50</v>
      </c>
      <c r="C300" s="1100">
        <v>0.98231462509148126</v>
      </c>
      <c r="D300" s="1100">
        <v>0.99072599035791253</v>
      </c>
      <c r="E300" s="1100">
        <v>1.0362334742692176</v>
      </c>
      <c r="F300" s="1100">
        <v>1.0184535484639294</v>
      </c>
      <c r="G300" s="1100">
        <v>1.0045015721839343</v>
      </c>
      <c r="H300" s="1100">
        <v>1.0194788143111131</v>
      </c>
      <c r="I300" s="1100">
        <v>1.0262875856813181</v>
      </c>
      <c r="K300">
        <v>2.2790698439271595</v>
      </c>
      <c r="L300">
        <v>0</v>
      </c>
      <c r="M300">
        <v>1.4917109123231728E-3</v>
      </c>
      <c r="N300">
        <v>0.15135178952803857</v>
      </c>
      <c r="O300">
        <v>2.0172235259016787E-2</v>
      </c>
      <c r="P300">
        <v>2.7405841384257872E-2</v>
      </c>
      <c r="Q300">
        <v>5.8321545708168894E-3</v>
      </c>
      <c r="R300">
        <v>1.4711453571241801E-3</v>
      </c>
      <c r="S300">
        <v>0.25542959580964231</v>
      </c>
      <c r="T300">
        <v>1.3687358384068671</v>
      </c>
      <c r="U300">
        <v>0.14542812683476702</v>
      </c>
      <c r="V300">
        <v>0.18633677296488019</v>
      </c>
      <c r="W300">
        <v>9.7339152086787617E-2</v>
      </c>
      <c r="X300">
        <v>1.7054929938127818E-2</v>
      </c>
      <c r="Y300">
        <v>4.00397269915538E-3</v>
      </c>
    </row>
    <row r="301" spans="1:25" x14ac:dyDescent="0.25">
      <c r="A301" s="1096"/>
      <c r="B301" s="1455">
        <v>51</v>
      </c>
      <c r="C301" s="1100">
        <v>1.0103819916462973</v>
      </c>
      <c r="D301" s="1100">
        <v>1.0131916169723862</v>
      </c>
      <c r="E301" s="1100">
        <v>1.0059528348957416</v>
      </c>
      <c r="F301" s="1100">
        <v>0.98322096317559271</v>
      </c>
      <c r="G301" s="1100">
        <v>0.97999778923043435</v>
      </c>
      <c r="H301" s="1100">
        <v>1.0241721786553006</v>
      </c>
      <c r="I301" s="1100">
        <v>0.99513527093315723</v>
      </c>
      <c r="K301">
        <v>2.1896309593751719</v>
      </c>
      <c r="L301">
        <v>0</v>
      </c>
      <c r="M301">
        <v>1.5440757020694304E-3</v>
      </c>
      <c r="N301">
        <v>0.14299788184759851</v>
      </c>
      <c r="O301">
        <v>1.9496637646652829E-2</v>
      </c>
      <c r="P301">
        <v>2.580269010746012E-2</v>
      </c>
      <c r="Q301">
        <v>5.4697648117991325E-3</v>
      </c>
      <c r="R301">
        <v>1.5228857686761259E-3</v>
      </c>
      <c r="S301">
        <v>0.23827018962998944</v>
      </c>
      <c r="T301">
        <v>1.3213246163010457</v>
      </c>
      <c r="U301">
        <v>0.14131906371640646</v>
      </c>
      <c r="V301">
        <v>0.18186102519650443</v>
      </c>
      <c r="W301">
        <v>9.3608888501607257E-2</v>
      </c>
      <c r="X301">
        <v>1.5356598506323553E-2</v>
      </c>
      <c r="Y301">
        <v>4.1447930431776922E-3</v>
      </c>
    </row>
    <row r="302" spans="1:25" x14ac:dyDescent="0.25">
      <c r="A302" s="1096"/>
      <c r="B302" s="1455">
        <v>52</v>
      </c>
      <c r="C302" s="1100">
        <v>1.0016709666460408</v>
      </c>
      <c r="D302" s="1100">
        <v>0.98872129524174546</v>
      </c>
      <c r="E302" s="1100">
        <v>0.99926273548026778</v>
      </c>
      <c r="F302" s="1100">
        <v>1.0116962560931537</v>
      </c>
      <c r="G302" s="1100">
        <v>0.9755665889399795</v>
      </c>
      <c r="H302" s="1100">
        <v>0.98616927643253693</v>
      </c>
      <c r="I302" s="1100">
        <v>0.98277783177443301</v>
      </c>
      <c r="K302">
        <v>2.2219211826821859</v>
      </c>
      <c r="L302">
        <v>0</v>
      </c>
      <c r="M302">
        <v>1.5288777581714428E-3</v>
      </c>
      <c r="N302">
        <v>0.13868339575802038</v>
      </c>
      <c r="O302">
        <v>1.9768067188799938E-2</v>
      </c>
      <c r="P302">
        <v>2.6198387048404857E-2</v>
      </c>
      <c r="Q302">
        <v>5.5087977530870885E-3</v>
      </c>
      <c r="R302">
        <v>1.5070878564547338E-3</v>
      </c>
      <c r="S302">
        <v>0.23720952511688143</v>
      </c>
      <c r="T302">
        <v>1.3595806500332939</v>
      </c>
      <c r="U302">
        <v>0.14253266074351684</v>
      </c>
      <c r="V302">
        <v>0.18186485943361488</v>
      </c>
      <c r="W302">
        <v>9.1145505327577786E-2</v>
      </c>
      <c r="X302">
        <v>1.5349327846811403E-2</v>
      </c>
      <c r="Y302">
        <v>4.1017963338914271E-3</v>
      </c>
    </row>
    <row r="303" spans="1:25" x14ac:dyDescent="0.25">
      <c r="A303" s="1096"/>
      <c r="B303" s="1455">
        <v>53</v>
      </c>
      <c r="C303" s="1100">
        <v>1.0164777180055662</v>
      </c>
      <c r="D303" s="1100">
        <v>1.0014509865815073</v>
      </c>
      <c r="E303" s="1100">
        <v>1.0103111129277862</v>
      </c>
      <c r="F303" s="1100">
        <v>1.0117313292470325</v>
      </c>
      <c r="G303" s="1100">
        <v>0.99387846134048174</v>
      </c>
      <c r="H303" s="1100">
        <v>1.0103286257452517</v>
      </c>
      <c r="I303" s="1100">
        <v>0.97709230210651354</v>
      </c>
      <c r="K303">
        <v>2.2202507447037649</v>
      </c>
      <c r="L303">
        <v>0</v>
      </c>
      <c r="M303">
        <v>1.5042793578634338E-3</v>
      </c>
      <c r="N303">
        <v>0.14113079058921207</v>
      </c>
      <c r="O303">
        <v>1.9432156068983308E-2</v>
      </c>
      <c r="P303">
        <v>2.6343762176706573E-2</v>
      </c>
      <c r="Q303">
        <v>5.4755023297506757E-3</v>
      </c>
      <c r="R303">
        <v>1.4833527028473149E-3</v>
      </c>
      <c r="S303">
        <v>0.23286000574149668</v>
      </c>
      <c r="T303">
        <v>1.3596467384072985</v>
      </c>
      <c r="U303">
        <v>0.14048146979729906</v>
      </c>
      <c r="V303">
        <v>0.18308171206650248</v>
      </c>
      <c r="W303">
        <v>9.2149182891772985E-2</v>
      </c>
      <c r="X303">
        <v>1.5633154219694894E-2</v>
      </c>
      <c r="Y303">
        <v>4.0371970700633156E-3</v>
      </c>
    </row>
    <row r="304" spans="1:25" x14ac:dyDescent="0.25">
      <c r="A304" s="1096"/>
      <c r="B304" s="1455">
        <v>54</v>
      </c>
      <c r="C304" s="1100">
        <v>0.99067485554090429</v>
      </c>
      <c r="D304" s="1100">
        <v>1.0138546819344008</v>
      </c>
      <c r="E304" s="1100">
        <v>1.0222080095148907</v>
      </c>
      <c r="F304" s="1100">
        <v>1.0076683425350246</v>
      </c>
      <c r="G304" s="1100">
        <v>1.0058204649780951</v>
      </c>
      <c r="H304" s="1100">
        <v>0.99284118360597728</v>
      </c>
      <c r="I304" s="1100">
        <v>0.98859999260088915</v>
      </c>
      <c r="K304">
        <v>2.2322067058291903</v>
      </c>
      <c r="L304">
        <v>0</v>
      </c>
      <c r="M304">
        <v>1.4756794632494919E-3</v>
      </c>
      <c r="N304">
        <v>0.14347249395256365</v>
      </c>
      <c r="O304">
        <v>1.9891856336101056E-2</v>
      </c>
      <c r="P304">
        <v>2.6675415895374279E-2</v>
      </c>
      <c r="Q304">
        <v>5.6718586308448183E-3</v>
      </c>
      <c r="R304">
        <v>1.4547890887028625E-3</v>
      </c>
      <c r="S304">
        <v>0.23896065458051621</v>
      </c>
      <c r="T304">
        <v>1.3542098565584193</v>
      </c>
      <c r="U304">
        <v>0.14416813119256361</v>
      </c>
      <c r="V304">
        <v>0.18596277534144195</v>
      </c>
      <c r="W304">
        <v>9.3026485618912594E-2</v>
      </c>
      <c r="X304">
        <v>1.6228611768640318E-2</v>
      </c>
      <c r="Y304">
        <v>3.9594563283549883E-3</v>
      </c>
    </row>
    <row r="305" spans="1:25" x14ac:dyDescent="0.25">
      <c r="A305" s="1096"/>
      <c r="B305" s="1455">
        <v>55</v>
      </c>
      <c r="C305" s="1100">
        <v>0.98859522604108674</v>
      </c>
      <c r="D305" s="1100">
        <v>0.97068654804128995</v>
      </c>
      <c r="E305" s="1100">
        <v>0.98485622974408149</v>
      </c>
      <c r="F305" s="1100">
        <v>1.0023044118519586</v>
      </c>
      <c r="G305" s="1100">
        <v>0.9648960873875374</v>
      </c>
      <c r="H305" s="1100">
        <v>0.99380672779448798</v>
      </c>
      <c r="I305" s="1100">
        <v>1.0084884064325421</v>
      </c>
      <c r="K305">
        <v>2.2262525247703731</v>
      </c>
      <c r="L305">
        <v>0</v>
      </c>
      <c r="M305">
        <v>1.6149192900645633E-3</v>
      </c>
      <c r="N305">
        <v>0.1402610259409974</v>
      </c>
      <c r="O305">
        <v>2.0101663019617095E-2</v>
      </c>
      <c r="P305">
        <v>2.5930152232058606E-2</v>
      </c>
      <c r="Q305">
        <v>5.5208733286423641E-3</v>
      </c>
      <c r="R305">
        <v>1.5920799859900079E-3</v>
      </c>
      <c r="S305">
        <v>0.24944222728007687</v>
      </c>
      <c r="T305">
        <v>1.3469388131576681</v>
      </c>
      <c r="U305">
        <v>0.14438437265843651</v>
      </c>
      <c r="V305">
        <v>0.18142926263981696</v>
      </c>
      <c r="W305">
        <v>9.2980065939427092E-2</v>
      </c>
      <c r="X305">
        <v>1.4953790984866737E-2</v>
      </c>
      <c r="Y305">
        <v>4.3331168928384713E-3</v>
      </c>
    </row>
    <row r="306" spans="1:25" x14ac:dyDescent="0.25">
      <c r="A306" s="1096"/>
      <c r="B306" s="1455">
        <v>56</v>
      </c>
      <c r="C306" s="1100">
        <v>1.0407588895889557</v>
      </c>
      <c r="D306" s="1100">
        <v>1.0112045750923058</v>
      </c>
      <c r="E306" s="1100">
        <v>0.9783945612820476</v>
      </c>
      <c r="F306" s="1100">
        <v>0.98324500462665865</v>
      </c>
      <c r="G306" s="1100">
        <v>1.0412229965729194</v>
      </c>
      <c r="H306" s="1100">
        <v>0.99022389045703141</v>
      </c>
      <c r="I306" s="1100">
        <v>0.99897173159164276</v>
      </c>
      <c r="K306">
        <v>2.160393375121556</v>
      </c>
      <c r="L306">
        <v>0</v>
      </c>
      <c r="M306">
        <v>1.5351390763094466E-3</v>
      </c>
      <c r="N306">
        <v>0.13074394284610466</v>
      </c>
      <c r="O306">
        <v>1.8919280910520253E-2</v>
      </c>
      <c r="P306">
        <v>2.5171510238254941E-2</v>
      </c>
      <c r="Q306">
        <v>5.1621510924720849E-3</v>
      </c>
      <c r="R306">
        <v>1.5133495241914871E-3</v>
      </c>
      <c r="S306">
        <v>0.22962788552164048</v>
      </c>
      <c r="T306">
        <v>1.3213184185174167</v>
      </c>
      <c r="U306">
        <v>0.13713346097373788</v>
      </c>
      <c r="V306">
        <v>0.18704520006823924</v>
      </c>
      <c r="W306">
        <v>8.7009510815734353E-2</v>
      </c>
      <c r="X306">
        <v>1.4164965160240009E-2</v>
      </c>
      <c r="Y306">
        <v>4.118838529312655E-3</v>
      </c>
    </row>
    <row r="307" spans="1:25" x14ac:dyDescent="0.25">
      <c r="A307" s="1096"/>
      <c r="B307" s="1455">
        <v>57</v>
      </c>
      <c r="C307" s="1100">
        <v>1.0215620013572013</v>
      </c>
      <c r="D307" s="1100">
        <v>0.96844425277778556</v>
      </c>
      <c r="E307" s="1100">
        <v>0.97209700174371927</v>
      </c>
      <c r="F307" s="1100">
        <v>1.0154028951577052</v>
      </c>
      <c r="G307" s="1100">
        <v>1.0049753902862479</v>
      </c>
      <c r="H307" s="1100">
        <v>1.0176939611195763</v>
      </c>
      <c r="I307" s="1100">
        <v>1.0068677724092656</v>
      </c>
      <c r="K307">
        <v>2.2298444011108183</v>
      </c>
      <c r="L307">
        <v>0</v>
      </c>
      <c r="M307">
        <v>1.6439786223943792E-3</v>
      </c>
      <c r="N307">
        <v>0.13742340615956999</v>
      </c>
      <c r="O307">
        <v>1.9455033174087623E-2</v>
      </c>
      <c r="P307">
        <v>2.5801732387689697E-2</v>
      </c>
      <c r="Q307">
        <v>5.2743731048757042E-3</v>
      </c>
      <c r="R307">
        <v>1.6212740699583586E-3</v>
      </c>
      <c r="S307">
        <v>0.24308650220875175</v>
      </c>
      <c r="T307">
        <v>1.3645265866446639</v>
      </c>
      <c r="U307">
        <v>0.13969629590728178</v>
      </c>
      <c r="V307">
        <v>0.1840133153741873</v>
      </c>
      <c r="W307">
        <v>9.180441172593741E-2</v>
      </c>
      <c r="X307">
        <v>1.4372875410634466E-2</v>
      </c>
      <c r="Y307">
        <v>4.4125735655731278E-3</v>
      </c>
    </row>
    <row r="308" spans="1:25" x14ac:dyDescent="0.25">
      <c r="A308" s="1096"/>
      <c r="B308" s="1455">
        <v>58</v>
      </c>
      <c r="C308" s="1100">
        <v>0.99245283764942527</v>
      </c>
      <c r="D308" s="1100">
        <v>1.0080052808784068</v>
      </c>
      <c r="E308" s="1100">
        <v>1.0210640887004783</v>
      </c>
      <c r="F308" s="1100">
        <v>1.0060974944671135</v>
      </c>
      <c r="G308" s="1100">
        <v>1.0018120067969261</v>
      </c>
      <c r="H308" s="1100">
        <v>1.0420766570214008</v>
      </c>
      <c r="I308" s="1100">
        <v>0.95580993786456636</v>
      </c>
      <c r="K308">
        <v>2.2370175748458974</v>
      </c>
      <c r="L308">
        <v>0</v>
      </c>
      <c r="M308">
        <v>1.5517435307531534E-3</v>
      </c>
      <c r="N308">
        <v>0.15045012597704097</v>
      </c>
      <c r="O308">
        <v>1.9880791136984311E-2</v>
      </c>
      <c r="P308">
        <v>2.6558544062963055E-2</v>
      </c>
      <c r="Q308">
        <v>5.6622664431260046E-3</v>
      </c>
      <c r="R308">
        <v>1.5308142524604847E-3</v>
      </c>
      <c r="S308">
        <v>0.23507360021764651</v>
      </c>
      <c r="T308">
        <v>1.3520964187055073</v>
      </c>
      <c r="U308">
        <v>0.14390719112612066</v>
      </c>
      <c r="V308">
        <v>0.18540132482343097</v>
      </c>
      <c r="W308">
        <v>9.7615953860599403E-2</v>
      </c>
      <c r="X308">
        <v>1.6225916008354296E-2</v>
      </c>
      <c r="Y308">
        <v>4.1663717624147393E-3</v>
      </c>
    </row>
    <row r="309" spans="1:25" x14ac:dyDescent="0.25">
      <c r="A309" s="1096"/>
      <c r="B309" s="1455">
        <v>59</v>
      </c>
      <c r="C309" s="1100">
        <v>0.95577033275647982</v>
      </c>
      <c r="D309" s="1100">
        <v>0.99025261219916294</v>
      </c>
      <c r="E309" s="1100">
        <v>0.98951175961342031</v>
      </c>
      <c r="F309" s="1100">
        <v>0.98419312721277263</v>
      </c>
      <c r="G309" s="1100">
        <v>0.98666012921139123</v>
      </c>
      <c r="H309" s="1100">
        <v>0.97408352869753534</v>
      </c>
      <c r="I309" s="1100">
        <v>1.0427227312813283</v>
      </c>
      <c r="K309">
        <v>2.2284781428047329</v>
      </c>
      <c r="L309">
        <v>0</v>
      </c>
      <c r="M309">
        <v>1.6144245265158398E-3</v>
      </c>
      <c r="N309">
        <v>0.14216478475527985</v>
      </c>
      <c r="O309">
        <v>2.0703990154500841E-2</v>
      </c>
      <c r="P309">
        <v>2.5996284655923019E-2</v>
      </c>
      <c r="Q309">
        <v>5.7131638901786498E-3</v>
      </c>
      <c r="R309">
        <v>1.591129912217175E-3</v>
      </c>
      <c r="S309">
        <v>0.26242068662837825</v>
      </c>
      <c r="T309">
        <v>1.3226061206059752</v>
      </c>
      <c r="U309">
        <v>0.14935428863716088</v>
      </c>
      <c r="V309">
        <v>0.18595411641472859</v>
      </c>
      <c r="W309">
        <v>9.3979026923834072E-2</v>
      </c>
      <c r="X309">
        <v>1.5278443647850247E-2</v>
      </c>
      <c r="Y309">
        <v>4.3305311052205548E-3</v>
      </c>
    </row>
    <row r="310" spans="1:25" x14ac:dyDescent="0.25">
      <c r="A310" s="1096"/>
      <c r="B310" s="1455">
        <v>60</v>
      </c>
      <c r="C310" s="1100">
        <v>0.97747062799406115</v>
      </c>
      <c r="D310" s="1100">
        <v>1.0193344496272139</v>
      </c>
      <c r="E310" s="1100">
        <v>1.0077513065785133</v>
      </c>
      <c r="F310" s="1100">
        <v>0.99186428650428604</v>
      </c>
      <c r="G310" s="1100">
        <v>0.99375415898664576</v>
      </c>
      <c r="H310" s="1100">
        <v>1.0185392420553498</v>
      </c>
      <c r="I310" s="1100">
        <v>0.9930506326230637</v>
      </c>
      <c r="K310">
        <v>2.2241635387338778</v>
      </c>
      <c r="L310">
        <v>0</v>
      </c>
      <c r="M310">
        <v>1.579268053634123E-3</v>
      </c>
      <c r="N310">
        <v>0.14704221205580331</v>
      </c>
      <c r="O310">
        <v>2.0127451949429064E-2</v>
      </c>
      <c r="P310">
        <v>2.6197287948482539E-2</v>
      </c>
      <c r="Q310">
        <v>5.6569178759779924E-3</v>
      </c>
      <c r="R310">
        <v>1.5574753024124768E-3</v>
      </c>
      <c r="S310">
        <v>0.2446005777831344</v>
      </c>
      <c r="T310">
        <v>1.332943254327873</v>
      </c>
      <c r="U310">
        <v>0.14608150672151651</v>
      </c>
      <c r="V310">
        <v>0.18539471446775127</v>
      </c>
      <c r="W310">
        <v>9.6154096436261868E-2</v>
      </c>
      <c r="X310">
        <v>1.5748377567295368E-2</v>
      </c>
      <c r="Y310">
        <v>4.2389343515713065E-3</v>
      </c>
    </row>
    <row r="311" spans="1:25" x14ac:dyDescent="0.25">
      <c r="A311" s="1096"/>
      <c r="B311" s="1455">
        <v>61</v>
      </c>
      <c r="C311" s="1100">
        <v>0.97792586791935243</v>
      </c>
      <c r="D311" s="1100">
        <v>1.0235077315416576</v>
      </c>
      <c r="E311" s="1100">
        <v>1.0042083488601652</v>
      </c>
      <c r="F311" s="1100">
        <v>0.97255296869834806</v>
      </c>
      <c r="G311" s="1100">
        <v>0.99222374757881648</v>
      </c>
      <c r="H311" s="1100">
        <v>0.98620799476295573</v>
      </c>
      <c r="I311" s="1100">
        <v>0.99240141168183094</v>
      </c>
      <c r="K311">
        <v>2.1848151830584475</v>
      </c>
      <c r="L311">
        <v>0</v>
      </c>
      <c r="M311">
        <v>1.5383270266155198E-3</v>
      </c>
      <c r="N311">
        <v>0.14164097885559065</v>
      </c>
      <c r="O311">
        <v>2.0097753215890489E-2</v>
      </c>
      <c r="P311">
        <v>2.5722762936063095E-2</v>
      </c>
      <c r="Q311">
        <v>5.6285565562836258E-3</v>
      </c>
      <c r="R311">
        <v>1.5164033126033223E-3</v>
      </c>
      <c r="S311">
        <v>0.24119047842013083</v>
      </c>
      <c r="T311">
        <v>1.3069852931071415</v>
      </c>
      <c r="U311">
        <v>0.14600515458629487</v>
      </c>
      <c r="V311">
        <v>0.18519023459206707</v>
      </c>
      <c r="W311">
        <v>9.2816436402010205E-2</v>
      </c>
      <c r="X311">
        <v>1.5432308166295801E-2</v>
      </c>
      <c r="Y311">
        <v>4.1271499346885896E-3</v>
      </c>
    </row>
    <row r="312" spans="1:25" x14ac:dyDescent="0.25">
      <c r="A312" s="1096"/>
      <c r="B312" s="1455">
        <v>62</v>
      </c>
      <c r="C312" s="1100">
        <v>0.95902705992695747</v>
      </c>
      <c r="D312" s="1100">
        <v>1.0073749757245352</v>
      </c>
      <c r="E312" s="1100">
        <v>0.97869833223781333</v>
      </c>
      <c r="F312" s="1100">
        <v>1.0036541415167255</v>
      </c>
      <c r="G312" s="1100">
        <v>0.98889104999484001</v>
      </c>
      <c r="H312" s="1100">
        <v>0.99006179972353381</v>
      </c>
      <c r="I312" s="1100">
        <v>1.0080884466506417</v>
      </c>
      <c r="K312">
        <v>2.2435269256907984</v>
      </c>
      <c r="L312">
        <v>0</v>
      </c>
      <c r="M312">
        <v>1.6660410498625837E-3</v>
      </c>
      <c r="N312">
        <v>0.14202268908981522</v>
      </c>
      <c r="O312">
        <v>2.0548994918625635E-2</v>
      </c>
      <c r="P312">
        <v>2.5987938969257302E-2</v>
      </c>
      <c r="Q312">
        <v>5.6085535253085255E-3</v>
      </c>
      <c r="R312">
        <v>1.6423896216776713E-3</v>
      </c>
      <c r="S312">
        <v>0.25193663175257019</v>
      </c>
      <c r="T312">
        <v>1.3487452600423258</v>
      </c>
      <c r="U312">
        <v>0.14882120796530335</v>
      </c>
      <c r="V312">
        <v>0.18598586117266991</v>
      </c>
      <c r="W312">
        <v>9.4498111335374627E-2</v>
      </c>
      <c r="X312">
        <v>1.4925285211120253E-2</v>
      </c>
      <c r="Y312">
        <v>4.4700431366133456E-3</v>
      </c>
    </row>
    <row r="313" spans="1:25" x14ac:dyDescent="0.25">
      <c r="A313" s="1096"/>
      <c r="B313" s="1455">
        <v>63</v>
      </c>
      <c r="C313" s="1100">
        <v>0.97306606553808028</v>
      </c>
      <c r="D313" s="1100">
        <v>1.0151358171993012</v>
      </c>
      <c r="E313" s="1100">
        <v>0.98133092425297097</v>
      </c>
      <c r="F313" s="1100">
        <v>0.97979764384789547</v>
      </c>
      <c r="G313" s="1100">
        <v>0.98057183031211748</v>
      </c>
      <c r="H313" s="1100">
        <v>0.99609415719642691</v>
      </c>
      <c r="I313" s="1100">
        <v>0.99893544169348181</v>
      </c>
      <c r="K313">
        <v>2.1980751113025803</v>
      </c>
      <c r="L313">
        <v>0</v>
      </c>
      <c r="M313">
        <v>1.6402683910495678E-3</v>
      </c>
      <c r="N313">
        <v>0.14095617860521364</v>
      </c>
      <c r="O313">
        <v>2.0220036024798455E-2</v>
      </c>
      <c r="P313">
        <v>2.547028071016413E-2</v>
      </c>
      <c r="Q313">
        <v>5.5335554741380109E-3</v>
      </c>
      <c r="R313">
        <v>1.6171238538986513E-3</v>
      </c>
      <c r="S313">
        <v>0.24562310815265939</v>
      </c>
      <c r="T313">
        <v>1.3166890491998875</v>
      </c>
      <c r="U313">
        <v>0.14668028428682517</v>
      </c>
      <c r="V313">
        <v>0.18415558372974772</v>
      </c>
      <c r="W313">
        <v>9.3639515713756255E-2</v>
      </c>
      <c r="X313">
        <v>1.4729385896964188E-2</v>
      </c>
      <c r="Y313">
        <v>4.4012780455769613E-3</v>
      </c>
    </row>
    <row r="314" spans="1:25" x14ac:dyDescent="0.25">
      <c r="A314" s="1096"/>
      <c r="B314" s="1455">
        <v>64</v>
      </c>
      <c r="C314" s="1100">
        <v>0.96562276967253768</v>
      </c>
      <c r="D314" s="1100">
        <v>1.0253486221141217</v>
      </c>
      <c r="E314" s="1100">
        <v>1.0242901666618391</v>
      </c>
      <c r="F314" s="1100">
        <v>1.0160034912281146</v>
      </c>
      <c r="G314" s="1100">
        <v>1.0363226619509012</v>
      </c>
      <c r="H314" s="1100">
        <v>0.99761046713651169</v>
      </c>
      <c r="I314" s="1100">
        <v>0.98486455225429526</v>
      </c>
      <c r="K314">
        <v>2.2649959571907288</v>
      </c>
      <c r="L314">
        <v>0</v>
      </c>
      <c r="M314">
        <v>1.5109058564486267E-3</v>
      </c>
      <c r="N314">
        <v>0.14783292411082008</v>
      </c>
      <c r="O314">
        <v>2.0358723735949543E-2</v>
      </c>
      <c r="P314">
        <v>2.7053129629089522E-2</v>
      </c>
      <c r="Q314">
        <v>5.8169857679091557E-3</v>
      </c>
      <c r="R314">
        <v>1.4896190562278609E-3</v>
      </c>
      <c r="S314">
        <v>0.24327377757635063</v>
      </c>
      <c r="T314">
        <v>1.3654159250466584</v>
      </c>
      <c r="U314">
        <v>0.14791340652092111</v>
      </c>
      <c r="V314">
        <v>0.19096655804510337</v>
      </c>
      <c r="W314">
        <v>9.5737357860527297E-2</v>
      </c>
      <c r="X314">
        <v>1.6594203679355685E-2</v>
      </c>
      <c r="Y314">
        <v>4.0542520182623252E-3</v>
      </c>
    </row>
    <row r="315" spans="1:25" x14ac:dyDescent="0.25">
      <c r="A315" s="1096"/>
      <c r="B315" s="1455">
        <v>65</v>
      </c>
      <c r="C315" s="1100">
        <v>1.0435287447104029</v>
      </c>
      <c r="D315" s="1100">
        <v>1.0325971366653124</v>
      </c>
      <c r="E315" s="1100">
        <v>1.0145786976738245</v>
      </c>
      <c r="F315" s="1100">
        <v>1.0411231763561337</v>
      </c>
      <c r="G315" s="1100">
        <v>0.98797061043128198</v>
      </c>
      <c r="H315" s="1100">
        <v>0.99362972965711815</v>
      </c>
      <c r="I315" s="1100">
        <v>0.99664128962270393</v>
      </c>
      <c r="K315">
        <v>2.2365391502098486</v>
      </c>
      <c r="L315">
        <v>0</v>
      </c>
      <c r="M315">
        <v>1.4187495354134009E-3</v>
      </c>
      <c r="N315">
        <v>0.13480015841841592</v>
      </c>
      <c r="O315">
        <v>1.8803854067256643E-2</v>
      </c>
      <c r="P315">
        <v>2.6805657438585352E-2</v>
      </c>
      <c r="Q315">
        <v>5.3210834783103929E-3</v>
      </c>
      <c r="R315">
        <v>1.3986810252845489E-3</v>
      </c>
      <c r="S315">
        <v>0.22663785101924735</v>
      </c>
      <c r="T315">
        <v>1.3991541582306735</v>
      </c>
      <c r="U315">
        <v>0.13684925187740551</v>
      </c>
      <c r="V315">
        <v>0.18090445490554746</v>
      </c>
      <c r="W315">
        <v>8.7794906354462784E-2</v>
      </c>
      <c r="X315">
        <v>1.5681094254320217E-2</v>
      </c>
      <c r="Y315">
        <v>3.8067486757484724E-3</v>
      </c>
    </row>
    <row r="316" spans="1:25" x14ac:dyDescent="0.25">
      <c r="A316" s="1096"/>
      <c r="B316" s="1455">
        <v>66</v>
      </c>
      <c r="C316" s="1100">
        <v>1.0123423418895836</v>
      </c>
      <c r="D316" s="1100">
        <v>0.97989234657972402</v>
      </c>
      <c r="E316" s="1100">
        <v>0.98334778123696742</v>
      </c>
      <c r="F316" s="1100">
        <v>0.99046343141160942</v>
      </c>
      <c r="G316" s="1100">
        <v>0.97998880154493728</v>
      </c>
      <c r="H316" s="1100">
        <v>1.0358925454863783</v>
      </c>
      <c r="I316" s="1100">
        <v>0.99825139061495916</v>
      </c>
      <c r="K316">
        <v>2.2034276291354828</v>
      </c>
      <c r="L316">
        <v>0</v>
      </c>
      <c r="M316">
        <v>1.6455396838238657E-3</v>
      </c>
      <c r="N316">
        <v>0.14235281144681522</v>
      </c>
      <c r="O316">
        <v>1.9588472056843477E-2</v>
      </c>
      <c r="P316">
        <v>2.5561754697271843E-2</v>
      </c>
      <c r="Q316">
        <v>5.3717033359109295E-3</v>
      </c>
      <c r="R316">
        <v>1.6232128248449085E-3</v>
      </c>
      <c r="S316">
        <v>0.2433046795019726</v>
      </c>
      <c r="T316">
        <v>1.3310245460580903</v>
      </c>
      <c r="U316">
        <v>0.14099404077053054</v>
      </c>
      <c r="V316">
        <v>0.18172676387710995</v>
      </c>
      <c r="W316">
        <v>9.4452438601430058E-2</v>
      </c>
      <c r="X316">
        <v>1.4654895431222476E-2</v>
      </c>
      <c r="Y316">
        <v>4.4178502172639396E-3</v>
      </c>
    </row>
    <row r="317" spans="1:25" x14ac:dyDescent="0.25">
      <c r="A317" s="1096"/>
      <c r="B317" s="1455">
        <v>67</v>
      </c>
      <c r="C317" s="1100">
        <v>1.0043282270840856</v>
      </c>
      <c r="D317" s="1100">
        <v>0.96604373984856517</v>
      </c>
      <c r="E317" s="1100">
        <v>1.0326117428897132</v>
      </c>
      <c r="F317" s="1100">
        <v>1.0105349123631504</v>
      </c>
      <c r="G317" s="1100">
        <v>0.96294030176433787</v>
      </c>
      <c r="H317" s="1100">
        <v>1.0003571023705158</v>
      </c>
      <c r="I317" s="1100">
        <v>1.0246068628676954</v>
      </c>
      <c r="K317">
        <v>2.2440020165216668</v>
      </c>
      <c r="L317">
        <v>0</v>
      </c>
      <c r="M317">
        <v>1.4505298555192441E-3</v>
      </c>
      <c r="N317">
        <v>0.14553700121849064</v>
      </c>
      <c r="O317">
        <v>1.9837617325976064E-2</v>
      </c>
      <c r="P317">
        <v>2.6994250189826229E-2</v>
      </c>
      <c r="Q317">
        <v>5.7149595610686416E-3</v>
      </c>
      <c r="R317">
        <v>1.4301497893800487E-3</v>
      </c>
      <c r="S317">
        <v>0.25098028121493415</v>
      </c>
      <c r="T317">
        <v>1.3580851779436636</v>
      </c>
      <c r="U317">
        <v>0.14223218131715964</v>
      </c>
      <c r="V317">
        <v>0.18031132423325127</v>
      </c>
      <c r="W317">
        <v>9.379577766341847E-2</v>
      </c>
      <c r="X317">
        <v>1.6641429642076429E-2</v>
      </c>
      <c r="Y317">
        <v>3.8923962779411274E-3</v>
      </c>
    </row>
    <row r="318" spans="1:25" x14ac:dyDescent="0.25">
      <c r="A318" s="1096"/>
      <c r="B318" s="1455">
        <v>68</v>
      </c>
      <c r="C318" s="1100">
        <v>0.97182077916428866</v>
      </c>
      <c r="D318" s="1100">
        <v>1.0185006571851467</v>
      </c>
      <c r="E318" s="1100">
        <v>1.0013758147742069</v>
      </c>
      <c r="F318" s="1100">
        <v>0.98038381119027329</v>
      </c>
      <c r="G318" s="1100">
        <v>0.99826779767656193</v>
      </c>
      <c r="H318" s="1100">
        <v>0.97606175604982226</v>
      </c>
      <c r="I318" s="1100">
        <v>0.98410330538774782</v>
      </c>
      <c r="K318">
        <v>2.195609840945266</v>
      </c>
      <c r="L318">
        <v>0</v>
      </c>
      <c r="M318">
        <v>1.5427607461638265E-3</v>
      </c>
      <c r="N318">
        <v>0.14081786545917763</v>
      </c>
      <c r="O318">
        <v>2.024402681564896E-2</v>
      </c>
      <c r="P318">
        <v>2.5828736733927115E-2</v>
      </c>
      <c r="Q318">
        <v>5.653427307865385E-3</v>
      </c>
      <c r="R318">
        <v>1.5205452887132522E-3</v>
      </c>
      <c r="S318">
        <v>0.24042221046293039</v>
      </c>
      <c r="T318">
        <v>1.3175043424058572</v>
      </c>
      <c r="U318">
        <v>0.14691566217528632</v>
      </c>
      <c r="V318">
        <v>0.18625195777377565</v>
      </c>
      <c r="W318">
        <v>9.2432192455263615E-2</v>
      </c>
      <c r="X318">
        <v>1.5423211784725327E-2</v>
      </c>
      <c r="Y318">
        <v>4.1384230282577603E-3</v>
      </c>
    </row>
    <row r="319" spans="1:25" x14ac:dyDescent="0.25">
      <c r="A319" s="1096"/>
      <c r="B319" s="1455">
        <v>69</v>
      </c>
      <c r="C319" s="1100">
        <v>0.98980697594523392</v>
      </c>
      <c r="D319" s="1100">
        <v>1.0157386303550902</v>
      </c>
      <c r="E319" s="1100">
        <v>1.0026675248756449</v>
      </c>
      <c r="F319" s="1100">
        <v>0.99879911529025389</v>
      </c>
      <c r="G319" s="1100">
        <v>1.0157672426865978</v>
      </c>
      <c r="H319" s="1100">
        <v>1.0381639668822533</v>
      </c>
      <c r="I319" s="1100">
        <v>0.97894468203245955</v>
      </c>
      <c r="K319">
        <v>2.2292740737857062</v>
      </c>
      <c r="L319">
        <v>0</v>
      </c>
      <c r="M319">
        <v>1.6077493638099274E-3</v>
      </c>
      <c r="N319">
        <v>0.14745228794718956</v>
      </c>
      <c r="O319">
        <v>1.9888854738483664E-2</v>
      </c>
      <c r="P319">
        <v>2.6162236527516546E-2</v>
      </c>
      <c r="Q319">
        <v>5.5614487810625194E-3</v>
      </c>
      <c r="R319">
        <v>1.5859829755232942E-3</v>
      </c>
      <c r="S319">
        <v>0.24004934115762019</v>
      </c>
      <c r="T319">
        <v>1.3422541516767135</v>
      </c>
      <c r="U319">
        <v>0.1442490016962546</v>
      </c>
      <c r="V319">
        <v>0.18712188353779141</v>
      </c>
      <c r="W319">
        <v>9.6712837963086704E-2</v>
      </c>
      <c r="X319">
        <v>1.5527273308047618E-2</v>
      </c>
      <c r="Y319">
        <v>4.3165228402270352E-3</v>
      </c>
    </row>
    <row r="320" spans="1:25" x14ac:dyDescent="0.25">
      <c r="A320" s="1096"/>
      <c r="B320" s="1455">
        <v>70</v>
      </c>
      <c r="C320" s="1100">
        <v>1.0145744636863181</v>
      </c>
      <c r="D320" s="1100">
        <v>1.0062727607507267</v>
      </c>
      <c r="E320" s="1100">
        <v>0.9999239216664757</v>
      </c>
      <c r="F320" s="1100">
        <v>0.96841740768337692</v>
      </c>
      <c r="G320" s="1100">
        <v>1.0274498358919306</v>
      </c>
      <c r="H320" s="1100">
        <v>0.96244384749116874</v>
      </c>
      <c r="I320" s="1100">
        <v>1.0043826022295881</v>
      </c>
      <c r="K320">
        <v>2.1542918351933338</v>
      </c>
      <c r="L320">
        <v>0</v>
      </c>
      <c r="M320">
        <v>1.4654164186647439E-3</v>
      </c>
      <c r="N320">
        <v>0.13314519790936064</v>
      </c>
      <c r="O320">
        <v>1.9441655612032378E-2</v>
      </c>
      <c r="P320">
        <v>2.5437783205490786E-2</v>
      </c>
      <c r="Q320">
        <v>5.4214388951914936E-3</v>
      </c>
      <c r="R320">
        <v>1.4440161301031767E-3</v>
      </c>
      <c r="S320">
        <v>0.23536865167682461</v>
      </c>
      <c r="T320">
        <v>1.301420842797979</v>
      </c>
      <c r="U320">
        <v>0.14072141113221923</v>
      </c>
      <c r="V320">
        <v>0.18697689337616644</v>
      </c>
      <c r="W320">
        <v>8.7471299134951663E-2</v>
      </c>
      <c r="X320">
        <v>1.4977925855325267E-2</v>
      </c>
      <c r="Y320">
        <v>3.9301358863514917E-3</v>
      </c>
    </row>
    <row r="321" spans="1:25" x14ac:dyDescent="0.25">
      <c r="A321" s="1096"/>
      <c r="B321" s="1455">
        <v>71</v>
      </c>
      <c r="C321" s="1100">
        <v>0.98989108083782829</v>
      </c>
      <c r="D321" s="1100">
        <v>1.0171381117771316</v>
      </c>
      <c r="E321" s="1100">
        <v>1.016585802391055</v>
      </c>
      <c r="F321" s="1100">
        <v>1.0355357972349337</v>
      </c>
      <c r="G321" s="1100">
        <v>1.0275954840478039</v>
      </c>
      <c r="H321" s="1100">
        <v>1.0302500845600771</v>
      </c>
      <c r="I321" s="1100">
        <v>1.0019602085599408</v>
      </c>
      <c r="K321">
        <v>2.2871113309551814</v>
      </c>
      <c r="L321">
        <v>0</v>
      </c>
      <c r="M321">
        <v>1.5494215346031038E-3</v>
      </c>
      <c r="N321">
        <v>0.14818566745692782</v>
      </c>
      <c r="O321">
        <v>1.9889905257219623E-2</v>
      </c>
      <c r="P321">
        <v>2.720189241560194E-2</v>
      </c>
      <c r="Q321">
        <v>5.6396817307550187E-3</v>
      </c>
      <c r="R321">
        <v>1.528283680025276E-3</v>
      </c>
      <c r="S321">
        <v>0.24497378133827899</v>
      </c>
      <c r="T321">
        <v>1.391649347816341</v>
      </c>
      <c r="U321">
        <v>0.14426916540631859</v>
      </c>
      <c r="V321">
        <v>0.18846630005545176</v>
      </c>
      <c r="W321">
        <v>9.639918600697743E-2</v>
      </c>
      <c r="X321">
        <v>1.6298056947434587E-2</v>
      </c>
      <c r="Y321">
        <v>4.1594843784490791E-3</v>
      </c>
    </row>
    <row r="322" spans="1:25" x14ac:dyDescent="0.25">
      <c r="A322" s="1096"/>
      <c r="B322" s="1455">
        <v>72</v>
      </c>
      <c r="C322" s="1100">
        <v>0.98898877795535822</v>
      </c>
      <c r="D322" s="1100">
        <v>0.98613566638965922</v>
      </c>
      <c r="E322" s="1100">
        <v>0.99062784586879449</v>
      </c>
      <c r="F322" s="1100">
        <v>0.99375428029963919</v>
      </c>
      <c r="G322" s="1100">
        <v>0.98067648311311406</v>
      </c>
      <c r="H322" s="1100">
        <v>1.0074800834504005</v>
      </c>
      <c r="I322" s="1100">
        <v>0.98376797239710501</v>
      </c>
      <c r="K322">
        <v>2.2127405689812645</v>
      </c>
      <c r="L322">
        <v>0</v>
      </c>
      <c r="M322">
        <v>1.6114408671617617E-3</v>
      </c>
      <c r="N322">
        <v>0.14245078777051437</v>
      </c>
      <c r="O322">
        <v>2.0027631735578564E-2</v>
      </c>
      <c r="P322">
        <v>2.5816173727964246E-2</v>
      </c>
      <c r="Q322">
        <v>5.5327638814802408E-3</v>
      </c>
      <c r="R322">
        <v>1.5889600610063063E-3</v>
      </c>
      <c r="S322">
        <v>0.24244723957774414</v>
      </c>
      <c r="T322">
        <v>1.3354563842903253</v>
      </c>
      <c r="U322">
        <v>0.14434032707614958</v>
      </c>
      <c r="V322">
        <v>0.18319426153185192</v>
      </c>
      <c r="W322">
        <v>9.4105154614602893E-2</v>
      </c>
      <c r="X322">
        <v>1.5067700095693788E-2</v>
      </c>
      <c r="Y322">
        <v>4.3246254855158293E-3</v>
      </c>
    </row>
    <row r="323" spans="1:25" x14ac:dyDescent="0.25">
      <c r="A323" s="1096"/>
      <c r="B323" s="1455">
        <v>73</v>
      </c>
      <c r="C323" s="1100">
        <v>0.99923923432773454</v>
      </c>
      <c r="D323" s="1100">
        <v>1.0400299360785297</v>
      </c>
      <c r="E323" s="1100">
        <v>1.002342348858775</v>
      </c>
      <c r="F323" s="1100">
        <v>1.0041243807802935</v>
      </c>
      <c r="G323" s="1100">
        <v>1.0127146350506822</v>
      </c>
      <c r="H323" s="1100">
        <v>1.0128589504179184</v>
      </c>
      <c r="I323" s="1100">
        <v>0.9829864290742808</v>
      </c>
      <c r="K323">
        <v>2.2178778953544502</v>
      </c>
      <c r="L323">
        <v>0</v>
      </c>
      <c r="M323">
        <v>1.546740289311741E-3</v>
      </c>
      <c r="N323">
        <v>0.14166907092556616</v>
      </c>
      <c r="O323">
        <v>1.9598746208686822E-2</v>
      </c>
      <c r="P323">
        <v>2.6140286105175731E-2</v>
      </c>
      <c r="Q323">
        <v>5.4785382505350404E-3</v>
      </c>
      <c r="R323">
        <v>1.5252766972850809E-3</v>
      </c>
      <c r="S323">
        <v>0.23402653935605311</v>
      </c>
      <c r="T323">
        <v>1.3494100678824485</v>
      </c>
      <c r="U323">
        <v>0.14288662243834521</v>
      </c>
      <c r="V323">
        <v>0.18621076811080198</v>
      </c>
      <c r="W323">
        <v>9.2937594302456128E-2</v>
      </c>
      <c r="X323">
        <v>1.538982500372366E-2</v>
      </c>
      <c r="Y323">
        <v>4.1513003626818638E-3</v>
      </c>
    </row>
    <row r="324" spans="1:25" x14ac:dyDescent="0.25">
      <c r="A324" s="1096"/>
      <c r="B324" s="1455">
        <v>74</v>
      </c>
      <c r="C324" s="1100">
        <v>1.0266771214474966</v>
      </c>
      <c r="D324" s="1100">
        <v>0.96394273633738847</v>
      </c>
      <c r="E324" s="1100">
        <v>1.003260916395722</v>
      </c>
      <c r="F324" s="1100">
        <v>1.0033214209581314</v>
      </c>
      <c r="G324" s="1100">
        <v>0.99860432322546333</v>
      </c>
      <c r="H324" s="1100">
        <v>0.98622409692582524</v>
      </c>
      <c r="I324" s="1100">
        <v>0.98110926514376917</v>
      </c>
      <c r="K324">
        <v>2.2007488228117036</v>
      </c>
      <c r="L324">
        <v>0</v>
      </c>
      <c r="M324">
        <v>1.4876836313142839E-3</v>
      </c>
      <c r="N324">
        <v>0.13658661867652713</v>
      </c>
      <c r="O324">
        <v>1.9397033532220269E-2</v>
      </c>
      <c r="P324">
        <v>2.6047899717366256E-2</v>
      </c>
      <c r="Q324">
        <v>5.4271534291770798E-3</v>
      </c>
      <c r="R324">
        <v>1.4664820159279168E-3</v>
      </c>
      <c r="S324">
        <v>0.23404168124541933</v>
      </c>
      <c r="T324">
        <v>1.3483325196075768</v>
      </c>
      <c r="U324">
        <v>0.13907004644088072</v>
      </c>
      <c r="V324">
        <v>0.18302989464198338</v>
      </c>
      <c r="W324">
        <v>8.9554612043437842E-2</v>
      </c>
      <c r="X324">
        <v>1.5291284470808164E-2</v>
      </c>
      <c r="Y324">
        <v>3.9912806216891627E-3</v>
      </c>
    </row>
    <row r="325" spans="1:25" x14ac:dyDescent="0.25">
      <c r="A325" s="1096"/>
      <c r="B325" s="1455">
        <v>75</v>
      </c>
      <c r="C325" s="1100">
        <v>0.98226156773037954</v>
      </c>
      <c r="D325" s="1100">
        <v>0.96351829410527023</v>
      </c>
      <c r="E325" s="1100">
        <v>0.98430703737833558</v>
      </c>
      <c r="F325" s="1100">
        <v>0.9712878435249529</v>
      </c>
      <c r="G325" s="1100">
        <v>0.99044518963841799</v>
      </c>
      <c r="H325" s="1100">
        <v>1.029969186682729</v>
      </c>
      <c r="I325" s="1100">
        <v>0.99942092653804049</v>
      </c>
      <c r="K325">
        <v>2.202315672160009</v>
      </c>
      <c r="L325">
        <v>0</v>
      </c>
      <c r="M325">
        <v>1.6891422259369706E-3</v>
      </c>
      <c r="N325">
        <v>0.14653780635138414</v>
      </c>
      <c r="O325">
        <v>2.0263945428127036E-2</v>
      </c>
      <c r="P325">
        <v>2.5457891643355504E-2</v>
      </c>
      <c r="Q325">
        <v>5.5623459493013699E-3</v>
      </c>
      <c r="R325">
        <v>1.6660919587743637E-3</v>
      </c>
      <c r="S325">
        <v>0.25269063682301701</v>
      </c>
      <c r="T325">
        <v>1.3052567748762545</v>
      </c>
      <c r="U325">
        <v>0.14531408426680548</v>
      </c>
      <c r="V325">
        <v>0.18470370724958801</v>
      </c>
      <c r="W325">
        <v>9.7173091858753918E-2</v>
      </c>
      <c r="X325">
        <v>1.4843884895866861E-2</v>
      </c>
      <c r="Y325">
        <v>4.5345530847172152E-3</v>
      </c>
    </row>
    <row r="326" spans="1:25" x14ac:dyDescent="0.25">
      <c r="A326" s="1096"/>
      <c r="B326" s="1455">
        <v>76</v>
      </c>
      <c r="C326" s="1100">
        <v>0.99292764405499001</v>
      </c>
      <c r="D326" s="1100">
        <v>1.0208824474132001</v>
      </c>
      <c r="E326" s="1100">
        <v>0.9997907735390863</v>
      </c>
      <c r="F326" s="1100">
        <v>1.0239156630906621</v>
      </c>
      <c r="G326" s="1100">
        <v>1.0020558770415897</v>
      </c>
      <c r="H326" s="1100">
        <v>0.99365564468633805</v>
      </c>
      <c r="I326" s="1100">
        <v>0.98524015208139248</v>
      </c>
      <c r="K326">
        <v>2.2453613319182306</v>
      </c>
      <c r="L326">
        <v>0</v>
      </c>
      <c r="M326">
        <v>1.541454189161622E-3</v>
      </c>
      <c r="N326">
        <v>0.1400626999073368</v>
      </c>
      <c r="O326">
        <v>1.9802523519477595E-2</v>
      </c>
      <c r="P326">
        <v>2.6490740160664876E-2</v>
      </c>
      <c r="Q326">
        <v>5.5213303139850086E-3</v>
      </c>
      <c r="R326">
        <v>1.5196505646005085E-3</v>
      </c>
      <c r="S326">
        <v>0.23669006918112132</v>
      </c>
      <c r="T326">
        <v>1.3760027079778312</v>
      </c>
      <c r="U326">
        <v>0.14378897046642974</v>
      </c>
      <c r="V326">
        <v>0.18538108350456647</v>
      </c>
      <c r="W326">
        <v>9.2023116061832708E-2</v>
      </c>
      <c r="X326">
        <v>1.548390656537677E-2</v>
      </c>
      <c r="Y326">
        <v>4.1359878841685984E-3</v>
      </c>
    </row>
    <row r="327" spans="1:25" x14ac:dyDescent="0.25">
      <c r="A327" s="1096"/>
      <c r="B327" s="1455">
        <v>77</v>
      </c>
      <c r="C327" s="1100">
        <v>0.98287090508996955</v>
      </c>
      <c r="D327" s="1100">
        <v>0.97672775889517371</v>
      </c>
      <c r="E327" s="1100">
        <v>0.99809635477242187</v>
      </c>
      <c r="F327" s="1100">
        <v>0.97083653416971816</v>
      </c>
      <c r="G327" s="1100">
        <v>0.98660436600774759</v>
      </c>
      <c r="H327" s="1100">
        <v>1.0008101479849592</v>
      </c>
      <c r="I327" s="1100">
        <v>0.99030714186973745</v>
      </c>
      <c r="K327">
        <v>2.1895905685731152</v>
      </c>
      <c r="L327">
        <v>0</v>
      </c>
      <c r="M327">
        <v>1.5893451104500543E-3</v>
      </c>
      <c r="N327">
        <v>0.14369154335857096</v>
      </c>
      <c r="O327">
        <v>2.0199604978506199E-2</v>
      </c>
      <c r="P327">
        <v>2.5620590339816663E-2</v>
      </c>
      <c r="Q327">
        <v>5.6224544751310819E-3</v>
      </c>
      <c r="R327">
        <v>1.5670247868503268E-3</v>
      </c>
      <c r="S327">
        <v>0.24627573126575047</v>
      </c>
      <c r="T327">
        <v>1.3046690320471206</v>
      </c>
      <c r="U327">
        <v>0.14525625135998965</v>
      </c>
      <c r="V327">
        <v>0.18424430753276971</v>
      </c>
      <c r="W327">
        <v>9.4502518075935141E-2</v>
      </c>
      <c r="X327">
        <v>1.5265930562899238E-2</v>
      </c>
      <c r="Y327">
        <v>4.2649249002244356E-3</v>
      </c>
    </row>
    <row r="328" spans="1:25" x14ac:dyDescent="0.25">
      <c r="A328" s="1096"/>
      <c r="B328" s="1455">
        <v>78</v>
      </c>
      <c r="C328" s="1100">
        <v>1.0020372043891341</v>
      </c>
      <c r="D328" s="1100">
        <v>0.98662243998254973</v>
      </c>
      <c r="E328" s="1100">
        <v>1.0113335499322165</v>
      </c>
      <c r="F328" s="1100">
        <v>1.0039115097996241</v>
      </c>
      <c r="G328" s="1100">
        <v>1.0421567518343995</v>
      </c>
      <c r="H328" s="1100">
        <v>1.006373249107833</v>
      </c>
      <c r="I328" s="1100">
        <v>0.978086151927411</v>
      </c>
      <c r="K328">
        <v>2.2272122095840032</v>
      </c>
      <c r="L328">
        <v>0</v>
      </c>
      <c r="M328">
        <v>1.5217441671429432E-3</v>
      </c>
      <c r="N328">
        <v>0.14320273546219875</v>
      </c>
      <c r="O328">
        <v>1.9777636198194136E-2</v>
      </c>
      <c r="P328">
        <v>2.6403284505223949E-2</v>
      </c>
      <c r="Q328">
        <v>5.5785462644572263E-3</v>
      </c>
      <c r="R328">
        <v>1.5004913483854321E-3</v>
      </c>
      <c r="S328">
        <v>0.23791836610409839</v>
      </c>
      <c r="T328">
        <v>1.3491397041912285</v>
      </c>
      <c r="U328">
        <v>0.14250832317067516</v>
      </c>
      <c r="V328">
        <v>0.18938088059743063</v>
      </c>
      <c r="W328">
        <v>9.3445707964587163E-2</v>
      </c>
      <c r="X328">
        <v>1.5794435131198874E-2</v>
      </c>
      <c r="Y328">
        <v>4.0838428134650859E-3</v>
      </c>
    </row>
    <row r="329" spans="1:25" x14ac:dyDescent="0.25">
      <c r="A329" s="1096"/>
      <c r="B329" s="1455">
        <v>79</v>
      </c>
      <c r="C329" s="1100">
        <v>1.0303470713081266</v>
      </c>
      <c r="D329" s="1100">
        <v>1.0259582171016268</v>
      </c>
      <c r="E329" s="1100">
        <v>0.97495828033655907</v>
      </c>
      <c r="F329" s="1100">
        <v>0.95534030878217591</v>
      </c>
      <c r="G329" s="1100">
        <v>1.01902601600058</v>
      </c>
      <c r="H329" s="1100">
        <v>0.99916753639935407</v>
      </c>
      <c r="I329" s="1100">
        <v>1.0162570463024074</v>
      </c>
      <c r="K329">
        <v>2.130124532298892</v>
      </c>
      <c r="L329">
        <v>0</v>
      </c>
      <c r="M329">
        <v>1.5707950402151641E-3</v>
      </c>
      <c r="N329">
        <v>0.13241368411072327</v>
      </c>
      <c r="O329">
        <v>1.9047598037838679E-2</v>
      </c>
      <c r="P329">
        <v>2.4667405972721108E-2</v>
      </c>
      <c r="Q329">
        <v>5.1790089930709828E-3</v>
      </c>
      <c r="R329">
        <v>1.5486989627844403E-3</v>
      </c>
      <c r="S329">
        <v>0.2349454176722533</v>
      </c>
      <c r="T329">
        <v>1.2838155807913456</v>
      </c>
      <c r="U329">
        <v>0.13851156655491298</v>
      </c>
      <c r="V329">
        <v>0.18510903220500047</v>
      </c>
      <c r="W329">
        <v>8.8304231813062017E-2</v>
      </c>
      <c r="X329">
        <v>1.3938054177171678E-2</v>
      </c>
      <c r="Y329">
        <v>4.2150480482233714E-3</v>
      </c>
    </row>
    <row r="330" spans="1:25" x14ac:dyDescent="0.25">
      <c r="A330" s="1096"/>
      <c r="B330" s="1455">
        <v>80</v>
      </c>
      <c r="C330" s="1100">
        <v>1.0007961736853697</v>
      </c>
      <c r="D330" s="1100">
        <v>0.99378658055265168</v>
      </c>
      <c r="E330" s="1100">
        <v>0.96496545283049329</v>
      </c>
      <c r="F330" s="1100">
        <v>0.98756601144427025</v>
      </c>
      <c r="G330" s="1100">
        <v>1.003246044774242</v>
      </c>
      <c r="H330" s="1100">
        <v>1.0091303547805537</v>
      </c>
      <c r="I330" s="1100">
        <v>0.99506744902306621</v>
      </c>
      <c r="K330">
        <v>2.1943105678241581</v>
      </c>
      <c r="L330">
        <v>0</v>
      </c>
      <c r="M330">
        <v>1.6790737586521976E-3</v>
      </c>
      <c r="N330">
        <v>0.13734211729773571</v>
      </c>
      <c r="O330">
        <v>1.9741741229493001E-2</v>
      </c>
      <c r="P330">
        <v>2.5192327127319055E-2</v>
      </c>
      <c r="Q330">
        <v>5.3131999620155178E-3</v>
      </c>
      <c r="R330">
        <v>1.6556877297968558E-3</v>
      </c>
      <c r="S330">
        <v>0.24134161567535459</v>
      </c>
      <c r="T330">
        <v>1.3271122690486008</v>
      </c>
      <c r="U330">
        <v>0.14257857549527642</v>
      </c>
      <c r="V330">
        <v>0.18501635818424866</v>
      </c>
      <c r="W330">
        <v>9.2149681708152728E-2</v>
      </c>
      <c r="X330">
        <v>1.4039831921622344E-2</v>
      </c>
      <c r="Y330">
        <v>4.5062362031936002E-3</v>
      </c>
    </row>
    <row r="331" spans="1:25" x14ac:dyDescent="0.25">
      <c r="A331" s="1096"/>
      <c r="B331" s="1455">
        <v>81</v>
      </c>
      <c r="C331" s="1100">
        <v>0.9643439149964449</v>
      </c>
      <c r="D331" s="1100">
        <v>1.0186246181658472</v>
      </c>
      <c r="E331" s="1100">
        <v>0.99882821311629011</v>
      </c>
      <c r="F331" s="1100">
        <v>0.98938490345916263</v>
      </c>
      <c r="G331" s="1100">
        <v>0.99301801096918729</v>
      </c>
      <c r="H331" s="1100">
        <v>1.0010477319027922</v>
      </c>
      <c r="I331" s="1100">
        <v>1.0096524085554575</v>
      </c>
      <c r="K331">
        <v>2.2270979382854348</v>
      </c>
      <c r="L331">
        <v>0</v>
      </c>
      <c r="M331">
        <v>1.6029270067892001E-3</v>
      </c>
      <c r="N331">
        <v>0.14524078626875186</v>
      </c>
      <c r="O331">
        <v>2.0398795358301126E-2</v>
      </c>
      <c r="P331">
        <v>2.6097521404744341E-2</v>
      </c>
      <c r="Q331">
        <v>5.682080111688673E-3</v>
      </c>
      <c r="R331">
        <v>1.5804212854590189E-3</v>
      </c>
      <c r="S331">
        <v>0.25062912087156458</v>
      </c>
      <c r="T331">
        <v>1.329596584584964</v>
      </c>
      <c r="U331">
        <v>0.14804866353902876</v>
      </c>
      <c r="V331">
        <v>0.18612951413718176</v>
      </c>
      <c r="W331">
        <v>9.5479827375368087E-2</v>
      </c>
      <c r="X331">
        <v>1.5516164601883667E-2</v>
      </c>
      <c r="Y331">
        <v>4.3013857532827153E-3</v>
      </c>
    </row>
    <row r="332" spans="1:25" x14ac:dyDescent="0.25">
      <c r="A332" s="1096"/>
      <c r="B332" s="1455">
        <v>82</v>
      </c>
      <c r="C332" s="1100">
        <v>1.003900911862831</v>
      </c>
      <c r="D332" s="1100">
        <v>0.99911813935730909</v>
      </c>
      <c r="E332" s="1100">
        <v>0.99281233972419536</v>
      </c>
      <c r="F332" s="1100">
        <v>1.0088221687590815</v>
      </c>
      <c r="G332" s="1100">
        <v>1.0325023529959971</v>
      </c>
      <c r="H332" s="1100">
        <v>0.98227321083437225</v>
      </c>
      <c r="I332" s="1100">
        <v>1.0032087061667498</v>
      </c>
      <c r="K332">
        <v>2.2233568153144101</v>
      </c>
      <c r="L332">
        <v>0</v>
      </c>
      <c r="M332">
        <v>1.5363695790139647E-3</v>
      </c>
      <c r="N332">
        <v>0.13666474249470892</v>
      </c>
      <c r="O332">
        <v>1.9674805379871912E-2</v>
      </c>
      <c r="P332">
        <v>2.6138288109295832E-2</v>
      </c>
      <c r="Q332">
        <v>5.4472962741579627E-3</v>
      </c>
      <c r="R332">
        <v>1.5143860517514687E-3</v>
      </c>
      <c r="S332">
        <v>0.23997972275151969</v>
      </c>
      <c r="T332">
        <v>1.3557084726475075</v>
      </c>
      <c r="U332">
        <v>0.14220127185928255</v>
      </c>
      <c r="V332">
        <v>0.18816356837052764</v>
      </c>
      <c r="W332">
        <v>9.0164894758729922E-2</v>
      </c>
      <c r="X332">
        <v>1.5114076580431762E-2</v>
      </c>
      <c r="Y332">
        <v>4.1216596156397056E-3</v>
      </c>
    </row>
    <row r="333" spans="1:25" x14ac:dyDescent="0.25">
      <c r="A333" s="1096"/>
      <c r="B333" s="1455">
        <v>83</v>
      </c>
      <c r="C333" s="1100">
        <v>0.99581227953846196</v>
      </c>
      <c r="D333" s="1100">
        <v>0.99927878243589052</v>
      </c>
      <c r="E333" s="1100">
        <v>1.0163800553004361</v>
      </c>
      <c r="F333" s="1100">
        <v>0.98184751273637338</v>
      </c>
      <c r="G333" s="1100">
        <v>0.97822785792592548</v>
      </c>
      <c r="H333" s="1100">
        <v>0.98305895650935549</v>
      </c>
      <c r="I333" s="1100">
        <v>1.0090465424192652</v>
      </c>
      <c r="K333">
        <v>2.1930394444567685</v>
      </c>
      <c r="L333">
        <v>0</v>
      </c>
      <c r="M333">
        <v>1.4760285672881215E-3</v>
      </c>
      <c r="N333">
        <v>0.14098512542291228</v>
      </c>
      <c r="O333">
        <v>1.9848712179056923E-2</v>
      </c>
      <c r="P333">
        <v>2.6088069724132829E-2</v>
      </c>
      <c r="Q333">
        <v>5.6268483647986135E-3</v>
      </c>
      <c r="R333">
        <v>1.4549253254672009E-3</v>
      </c>
      <c r="S333">
        <v>0.24356260983286196</v>
      </c>
      <c r="T333">
        <v>1.3194976426489071</v>
      </c>
      <c r="U333">
        <v>0.14341084973271062</v>
      </c>
      <c r="V333">
        <v>0.18252955996856052</v>
      </c>
      <c r="W333">
        <v>9.1726090419224263E-2</v>
      </c>
      <c r="X333">
        <v>1.5825212285505458E-2</v>
      </c>
      <c r="Y333">
        <v>3.9598271199170797E-3</v>
      </c>
    </row>
    <row r="334" spans="1:25" x14ac:dyDescent="0.25">
      <c r="A334" s="1096"/>
      <c r="B334" s="1455">
        <v>84</v>
      </c>
      <c r="C334" s="1100">
        <v>1.0076037052253082</v>
      </c>
      <c r="D334" s="1100">
        <v>1.0332617558124064</v>
      </c>
      <c r="E334" s="1100">
        <v>1.0284029293908448</v>
      </c>
      <c r="F334" s="1100">
        <v>0.9648929825276229</v>
      </c>
      <c r="G334" s="1100">
        <v>0.97693829576844793</v>
      </c>
      <c r="H334" s="1100">
        <v>1.0053464959885765</v>
      </c>
      <c r="I334" s="1100">
        <v>1.0059975624504989</v>
      </c>
      <c r="K334">
        <v>2.1644411070316529</v>
      </c>
      <c r="L334">
        <v>0</v>
      </c>
      <c r="M334">
        <v>1.4442935230372857E-3</v>
      </c>
      <c r="N334">
        <v>0.1430944866529183</v>
      </c>
      <c r="O334">
        <v>1.9480065846584831E-2</v>
      </c>
      <c r="P334">
        <v>2.5887457916214891E-2</v>
      </c>
      <c r="Q334">
        <v>5.5886559826673135E-3</v>
      </c>
      <c r="R334">
        <v>1.4241017864509563E-3</v>
      </c>
      <c r="S334">
        <v>0.23788179650274735</v>
      </c>
      <c r="T334">
        <v>1.2967366322434151</v>
      </c>
      <c r="U334">
        <v>0.14176015749240292</v>
      </c>
      <c r="V334">
        <v>0.18169746211993126</v>
      </c>
      <c r="W334">
        <v>9.2447117958129113E-2</v>
      </c>
      <c r="X334">
        <v>1.6011530445534806E-2</v>
      </c>
      <c r="Y334">
        <v>3.8759356076917681E-3</v>
      </c>
    </row>
    <row r="335" spans="1:25" x14ac:dyDescent="0.25">
      <c r="A335" s="1096"/>
      <c r="B335" s="1455">
        <v>85</v>
      </c>
      <c r="C335" s="1100">
        <v>0.96731957465269891</v>
      </c>
      <c r="D335" s="1100">
        <v>0.98995885574537346</v>
      </c>
      <c r="E335" s="1100">
        <v>0.9546619141438023</v>
      </c>
      <c r="F335" s="1100">
        <v>1.0196375989521722</v>
      </c>
      <c r="G335" s="1100">
        <v>0.97185368539865147</v>
      </c>
      <c r="H335" s="1100">
        <v>1.0135937695844119</v>
      </c>
      <c r="I335" s="1100">
        <v>1.007906707670756</v>
      </c>
      <c r="K335">
        <v>2.2623652371771086</v>
      </c>
      <c r="L335">
        <v>0</v>
      </c>
      <c r="M335">
        <v>1.7838299911480421E-3</v>
      </c>
      <c r="N335">
        <v>0.14143443809343184</v>
      </c>
      <c r="O335">
        <v>2.0435679082329017E-2</v>
      </c>
      <c r="P335">
        <v>2.5768072910756157E-2</v>
      </c>
      <c r="Q335">
        <v>5.4420197485651432E-3</v>
      </c>
      <c r="R335">
        <v>1.7590943309685563E-3</v>
      </c>
      <c r="S335">
        <v>0.25369391556744952</v>
      </c>
      <c r="T335">
        <v>1.3702033384400263</v>
      </c>
      <c r="U335">
        <v>0.1474885154008877</v>
      </c>
      <c r="V335">
        <v>0.18350904793998182</v>
      </c>
      <c r="W335">
        <v>9.5497261512887954E-2</v>
      </c>
      <c r="X335">
        <v>1.4130009257363248E-2</v>
      </c>
      <c r="Y335">
        <v>4.7876748836060551E-3</v>
      </c>
    </row>
    <row r="336" spans="1:25" x14ac:dyDescent="0.25">
      <c r="A336" s="1096"/>
      <c r="B336" s="1455">
        <v>86</v>
      </c>
      <c r="C336" s="1100">
        <v>1.030756628607177</v>
      </c>
      <c r="D336" s="1100">
        <v>1.0168925220344682</v>
      </c>
      <c r="E336" s="1100">
        <v>0.98360762292044157</v>
      </c>
      <c r="F336" s="1100">
        <v>0.97435284574494918</v>
      </c>
      <c r="G336" s="1100">
        <v>0.99405219452644511</v>
      </c>
      <c r="H336" s="1100">
        <v>0.98192593029232145</v>
      </c>
      <c r="I336" s="1100">
        <v>1.0237326426103328</v>
      </c>
      <c r="K336">
        <v>2.1528514369050935</v>
      </c>
      <c r="L336">
        <v>0</v>
      </c>
      <c r="M336">
        <v>1.5186891879247397E-3</v>
      </c>
      <c r="N336">
        <v>0.13138310100739614</v>
      </c>
      <c r="O336">
        <v>1.9082449286048662E-2</v>
      </c>
      <c r="P336">
        <v>2.5154266940705893E-2</v>
      </c>
      <c r="Q336">
        <v>5.2343173749292886E-3</v>
      </c>
      <c r="R336">
        <v>1.4969509594442319E-3</v>
      </c>
      <c r="S336">
        <v>0.2363218287223251</v>
      </c>
      <c r="T336">
        <v>1.3093748055380263</v>
      </c>
      <c r="U336">
        <v>0.13847578576849495</v>
      </c>
      <c r="V336">
        <v>0.18227010587817671</v>
      </c>
      <c r="W336">
        <v>8.7160293079703716E-2</v>
      </c>
      <c r="X336">
        <v>1.4342014495909208E-2</v>
      </c>
      <c r="Y336">
        <v>4.0742070418560419E-3</v>
      </c>
    </row>
    <row r="337" spans="1:25" x14ac:dyDescent="0.25">
      <c r="A337" s="1096"/>
      <c r="B337" s="1455">
        <v>87</v>
      </c>
      <c r="C337" s="1100">
        <v>1.0115530687882408</v>
      </c>
      <c r="D337" s="1100">
        <v>0.9684820604647818</v>
      </c>
      <c r="E337" s="1100">
        <v>0.97422672508490604</v>
      </c>
      <c r="F337" s="1100">
        <v>1.0154974619642125</v>
      </c>
      <c r="G337" s="1100">
        <v>0.99196124027958965</v>
      </c>
      <c r="H337" s="1100">
        <v>0.97591272468627743</v>
      </c>
      <c r="I337" s="1100">
        <v>0.97713315364052455</v>
      </c>
      <c r="K337">
        <v>2.2154663111909851</v>
      </c>
      <c r="L337">
        <v>0</v>
      </c>
      <c r="M337">
        <v>1.5850823286668021E-3</v>
      </c>
      <c r="N337">
        <v>0.13327719084443887</v>
      </c>
      <c r="O337">
        <v>1.9648683301370068E-2</v>
      </c>
      <c r="P337">
        <v>2.5743807119302149E-2</v>
      </c>
      <c r="Q337">
        <v>5.3384601638204673E-3</v>
      </c>
      <c r="R337">
        <v>1.5622539630025137E-3</v>
      </c>
      <c r="S337">
        <v>0.23499882964566804</v>
      </c>
      <c r="T337">
        <v>1.3646558377764277</v>
      </c>
      <c r="U337">
        <v>0.14108336378791642</v>
      </c>
      <c r="V337">
        <v>0.18311823681588602</v>
      </c>
      <c r="W337">
        <v>8.8919526943819382E-2</v>
      </c>
      <c r="X337">
        <v>1.4453262867584284E-2</v>
      </c>
      <c r="Y337">
        <v>4.2519402904123479E-3</v>
      </c>
    </row>
    <row r="338" spans="1:25" x14ac:dyDescent="0.25">
      <c r="A338" s="1096"/>
      <c r="B338" s="1455">
        <v>88</v>
      </c>
      <c r="C338" s="1100">
        <v>1.0181199257827123</v>
      </c>
      <c r="D338" s="1100">
        <v>0.98240813386431269</v>
      </c>
      <c r="E338" s="1100">
        <v>0.97320165950544524</v>
      </c>
      <c r="F338" s="1100">
        <v>0.98474926711421706</v>
      </c>
      <c r="G338" s="1100">
        <v>0.98023890532165614</v>
      </c>
      <c r="H338" s="1100">
        <v>0.99584002384432846</v>
      </c>
      <c r="I338" s="1100">
        <v>0.99013895209459302</v>
      </c>
      <c r="K338">
        <v>2.1741860239650537</v>
      </c>
      <c r="L338">
        <v>0</v>
      </c>
      <c r="M338">
        <v>1.6053719995996962E-3</v>
      </c>
      <c r="N338">
        <v>0.134604343124372</v>
      </c>
      <c r="O338">
        <v>1.9460100355744841E-2</v>
      </c>
      <c r="P338">
        <v>2.5155553276993457E-2</v>
      </c>
      <c r="Q338">
        <v>5.2816979623792355E-3</v>
      </c>
      <c r="R338">
        <v>1.5827140772692713E-3</v>
      </c>
      <c r="S338">
        <v>0.23644419777106851</v>
      </c>
      <c r="T338">
        <v>1.3233344696039755</v>
      </c>
      <c r="U338">
        <v>0.14017107022865502</v>
      </c>
      <c r="V338">
        <v>0.18141414411378409</v>
      </c>
      <c r="W338">
        <v>8.9860853670790844E-2</v>
      </c>
      <c r="X338">
        <v>1.4174625802848404E-2</v>
      </c>
      <c r="Y338">
        <v>4.3076259767716053E-3</v>
      </c>
    </row>
    <row r="339" spans="1:25" x14ac:dyDescent="0.25">
      <c r="A339" s="1096"/>
      <c r="B339" s="1455">
        <v>89</v>
      </c>
      <c r="C339" s="1100">
        <v>0.98364324273974724</v>
      </c>
      <c r="D339" s="1100">
        <v>1.0131910999329963</v>
      </c>
      <c r="E339" s="1100">
        <v>1.0200809453302488</v>
      </c>
      <c r="F339" s="1100">
        <v>0.99724966778411939</v>
      </c>
      <c r="G339" s="1100">
        <v>1.0344532237379813</v>
      </c>
      <c r="H339" s="1100">
        <v>0.99576813439728062</v>
      </c>
      <c r="I339" s="1100">
        <v>0.99406612928416715</v>
      </c>
      <c r="K339">
        <v>2.2283613025216988</v>
      </c>
      <c r="L339">
        <v>0</v>
      </c>
      <c r="M339">
        <v>1.4974383357501942E-3</v>
      </c>
      <c r="N339">
        <v>0.14466294598042465</v>
      </c>
      <c r="O339">
        <v>2.0035588710451645E-2</v>
      </c>
      <c r="P339">
        <v>2.6551154759477769E-2</v>
      </c>
      <c r="Q339">
        <v>5.7007816514368396E-3</v>
      </c>
      <c r="R339">
        <v>1.4763022433018E-3</v>
      </c>
      <c r="S339">
        <v>0.24229861037006781</v>
      </c>
      <c r="T339">
        <v>1.34020381157849</v>
      </c>
      <c r="U339">
        <v>0.14519372814488107</v>
      </c>
      <c r="V339">
        <v>0.18962540888636945</v>
      </c>
      <c r="W339">
        <v>9.3915060269976522E-2</v>
      </c>
      <c r="X339">
        <v>1.6177340219206436E-2</v>
      </c>
      <c r="Y339">
        <v>4.01800804336379E-3</v>
      </c>
    </row>
    <row r="340" spans="1:25" x14ac:dyDescent="0.25">
      <c r="A340" s="1096"/>
      <c r="B340" s="1455">
        <v>90</v>
      </c>
      <c r="C340" s="1100">
        <v>1.0022462975003446</v>
      </c>
      <c r="D340" s="1100">
        <v>1.015416087816146</v>
      </c>
      <c r="E340" s="1100">
        <v>1.0255761544265782</v>
      </c>
      <c r="F340" s="1100">
        <v>1.0432647215156787</v>
      </c>
      <c r="G340" s="1100">
        <v>1.0076288882469484</v>
      </c>
      <c r="H340" s="1100">
        <v>0.98828789154083252</v>
      </c>
      <c r="I340" s="1100">
        <v>1.0355887703694688</v>
      </c>
      <c r="K340">
        <v>2.2832232366760019</v>
      </c>
      <c r="L340">
        <v>0</v>
      </c>
      <c r="M340">
        <v>1.4413188467346525E-3</v>
      </c>
      <c r="N340">
        <v>0.14155314998466051</v>
      </c>
      <c r="O340">
        <v>1.9657638980337996E-2</v>
      </c>
      <c r="P340">
        <v>2.7486753681411732E-2</v>
      </c>
      <c r="Q340">
        <v>5.6238344685379067E-3</v>
      </c>
      <c r="R340">
        <v>1.4208208901959514E-3</v>
      </c>
      <c r="S340">
        <v>0.24688955779142133</v>
      </c>
      <c r="T340">
        <v>1.4020553845046271</v>
      </c>
      <c r="U340">
        <v>0.14251140222267883</v>
      </c>
      <c r="V340">
        <v>0.18547864414581469</v>
      </c>
      <c r="W340">
        <v>9.1601866353865899E-2</v>
      </c>
      <c r="X340">
        <v>1.6518496409551369E-2</v>
      </c>
      <c r="Y340">
        <v>3.867006089632806E-3</v>
      </c>
    </row>
    <row r="341" spans="1:25" x14ac:dyDescent="0.25">
      <c r="A341" s="1096"/>
      <c r="B341" s="1455">
        <v>91</v>
      </c>
      <c r="C341" s="1100">
        <v>1.0178385446778557</v>
      </c>
      <c r="D341" s="1100">
        <v>0.99535849873175586</v>
      </c>
      <c r="E341" s="1100">
        <v>0.9705935762339003</v>
      </c>
      <c r="F341" s="1100">
        <v>0.99254551096165511</v>
      </c>
      <c r="G341" s="1100">
        <v>0.96000519076826252</v>
      </c>
      <c r="H341" s="1100">
        <v>0.97876568304660982</v>
      </c>
      <c r="I341" s="1100">
        <v>1.0362470700671589</v>
      </c>
      <c r="K341">
        <v>2.1855704547165677</v>
      </c>
      <c r="L341">
        <v>0</v>
      </c>
      <c r="M341">
        <v>1.5822412494721043E-3</v>
      </c>
      <c r="N341">
        <v>0.13158866527083035</v>
      </c>
      <c r="O341">
        <v>1.9407882869447834E-2</v>
      </c>
      <c r="P341">
        <v>2.5322722664050723E-2</v>
      </c>
      <c r="Q341">
        <v>5.2535176007384062E-3</v>
      </c>
      <c r="R341">
        <v>1.5595202231169947E-3</v>
      </c>
      <c r="S341">
        <v>0.24449265966750072</v>
      </c>
      <c r="T341">
        <v>1.3338087626530362</v>
      </c>
      <c r="U341">
        <v>0.14020394799221375</v>
      </c>
      <c r="V341">
        <v>0.17914078624856053</v>
      </c>
      <c r="W341">
        <v>8.7986956469258526E-2</v>
      </c>
      <c r="X341">
        <v>1.4142774355664214E-2</v>
      </c>
      <c r="Y341">
        <v>4.2444999516210759E-3</v>
      </c>
    </row>
    <row r="342" spans="1:25" x14ac:dyDescent="0.25">
      <c r="A342" s="1096"/>
      <c r="B342" s="1455">
        <v>92</v>
      </c>
      <c r="C342" s="1100">
        <v>1.0129009731562724</v>
      </c>
      <c r="D342" s="1100">
        <v>0.99893341677325609</v>
      </c>
      <c r="E342" s="1100">
        <v>0.98303927094707921</v>
      </c>
      <c r="F342" s="1100">
        <v>1.0163610415903419</v>
      </c>
      <c r="G342" s="1100">
        <v>0.9836246812838888</v>
      </c>
      <c r="H342" s="1100">
        <v>0.98303386702850504</v>
      </c>
      <c r="I342" s="1100">
        <v>1.002279827767677</v>
      </c>
      <c r="K342">
        <v>2.2195836175477823</v>
      </c>
      <c r="L342">
        <v>0</v>
      </c>
      <c r="M342">
        <v>1.5551093738140386E-3</v>
      </c>
      <c r="N342">
        <v>0.13430494604214069</v>
      </c>
      <c r="O342">
        <v>1.9494762472214048E-2</v>
      </c>
      <c r="P342">
        <v>2.5952229806657401E-2</v>
      </c>
      <c r="Q342">
        <v>5.3443324579542477E-3</v>
      </c>
      <c r="R342">
        <v>1.5328749215179035E-3</v>
      </c>
      <c r="S342">
        <v>0.23763613596219649</v>
      </c>
      <c r="T342">
        <v>1.3658264108943456</v>
      </c>
      <c r="U342">
        <v>0.14091558092164996</v>
      </c>
      <c r="V342">
        <v>0.18210519622936241</v>
      </c>
      <c r="W342">
        <v>8.9129163674701972E-2</v>
      </c>
      <c r="X342">
        <v>1.4725113314564452E-2</v>
      </c>
      <c r="Y342">
        <v>4.1719802242896611E-3</v>
      </c>
    </row>
    <row r="343" spans="1:25" x14ac:dyDescent="0.25">
      <c r="A343" s="1096"/>
      <c r="B343" s="1455">
        <v>93</v>
      </c>
      <c r="C343" s="1100">
        <v>0.9922156585235008</v>
      </c>
      <c r="D343" s="1100">
        <v>1.0248940639683866</v>
      </c>
      <c r="E343" s="1100">
        <v>1.0019866362013323</v>
      </c>
      <c r="F343" s="1100">
        <v>0.96100853526938634</v>
      </c>
      <c r="G343" s="1100">
        <v>0.98233038811709983</v>
      </c>
      <c r="H343" s="1100">
        <v>1.0063383255997822</v>
      </c>
      <c r="I343" s="1100">
        <v>0.99975928250135782</v>
      </c>
      <c r="K343">
        <v>2.1649781339464758</v>
      </c>
      <c r="L343">
        <v>0</v>
      </c>
      <c r="M343">
        <v>1.5538071177582892E-3</v>
      </c>
      <c r="N343">
        <v>0.14215053485594839</v>
      </c>
      <c r="O343">
        <v>1.9801017759597465E-2</v>
      </c>
      <c r="P343">
        <v>2.5408508502476678E-2</v>
      </c>
      <c r="Q343">
        <v>5.5331038829629694E-3</v>
      </c>
      <c r="R343">
        <v>1.5321057518004088E-3</v>
      </c>
      <c r="S343">
        <v>0.24091827477386715</v>
      </c>
      <c r="T343">
        <v>1.2914675263651854</v>
      </c>
      <c r="U343">
        <v>0.14389724525533912</v>
      </c>
      <c r="V343">
        <v>0.18319622367046989</v>
      </c>
      <c r="W343">
        <v>9.3273127465856281E-2</v>
      </c>
      <c r="X343">
        <v>1.5184385982853363E-2</v>
      </c>
      <c r="Y343">
        <v>4.1698867978753693E-3</v>
      </c>
    </row>
    <row r="344" spans="1:25" x14ac:dyDescent="0.25">
      <c r="A344" s="1096"/>
      <c r="B344" s="1455">
        <v>94</v>
      </c>
      <c r="C344" s="1100">
        <v>0.97934753961020204</v>
      </c>
      <c r="D344" s="1100">
        <v>1.0201184588825558</v>
      </c>
      <c r="E344" s="1100">
        <v>1.0322740209824572</v>
      </c>
      <c r="F344" s="1100">
        <v>0.99236906882678466</v>
      </c>
      <c r="G344" s="1100">
        <v>1.0210290994954738</v>
      </c>
      <c r="H344" s="1100">
        <v>1.0017255729448324</v>
      </c>
      <c r="I344" s="1100">
        <v>0.98717003538112957</v>
      </c>
      <c r="K344">
        <v>2.2252550798170443</v>
      </c>
      <c r="L344">
        <v>0</v>
      </c>
      <c r="M344">
        <v>1.4728587746298345E-3</v>
      </c>
      <c r="N344">
        <v>0.14762987104538622</v>
      </c>
      <c r="O344">
        <v>2.0101100958869658E-2</v>
      </c>
      <c r="P344">
        <v>2.667656217685839E-2</v>
      </c>
      <c r="Q344">
        <v>5.7889350889741035E-3</v>
      </c>
      <c r="R344">
        <v>1.4521932553639187E-3</v>
      </c>
      <c r="S344">
        <v>0.2414289672547997</v>
      </c>
      <c r="T344">
        <v>1.3336708432895419</v>
      </c>
      <c r="U344">
        <v>0.14585936798276838</v>
      </c>
      <c r="V344">
        <v>0.18838413560807821</v>
      </c>
      <c r="W344">
        <v>9.5163209915130775E-2</v>
      </c>
      <c r="X344">
        <v>1.6620360690179192E-2</v>
      </c>
      <c r="Y344">
        <v>3.9523913257226134E-3</v>
      </c>
    </row>
    <row r="345" spans="1:25" x14ac:dyDescent="0.25">
      <c r="A345" s="1096"/>
      <c r="B345" s="1455">
        <v>95</v>
      </c>
      <c r="C345" s="1100">
        <v>1.003787209367843</v>
      </c>
      <c r="D345" s="1100">
        <v>0.99922936362623505</v>
      </c>
      <c r="E345" s="1100">
        <v>1.0147054384604399</v>
      </c>
      <c r="F345" s="1100">
        <v>1.0049831607057393</v>
      </c>
      <c r="G345" s="1100">
        <v>1.0021760816228689</v>
      </c>
      <c r="H345" s="1100">
        <v>0.99542788277256755</v>
      </c>
      <c r="I345" s="1100">
        <v>0.95413136260116627</v>
      </c>
      <c r="K345">
        <v>2.211917694702155</v>
      </c>
      <c r="L345">
        <v>0</v>
      </c>
      <c r="M345">
        <v>1.4879137023900329E-3</v>
      </c>
      <c r="N345">
        <v>0.14142942878230969</v>
      </c>
      <c r="O345">
        <v>1.969018675422991E-2</v>
      </c>
      <c r="P345">
        <v>2.6304549871182283E-2</v>
      </c>
      <c r="Q345">
        <v>5.5726006046538379E-3</v>
      </c>
      <c r="R345">
        <v>1.466904869884967E-3</v>
      </c>
      <c r="S345">
        <v>0.2294137687066575</v>
      </c>
      <c r="T345">
        <v>1.3505862257475831</v>
      </c>
      <c r="U345">
        <v>0.14226762320526745</v>
      </c>
      <c r="V345">
        <v>0.18476153370948276</v>
      </c>
      <c r="W345">
        <v>9.2105669912676685E-2</v>
      </c>
      <c r="X345">
        <v>1.5814684749851229E-2</v>
      </c>
      <c r="Y345">
        <v>3.9924314907664833E-3</v>
      </c>
    </row>
    <row r="346" spans="1:25" x14ac:dyDescent="0.25">
      <c r="A346" s="1096"/>
      <c r="B346" s="1455">
        <v>96</v>
      </c>
      <c r="C346" s="1100">
        <v>1.0126441978151675</v>
      </c>
      <c r="D346" s="1100">
        <v>1.0103448820176895</v>
      </c>
      <c r="E346" s="1100">
        <v>1.0032957253339392</v>
      </c>
      <c r="F346" s="1100">
        <v>1.0049999653269392</v>
      </c>
      <c r="G346" s="1100">
        <v>1.0053386877333428</v>
      </c>
      <c r="H346" s="1100">
        <v>1.0351142007080687</v>
      </c>
      <c r="I346" s="1100">
        <v>0.9937504748129159</v>
      </c>
      <c r="K346">
        <v>2.2237845190211933</v>
      </c>
      <c r="L346">
        <v>0</v>
      </c>
      <c r="M346">
        <v>1.5666674594339461E-3</v>
      </c>
      <c r="N346">
        <v>0.14395160466297169</v>
      </c>
      <c r="O346">
        <v>1.9463491515926953E-2</v>
      </c>
      <c r="P346">
        <v>2.6189201336175853E-2</v>
      </c>
      <c r="Q346">
        <v>5.4459381056977639E-3</v>
      </c>
      <c r="R346">
        <v>1.5453947634648411E-3</v>
      </c>
      <c r="S346">
        <v>0.23857656936538699</v>
      </c>
      <c r="T346">
        <v>1.3505883214739174</v>
      </c>
      <c r="U346">
        <v>0.14099731717196076</v>
      </c>
      <c r="V346">
        <v>0.18459192055315771</v>
      </c>
      <c r="W346">
        <v>9.4381603547179144E-2</v>
      </c>
      <c r="X346">
        <v>1.5413768877884012E-2</v>
      </c>
      <c r="Y346">
        <v>4.2060551069044378E-3</v>
      </c>
    </row>
    <row r="347" spans="1:25" x14ac:dyDescent="0.25">
      <c r="A347" s="1096"/>
      <c r="B347" s="1455">
        <v>97</v>
      </c>
      <c r="C347" s="1100">
        <v>1.0064622481255869</v>
      </c>
      <c r="D347" s="1100">
        <v>0.99707249421213739</v>
      </c>
      <c r="E347" s="1100">
        <v>0.95822819149190364</v>
      </c>
      <c r="F347" s="1100">
        <v>1.044496746457251</v>
      </c>
      <c r="G347" s="1100">
        <v>0.99210339286480198</v>
      </c>
      <c r="H347" s="1100">
        <v>0.98583304023596352</v>
      </c>
      <c r="I347" s="1100">
        <v>1.010479690116544</v>
      </c>
      <c r="K347">
        <v>2.2612003667580693</v>
      </c>
      <c r="L347">
        <v>0</v>
      </c>
      <c r="M347">
        <v>1.6526880446862764E-3</v>
      </c>
      <c r="N347">
        <v>0.13240820933337452</v>
      </c>
      <c r="O347">
        <v>1.9612192464488639E-2</v>
      </c>
      <c r="P347">
        <v>2.6041183291777483E-2</v>
      </c>
      <c r="Q347">
        <v>5.2419422377695847E-3</v>
      </c>
      <c r="R347">
        <v>1.6291255378847352E-3</v>
      </c>
      <c r="S347">
        <v>0.24137460593884755</v>
      </c>
      <c r="T347">
        <v>1.4036117578717837</v>
      </c>
      <c r="U347">
        <v>0.14176058739263719</v>
      </c>
      <c r="V347">
        <v>0.18341773825255142</v>
      </c>
      <c r="W347">
        <v>8.9206763722122329E-2</v>
      </c>
      <c r="X347">
        <v>1.4115006086483669E-2</v>
      </c>
      <c r="Y347">
        <v>4.433942673033018E-3</v>
      </c>
    </row>
    <row r="348" spans="1:25" x14ac:dyDescent="0.25">
      <c r="A348" s="1096"/>
      <c r="B348" s="1455">
        <v>98</v>
      </c>
      <c r="C348" s="1100">
        <v>0.99750968899735737</v>
      </c>
      <c r="D348" s="1100">
        <v>0.9964504043135306</v>
      </c>
      <c r="E348" s="1100">
        <v>0.95501183116008104</v>
      </c>
      <c r="F348" s="1100">
        <v>1.0464479116283736</v>
      </c>
      <c r="G348" s="1100">
        <v>0.99381996169107101</v>
      </c>
      <c r="H348" s="1100">
        <v>0.98092568600198093</v>
      </c>
      <c r="I348" s="1100">
        <v>1.0147318324554169</v>
      </c>
      <c r="K348">
        <v>2.2692795365236678</v>
      </c>
      <c r="L348">
        <v>0</v>
      </c>
      <c r="M348">
        <v>1.6704791429377678E-3</v>
      </c>
      <c r="N348">
        <v>0.13252566499132068</v>
      </c>
      <c r="O348">
        <v>1.9788926018878206E-2</v>
      </c>
      <c r="P348">
        <v>2.607451125480478E-2</v>
      </c>
      <c r="Q348">
        <v>5.2716905414265164E-3</v>
      </c>
      <c r="R348">
        <v>1.6465438400528221E-3</v>
      </c>
      <c r="S348">
        <v>0.24421762231185312</v>
      </c>
      <c r="T348">
        <v>1.4062316310299312</v>
      </c>
      <c r="U348">
        <v>0.14302550555860416</v>
      </c>
      <c r="V348">
        <v>0.18413784540670128</v>
      </c>
      <c r="W348">
        <v>8.9462725773356302E-2</v>
      </c>
      <c r="X348">
        <v>1.4085999390080452E-2</v>
      </c>
      <c r="Y348">
        <v>4.4813495495927835E-3</v>
      </c>
    </row>
    <row r="349" spans="1:25" x14ac:dyDescent="0.25">
      <c r="A349" s="1096"/>
      <c r="B349" s="1455">
        <v>99</v>
      </c>
      <c r="C349" s="1100">
        <v>1.0214163178508315</v>
      </c>
      <c r="D349" s="1100">
        <v>1.0268107281750614</v>
      </c>
      <c r="E349" s="1100">
        <v>1.0044560557801501</v>
      </c>
      <c r="F349" s="1100">
        <v>1.0167712438337695</v>
      </c>
      <c r="G349" s="1100">
        <v>0.98211491246329552</v>
      </c>
      <c r="H349" s="1100">
        <v>0.99067963406862769</v>
      </c>
      <c r="I349" s="1100">
        <v>0.98852787806351627</v>
      </c>
      <c r="K349">
        <v>2.213204073819365</v>
      </c>
      <c r="L349">
        <v>0</v>
      </c>
      <c r="M349">
        <v>1.4776969964536472E-3</v>
      </c>
      <c r="N349">
        <v>0.13616920196114385</v>
      </c>
      <c r="O349">
        <v>1.9228535846021667E-2</v>
      </c>
      <c r="P349">
        <v>2.6251534260751819E-2</v>
      </c>
      <c r="Q349">
        <v>5.3864622119285882E-3</v>
      </c>
      <c r="R349">
        <v>1.4567324180874764E-3</v>
      </c>
      <c r="S349">
        <v>0.22999838685806073</v>
      </c>
      <c r="T349">
        <v>1.3664093554743733</v>
      </c>
      <c r="U349">
        <v>0.13978902207546295</v>
      </c>
      <c r="V349">
        <v>0.18146467575924852</v>
      </c>
      <c r="W349">
        <v>8.9217724585742023E-2</v>
      </c>
      <c r="X349">
        <v>1.5345393934676878E-2</v>
      </c>
      <c r="Y349">
        <v>3.9647454303215488E-3</v>
      </c>
    </row>
    <row r="350" spans="1:25" x14ac:dyDescent="0.25">
      <c r="A350" s="1096"/>
      <c r="B350" s="1455">
        <v>100</v>
      </c>
      <c r="C350" s="1100">
        <v>0.96123312695347385</v>
      </c>
      <c r="D350" s="1100">
        <v>0.99690489794015402</v>
      </c>
      <c r="E350" s="1100">
        <v>0.99364430527264203</v>
      </c>
      <c r="F350" s="1100">
        <v>1.0338829367829203</v>
      </c>
      <c r="G350" s="1100">
        <v>1.003060718582844</v>
      </c>
      <c r="H350" s="1100">
        <v>1.0039747763401039</v>
      </c>
      <c r="I350" s="1100">
        <v>0.98949896636030954</v>
      </c>
      <c r="K350">
        <v>2.2902171998987941</v>
      </c>
      <c r="L350">
        <v>0</v>
      </c>
      <c r="M350">
        <v>1.6379910043022501E-3</v>
      </c>
      <c r="N350">
        <v>0.1461169896010959</v>
      </c>
      <c r="O350">
        <v>2.0558710285650778E-2</v>
      </c>
      <c r="P350">
        <v>2.68144289426001E-2</v>
      </c>
      <c r="Q350">
        <v>5.6967999984373387E-3</v>
      </c>
      <c r="R350">
        <v>1.6150600205082442E-3</v>
      </c>
      <c r="S350">
        <v>0.24927912966776528</v>
      </c>
      <c r="T350">
        <v>1.3893876979698438</v>
      </c>
      <c r="U350">
        <v>0.14851537663757966</v>
      </c>
      <c r="V350">
        <v>0.18745906721779793</v>
      </c>
      <c r="W350">
        <v>9.6353126006196291E-2</v>
      </c>
      <c r="X350">
        <v>1.56631435841895E-2</v>
      </c>
      <c r="Y350">
        <v>4.3956609714307666E-3</v>
      </c>
    </row>
    <row r="351" spans="1:25" x14ac:dyDescent="0.25">
      <c r="A351" s="1096"/>
      <c r="B351" s="1455">
        <v>101</v>
      </c>
      <c r="C351" s="1100">
        <v>1.0046501474365053</v>
      </c>
      <c r="D351" s="1100">
        <v>0.9805020930893199</v>
      </c>
      <c r="E351" s="1100">
        <v>1.0039370333893047</v>
      </c>
      <c r="F351" s="1100">
        <v>0.99231470573348723</v>
      </c>
      <c r="G351" s="1100">
        <v>1.0202174578921341</v>
      </c>
      <c r="H351" s="1100">
        <v>0.99721267902510169</v>
      </c>
      <c r="I351" s="1100">
        <v>1.0067906152530106</v>
      </c>
      <c r="K351">
        <v>2.2104827645271512</v>
      </c>
      <c r="L351">
        <v>0</v>
      </c>
      <c r="M351">
        <v>1.5293432433305643E-3</v>
      </c>
      <c r="N351">
        <v>0.14072090423391975</v>
      </c>
      <c r="O351">
        <v>1.9748596442526533E-2</v>
      </c>
      <c r="P351">
        <v>2.6090588618933968E-2</v>
      </c>
      <c r="Q351">
        <v>5.5292673045798562E-3</v>
      </c>
      <c r="R351">
        <v>1.5077880881438749E-3</v>
      </c>
      <c r="S351">
        <v>0.24422897174895591</v>
      </c>
      <c r="T351">
        <v>1.3335420571230134</v>
      </c>
      <c r="U351">
        <v>0.14212071021251718</v>
      </c>
      <c r="V351">
        <v>0.18674048134796437</v>
      </c>
      <c r="W351">
        <v>9.2228340701132464E-2</v>
      </c>
      <c r="X351">
        <v>1.5450699815076898E-2</v>
      </c>
      <c r="Y351">
        <v>4.103702133717955E-3</v>
      </c>
    </row>
    <row r="352" spans="1:25" x14ac:dyDescent="0.25">
      <c r="A352" s="1096"/>
      <c r="B352" s="1455">
        <v>102</v>
      </c>
      <c r="C352" s="1100">
        <v>0.99340004432293716</v>
      </c>
      <c r="D352" s="1100">
        <v>1.0293181214272107</v>
      </c>
      <c r="E352" s="1100">
        <v>0.96808859285285098</v>
      </c>
      <c r="F352" s="1100">
        <v>0.99940879670693672</v>
      </c>
      <c r="G352" s="1100">
        <v>0.95739560643641208</v>
      </c>
      <c r="H352" s="1100">
        <v>0.99422426018268639</v>
      </c>
      <c r="I352" s="1100">
        <v>1.0217734605667848</v>
      </c>
      <c r="K352">
        <v>2.2067184788261289</v>
      </c>
      <c r="L352">
        <v>0</v>
      </c>
      <c r="M352">
        <v>1.643135251500519E-3</v>
      </c>
      <c r="N352">
        <v>0.13565108169937551</v>
      </c>
      <c r="O352">
        <v>1.9737547774276314E-2</v>
      </c>
      <c r="P352">
        <v>2.5453415264606465E-2</v>
      </c>
      <c r="Q352">
        <v>5.3290880588614687E-3</v>
      </c>
      <c r="R352">
        <v>1.6199066569412221E-3</v>
      </c>
      <c r="S352">
        <v>0.24415259559742883</v>
      </c>
      <c r="T352">
        <v>1.3430295274303445</v>
      </c>
      <c r="U352">
        <v>0.14364730979654591</v>
      </c>
      <c r="V352">
        <v>0.18027683007815776</v>
      </c>
      <c r="W352">
        <v>9.0841762961689956E-2</v>
      </c>
      <c r="X352">
        <v>1.4213696841290648E-2</v>
      </c>
      <c r="Y352">
        <v>4.4088519181080619E-3</v>
      </c>
    </row>
    <row r="353" spans="1:25" x14ac:dyDescent="0.25">
      <c r="A353" s="1096"/>
      <c r="B353" s="1455">
        <v>103</v>
      </c>
      <c r="C353" s="1100">
        <v>1.0059561350544135</v>
      </c>
      <c r="D353" s="1100">
        <v>1.0012030242447794</v>
      </c>
      <c r="E353" s="1100">
        <v>0.96703955202008252</v>
      </c>
      <c r="F353" s="1100">
        <v>0.9594622873202342</v>
      </c>
      <c r="G353" s="1100">
        <v>0.99782068246038724</v>
      </c>
      <c r="H353" s="1100">
        <v>1.0356946185993323</v>
      </c>
      <c r="I353" s="1100">
        <v>0.99996781034296711</v>
      </c>
      <c r="K353">
        <v>2.1602783127426153</v>
      </c>
      <c r="L353">
        <v>0</v>
      </c>
      <c r="M353">
        <v>1.7043235016511987E-3</v>
      </c>
      <c r="N353">
        <v>0.1403367894505875</v>
      </c>
      <c r="O353">
        <v>1.9609658088138877E-2</v>
      </c>
      <c r="P353">
        <v>2.4723880710455629E-2</v>
      </c>
      <c r="Q353">
        <v>5.2888766684188139E-3</v>
      </c>
      <c r="R353">
        <v>1.6811946383177632E-3</v>
      </c>
      <c r="S353">
        <v>0.24252303115969345</v>
      </c>
      <c r="T353">
        <v>1.2893475648233155</v>
      </c>
      <c r="U353">
        <v>0.14185195209896803</v>
      </c>
      <c r="V353">
        <v>0.18410084790029374</v>
      </c>
      <c r="W353">
        <v>9.4039791034144199E-2</v>
      </c>
      <c r="X353">
        <v>1.3903392072094836E-2</v>
      </c>
      <c r="Y353">
        <v>4.5756575998373763E-3</v>
      </c>
    </row>
    <row r="354" spans="1:25" x14ac:dyDescent="0.25">
      <c r="A354" s="1096"/>
      <c r="B354" s="1455">
        <v>104</v>
      </c>
      <c r="C354" s="1100">
        <v>0.96207109626625098</v>
      </c>
      <c r="D354" s="1100">
        <v>1.0288856205413652</v>
      </c>
      <c r="E354" s="1100">
        <v>0.96992092440073518</v>
      </c>
      <c r="F354" s="1100">
        <v>1.013685640991056</v>
      </c>
      <c r="G354" s="1100">
        <v>1.0301139696397581</v>
      </c>
      <c r="H354" s="1100">
        <v>0.99827293288887253</v>
      </c>
      <c r="I354" s="1100">
        <v>0.96956699271614188</v>
      </c>
      <c r="K354">
        <v>2.2466674547716017</v>
      </c>
      <c r="L354">
        <v>0</v>
      </c>
      <c r="M354">
        <v>1.6972774440680732E-3</v>
      </c>
      <c r="N354">
        <v>0.14090867368549065</v>
      </c>
      <c r="O354">
        <v>2.038334337926348E-2</v>
      </c>
      <c r="P354">
        <v>2.588254041743691E-2</v>
      </c>
      <c r="Q354">
        <v>5.5137734069511798E-3</v>
      </c>
      <c r="R354">
        <v>1.6733807666660823E-3</v>
      </c>
      <c r="S354">
        <v>0.23961049250993949</v>
      </c>
      <c r="T354">
        <v>1.3622167853157829</v>
      </c>
      <c r="U354">
        <v>0.14832941325516819</v>
      </c>
      <c r="V354">
        <v>0.19044256074690261</v>
      </c>
      <c r="W354">
        <v>9.4257366963580766E-2</v>
      </c>
      <c r="X354">
        <v>1.4592010951441447E-2</v>
      </c>
      <c r="Y354">
        <v>4.5543908170435979E-3</v>
      </c>
    </row>
    <row r="355" spans="1:25" x14ac:dyDescent="0.25">
      <c r="A355" s="1096"/>
      <c r="B355" s="1455">
        <v>105</v>
      </c>
      <c r="C355" s="1100">
        <v>1.0132140281681663</v>
      </c>
      <c r="D355" s="1100">
        <v>1.0319189469393963</v>
      </c>
      <c r="E355" s="1100">
        <v>0.95121975678014425</v>
      </c>
      <c r="F355" s="1100">
        <v>0.98529463713771814</v>
      </c>
      <c r="G355" s="1100">
        <v>0.98136591963945574</v>
      </c>
      <c r="H355" s="1100">
        <v>0.99876361151935245</v>
      </c>
      <c r="I355" s="1100">
        <v>0.97872533235059356</v>
      </c>
      <c r="K355">
        <v>2.1631242756155009</v>
      </c>
      <c r="L355">
        <v>0</v>
      </c>
      <c r="M355">
        <v>1.6746819217762778E-3</v>
      </c>
      <c r="N355">
        <v>0.13137455028256273</v>
      </c>
      <c r="O355">
        <v>1.9330568300689351E-2</v>
      </c>
      <c r="P355">
        <v>2.4660463094738676E-2</v>
      </c>
      <c r="Q355">
        <v>5.1294772221222376E-3</v>
      </c>
      <c r="R355">
        <v>1.6511149599722128E-3</v>
      </c>
      <c r="S355">
        <v>0.22923338149337535</v>
      </c>
      <c r="T355">
        <v>1.324050913317087</v>
      </c>
      <c r="U355">
        <v>0.14080012819530716</v>
      </c>
      <c r="V355">
        <v>0.18180578519230281</v>
      </c>
      <c r="W355">
        <v>8.889335027471626E-2</v>
      </c>
      <c r="X355">
        <v>1.3375434573256531E-2</v>
      </c>
      <c r="Y355">
        <v>4.4937906311440894E-3</v>
      </c>
    </row>
    <row r="356" spans="1:25" x14ac:dyDescent="0.25">
      <c r="A356" s="1096"/>
      <c r="B356" s="1455">
        <v>106</v>
      </c>
      <c r="C356" s="1100">
        <v>1.0478700244866306</v>
      </c>
      <c r="D356" s="1100">
        <v>1.0192573011336208</v>
      </c>
      <c r="E356" s="1100">
        <v>0.95953090582850598</v>
      </c>
      <c r="F356" s="1100">
        <v>1.014866351081243</v>
      </c>
      <c r="G356" s="1100">
        <v>0.99439220514505677</v>
      </c>
      <c r="H356" s="1100">
        <v>1.0090525046786265</v>
      </c>
      <c r="I356" s="1100">
        <v>1.017901134873298</v>
      </c>
      <c r="K356">
        <v>2.1982681881958128</v>
      </c>
      <c r="L356">
        <v>0</v>
      </c>
      <c r="M356">
        <v>1.6125861176904857E-3</v>
      </c>
      <c r="N356">
        <v>0.12974956965813225</v>
      </c>
      <c r="O356">
        <v>1.8746985868457758E-2</v>
      </c>
      <c r="P356">
        <v>2.5325672499891958E-2</v>
      </c>
      <c r="Q356">
        <v>5.0174077014710433E-3</v>
      </c>
      <c r="R356">
        <v>1.5901243914983217E-3</v>
      </c>
      <c r="S356">
        <v>0.23279591871837757</v>
      </c>
      <c r="T356">
        <v>1.3637948548705114</v>
      </c>
      <c r="U356">
        <v>0.13616159929729485</v>
      </c>
      <c r="V356">
        <v>0.18134984576036303</v>
      </c>
      <c r="W356">
        <v>8.7345673656540099E-2</v>
      </c>
      <c r="X356">
        <v>1.3675327481667861E-2</v>
      </c>
      <c r="Y356">
        <v>4.3277944092936513E-3</v>
      </c>
    </row>
    <row r="357" spans="1:25" x14ac:dyDescent="0.25">
      <c r="A357" s="1096"/>
      <c r="B357" s="1455">
        <v>107</v>
      </c>
      <c r="C357" s="1100">
        <v>0.97037287209655387</v>
      </c>
      <c r="D357" s="1100">
        <v>1.0014591334315417</v>
      </c>
      <c r="E357" s="1100">
        <v>1.002470851818472</v>
      </c>
      <c r="F357" s="1100">
        <v>1.0161543103282658</v>
      </c>
      <c r="G357" s="1100">
        <v>0.99446916032622268</v>
      </c>
      <c r="H357" s="1100">
        <v>0.98845717199274696</v>
      </c>
      <c r="I357" s="1100">
        <v>1.0483498677350587</v>
      </c>
      <c r="K357">
        <v>2.2688750442859438</v>
      </c>
      <c r="L357">
        <v>0</v>
      </c>
      <c r="M357">
        <v>1.5669389764000131E-3</v>
      </c>
      <c r="N357">
        <v>0.14352495317760244</v>
      </c>
      <c r="O357">
        <v>2.0350339532739126E-2</v>
      </c>
      <c r="P357">
        <v>2.6769598600801688E-2</v>
      </c>
      <c r="Q357">
        <v>5.6893688570779696E-3</v>
      </c>
      <c r="R357">
        <v>1.5446583086003135E-3</v>
      </c>
      <c r="S357">
        <v>0.25975363698723203</v>
      </c>
      <c r="T357">
        <v>1.3655769132982201</v>
      </c>
      <c r="U357">
        <v>0.14713747598717766</v>
      </c>
      <c r="V357">
        <v>0.18591466306761001</v>
      </c>
      <c r="W357">
        <v>9.4147911031618112E-2</v>
      </c>
      <c r="X357">
        <v>1.5828413694127377E-2</v>
      </c>
      <c r="Y357">
        <v>4.2040507195354728E-3</v>
      </c>
    </row>
    <row r="358" spans="1:25" x14ac:dyDescent="0.25">
      <c r="A358" s="1096"/>
      <c r="B358" s="1455">
        <v>108</v>
      </c>
      <c r="C358" s="1100">
        <v>0.95687869786328628</v>
      </c>
      <c r="D358" s="1100">
        <v>1.0123393285925169</v>
      </c>
      <c r="E358" s="1100">
        <v>0.98172227511432064</v>
      </c>
      <c r="F358" s="1100">
        <v>1.0027682707364287</v>
      </c>
      <c r="G358" s="1100">
        <v>0.9867072398883473</v>
      </c>
      <c r="H358" s="1100">
        <v>1.0130016440156373</v>
      </c>
      <c r="I358" s="1100">
        <v>1.0153227789657431</v>
      </c>
      <c r="K358">
        <v>2.2530364161777481</v>
      </c>
      <c r="L358">
        <v>0</v>
      </c>
      <c r="M358">
        <v>1.6959855749805609E-3</v>
      </c>
      <c r="N358">
        <v>0.14595173905085859</v>
      </c>
      <c r="O358">
        <v>2.0574831991278356E-2</v>
      </c>
      <c r="P358">
        <v>2.6084989656956929E-2</v>
      </c>
      <c r="Q358">
        <v>5.6328896396616512E-3</v>
      </c>
      <c r="R358">
        <v>1.6724542717231124E-3</v>
      </c>
      <c r="S358">
        <v>0.2556604261707236</v>
      </c>
      <c r="T358">
        <v>1.3475583107053575</v>
      </c>
      <c r="U358">
        <v>0.14916259060374398</v>
      </c>
      <c r="V358">
        <v>0.18588053327821508</v>
      </c>
      <c r="W358">
        <v>9.6935267496317701E-2</v>
      </c>
      <c r="X358">
        <v>1.5066499684663686E-2</v>
      </c>
      <c r="Y358">
        <v>4.5518692032278096E-3</v>
      </c>
    </row>
    <row r="359" spans="1:25" x14ac:dyDescent="0.25">
      <c r="A359" s="1096"/>
      <c r="B359" s="1455">
        <v>109</v>
      </c>
      <c r="C359" s="1100">
        <v>1.0027201928078122</v>
      </c>
      <c r="D359" s="1100">
        <v>0.99686180058692619</v>
      </c>
      <c r="E359" s="1100">
        <v>1.0124101278838482</v>
      </c>
      <c r="F359" s="1100">
        <v>1.0081770285423626</v>
      </c>
      <c r="G359" s="1100">
        <v>1.0254157245883901</v>
      </c>
      <c r="H359" s="1100">
        <v>1.0133154320397437</v>
      </c>
      <c r="I359" s="1100">
        <v>0.99849142026246107</v>
      </c>
      <c r="K359">
        <v>2.2363015570999103</v>
      </c>
      <c r="L359">
        <v>0</v>
      </c>
      <c r="M359">
        <v>1.5243096975339498E-3</v>
      </c>
      <c r="N359">
        <v>0.14392504214358537</v>
      </c>
      <c r="O359">
        <v>1.9719995224041047E-2</v>
      </c>
      <c r="P359">
        <v>2.6531972982595967E-2</v>
      </c>
      <c r="Q359">
        <v>5.5682709675807032E-3</v>
      </c>
      <c r="R359">
        <v>1.5031668960157284E-3</v>
      </c>
      <c r="S359">
        <v>0.24203158926449922</v>
      </c>
      <c r="T359">
        <v>1.3548740691799364</v>
      </c>
      <c r="U359">
        <v>0.14241373210672223</v>
      </c>
      <c r="V359">
        <v>0.18744921646875315</v>
      </c>
      <c r="W359">
        <v>9.3857528088788916E-2</v>
      </c>
      <c r="X359">
        <v>1.5860158702802E-2</v>
      </c>
      <c r="Y359">
        <v>4.0911247721207153E-3</v>
      </c>
    </row>
    <row r="360" spans="1:25" x14ac:dyDescent="0.25">
      <c r="A360" s="1096"/>
      <c r="B360" s="1455">
        <v>110</v>
      </c>
      <c r="C360" s="1100">
        <v>1.0138162085739602</v>
      </c>
      <c r="D360" s="1100">
        <v>1.0043616238681854</v>
      </c>
      <c r="E360" s="1100">
        <v>0.98090820941644241</v>
      </c>
      <c r="F360" s="1100">
        <v>0.99763713748490135</v>
      </c>
      <c r="G360" s="1100">
        <v>1.0000527361384399</v>
      </c>
      <c r="H360" s="1100">
        <v>1.0069460219227555</v>
      </c>
      <c r="I360" s="1100">
        <v>0.9773513074088086</v>
      </c>
      <c r="K360">
        <v>2.195275985078732</v>
      </c>
      <c r="L360">
        <v>0</v>
      </c>
      <c r="M360">
        <v>1.5966251915056871E-3</v>
      </c>
      <c r="N360">
        <v>0.13705148540682624</v>
      </c>
      <c r="O360">
        <v>1.9452647603172894E-2</v>
      </c>
      <c r="P360">
        <v>2.5528238932540127E-2</v>
      </c>
      <c r="Q360">
        <v>5.3212613014600096E-3</v>
      </c>
      <c r="R360">
        <v>1.5743392614237274E-3</v>
      </c>
      <c r="S360">
        <v>0.23271882295902369</v>
      </c>
      <c r="T360">
        <v>1.3406619367339441</v>
      </c>
      <c r="U360">
        <v>0.14078354206738686</v>
      </c>
      <c r="V360">
        <v>0.1839076004116878</v>
      </c>
      <c r="W360">
        <v>9.1068784864326222E-2</v>
      </c>
      <c r="X360">
        <v>1.4519118239647147E-2</v>
      </c>
      <c r="Y360">
        <v>4.2848324887973365E-3</v>
      </c>
    </row>
    <row r="361" spans="1:25" x14ac:dyDescent="0.25">
      <c r="A361" s="1096"/>
      <c r="B361" s="1455">
        <v>111</v>
      </c>
      <c r="C361" s="1100">
        <v>0.98083926728208926</v>
      </c>
      <c r="D361" s="1100">
        <v>0.97643679638348213</v>
      </c>
      <c r="E361" s="1100">
        <v>0.95626109474582777</v>
      </c>
      <c r="F361" s="1100">
        <v>0.99642538974711181</v>
      </c>
      <c r="G361" s="1100">
        <v>0.99946023340774437</v>
      </c>
      <c r="H361" s="1100">
        <v>0.97663695355407754</v>
      </c>
      <c r="I361" s="1100">
        <v>0.98295691704311527</v>
      </c>
      <c r="K361">
        <v>2.208265594607671</v>
      </c>
      <c r="L361">
        <v>0</v>
      </c>
      <c r="M361">
        <v>1.6946440136304647E-3</v>
      </c>
      <c r="N361">
        <v>0.13494419473591179</v>
      </c>
      <c r="O361">
        <v>2.02160871254876E-2</v>
      </c>
      <c r="P361">
        <v>2.5246844796755947E-2</v>
      </c>
      <c r="Q361">
        <v>5.3924208564509746E-3</v>
      </c>
      <c r="R361">
        <v>1.6702558384560455E-3</v>
      </c>
      <c r="S361">
        <v>0.24271899746538764</v>
      </c>
      <c r="T361">
        <v>1.339011414474542</v>
      </c>
      <c r="U361">
        <v>0.14545928918654497</v>
      </c>
      <c r="V361">
        <v>0.18578656730268203</v>
      </c>
      <c r="W361">
        <v>9.1025344969971819E-2</v>
      </c>
      <c r="X361">
        <v>1.3942936076523452E-2</v>
      </c>
      <c r="Y361">
        <v>4.5458857925881847E-3</v>
      </c>
    </row>
    <row r="362" spans="1:25" x14ac:dyDescent="0.25">
      <c r="A362" s="1096"/>
      <c r="B362" s="1455">
        <v>112</v>
      </c>
      <c r="C362" s="1100">
        <v>1.0085486315181409</v>
      </c>
      <c r="D362" s="1100">
        <v>1.0131928121315179</v>
      </c>
      <c r="E362" s="1100">
        <v>1.0109907693230771</v>
      </c>
      <c r="F362" s="1100">
        <v>1.0091532681198325</v>
      </c>
      <c r="G362" s="1100">
        <v>1.0086351904721891</v>
      </c>
      <c r="H362" s="1100">
        <v>1.0120486091227694</v>
      </c>
      <c r="I362" s="1100">
        <v>1.0142236741718555</v>
      </c>
      <c r="K362">
        <v>2.2316609552481839</v>
      </c>
      <c r="L362">
        <v>0</v>
      </c>
      <c r="M362">
        <v>1.5126596427548088E-3</v>
      </c>
      <c r="N362">
        <v>0.1422119165282805</v>
      </c>
      <c r="O362">
        <v>1.9535189446359263E-2</v>
      </c>
      <c r="P362">
        <v>2.6484360048555523E-2</v>
      </c>
      <c r="Q362">
        <v>5.5082743616697381E-3</v>
      </c>
      <c r="R362">
        <v>1.4916521692358044E-3</v>
      </c>
      <c r="S362">
        <v>0.24234620800236872</v>
      </c>
      <c r="T362">
        <v>1.3561833803773999</v>
      </c>
      <c r="U362">
        <v>0.1415874720755714</v>
      </c>
      <c r="V362">
        <v>0.18520923080291654</v>
      </c>
      <c r="W362">
        <v>9.2817899806271781E-2</v>
      </c>
      <c r="X362">
        <v>1.5738245790654894E-2</v>
      </c>
      <c r="Y362">
        <v>4.0597854816544245E-3</v>
      </c>
    </row>
    <row r="363" spans="1:25" x14ac:dyDescent="0.25">
      <c r="A363" s="1096"/>
      <c r="B363" s="1455">
        <v>113</v>
      </c>
      <c r="C363" s="1100">
        <v>0.95996166339047628</v>
      </c>
      <c r="D363" s="1100">
        <v>0.99125886616277048</v>
      </c>
      <c r="E363" s="1100">
        <v>0.97063583938874831</v>
      </c>
      <c r="F363" s="1100">
        <v>0.99927390617517509</v>
      </c>
      <c r="G363" s="1100">
        <v>1.0153262181869511</v>
      </c>
      <c r="H363" s="1100">
        <v>1.0063124606196618</v>
      </c>
      <c r="I363" s="1100">
        <v>0.99526548615296184</v>
      </c>
      <c r="K363">
        <v>2.2430949300335534</v>
      </c>
      <c r="L363">
        <v>0</v>
      </c>
      <c r="M363">
        <v>1.7262681745866106E-3</v>
      </c>
      <c r="N363">
        <v>0.14364244425465189</v>
      </c>
      <c r="O363">
        <v>2.0596720805246129E-2</v>
      </c>
      <c r="P363">
        <v>2.5784742544915917E-2</v>
      </c>
      <c r="Q363">
        <v>5.575564761366481E-3</v>
      </c>
      <c r="R363">
        <v>1.7021574983929881E-3</v>
      </c>
      <c r="S363">
        <v>0.25178834294512015</v>
      </c>
      <c r="T363">
        <v>1.3428505970852698</v>
      </c>
      <c r="U363">
        <v>0.14865706065453707</v>
      </c>
      <c r="V363">
        <v>0.18890692810588242</v>
      </c>
      <c r="W363">
        <v>9.6044264339418789E-2</v>
      </c>
      <c r="X363">
        <v>1.4639663618778364E-2</v>
      </c>
      <c r="Y363">
        <v>4.6327115945571703E-3</v>
      </c>
    </row>
    <row r="364" spans="1:25" x14ac:dyDescent="0.25">
      <c r="A364" s="1096"/>
      <c r="B364" s="1455">
        <v>114</v>
      </c>
      <c r="C364" s="1100">
        <v>0.99966396730943408</v>
      </c>
      <c r="D364" s="1100">
        <v>0.9955299422040198</v>
      </c>
      <c r="E364" s="1100">
        <v>1.0226813443929228</v>
      </c>
      <c r="F364" s="1100">
        <v>0.99896950817600516</v>
      </c>
      <c r="G364" s="1100">
        <v>0.97754786786710945</v>
      </c>
      <c r="H364" s="1100">
        <v>0.95528347769069444</v>
      </c>
      <c r="I364" s="1100">
        <v>1.0098444225090333</v>
      </c>
      <c r="K364">
        <v>2.2068190221235358</v>
      </c>
      <c r="L364">
        <v>0</v>
      </c>
      <c r="M364">
        <v>1.4113555975999294E-3</v>
      </c>
      <c r="N364">
        <v>0.1373370920196024</v>
      </c>
      <c r="O364">
        <v>1.9792544916466665E-2</v>
      </c>
      <c r="P364">
        <v>2.6481962076285472E-2</v>
      </c>
      <c r="Q364">
        <v>5.6461941935596702E-3</v>
      </c>
      <c r="R364">
        <v>1.3905902999547838E-3</v>
      </c>
      <c r="S364">
        <v>0.24106963001262649</v>
      </c>
      <c r="T364">
        <v>1.3425204365137287</v>
      </c>
      <c r="U364">
        <v>0.14287284597994263</v>
      </c>
      <c r="V364">
        <v>0.18222888753048985</v>
      </c>
      <c r="W364">
        <v>8.9023728110038697E-2</v>
      </c>
      <c r="X364">
        <v>1.6081737679933726E-2</v>
      </c>
      <c r="Y364">
        <v>3.7847283885077418E-3</v>
      </c>
    </row>
    <row r="365" spans="1:25" x14ac:dyDescent="0.25">
      <c r="A365" s="1096"/>
      <c r="B365" s="1455">
        <v>115</v>
      </c>
      <c r="C365" s="1100">
        <v>0.98833603999543473</v>
      </c>
      <c r="D365" s="1100">
        <v>0.98225486279469387</v>
      </c>
      <c r="E365" s="1100">
        <v>1.0133239458595251</v>
      </c>
      <c r="F365" s="1100">
        <v>1.0059358897445396</v>
      </c>
      <c r="G365" s="1100">
        <v>1.035890908515807</v>
      </c>
      <c r="H365" s="1100">
        <v>0.99956770361646741</v>
      </c>
      <c r="I365" s="1100">
        <v>1.0089067910290686</v>
      </c>
      <c r="K365">
        <v>2.2460416615650116</v>
      </c>
      <c r="L365">
        <v>0</v>
      </c>
      <c r="M365">
        <v>1.5275710397281888E-3</v>
      </c>
      <c r="N365">
        <v>0.1446033756838154</v>
      </c>
      <c r="O365">
        <v>2.0072657462556834E-2</v>
      </c>
      <c r="P365">
        <v>2.6658827093299278E-2</v>
      </c>
      <c r="Q365">
        <v>5.6730227456205824E-3</v>
      </c>
      <c r="R365">
        <v>1.5060915886896378E-3</v>
      </c>
      <c r="S365">
        <v>0.24882688588712384</v>
      </c>
      <c r="T365">
        <v>1.3518639551904021</v>
      </c>
      <c r="U365">
        <v>0.14448854155702334</v>
      </c>
      <c r="V365">
        <v>0.18949530719096566</v>
      </c>
      <c r="W365">
        <v>9.4249202407702543E-2</v>
      </c>
      <c r="X365">
        <v>1.60322809760827E-2</v>
      </c>
      <c r="Y365">
        <v>4.099084821454416E-3</v>
      </c>
    </row>
    <row r="366" spans="1:25" x14ac:dyDescent="0.25">
      <c r="A366" s="1096"/>
      <c r="B366" s="1455">
        <v>116</v>
      </c>
      <c r="C366" s="1100">
        <v>0.98246783981928387</v>
      </c>
      <c r="D366" s="1100">
        <v>1.0083250715591521</v>
      </c>
      <c r="E366" s="1100">
        <v>1.0064189486496797</v>
      </c>
      <c r="F366" s="1100">
        <v>1.020973764742124</v>
      </c>
      <c r="G366" s="1100">
        <v>0.99559948805335874</v>
      </c>
      <c r="H366" s="1100">
        <v>1.0164317067043791</v>
      </c>
      <c r="I366" s="1100">
        <v>0.98854660627626323</v>
      </c>
      <c r="K366">
        <v>2.2603172731777637</v>
      </c>
      <c r="L366">
        <v>0</v>
      </c>
      <c r="M366">
        <v>1.5760891992123546E-3</v>
      </c>
      <c r="N366">
        <v>0.14615278520441469</v>
      </c>
      <c r="O366">
        <v>2.0072127450002197E-2</v>
      </c>
      <c r="P366">
        <v>2.6679297137281292E-2</v>
      </c>
      <c r="Q366">
        <v>5.6338479643506644E-3</v>
      </c>
      <c r="R366">
        <v>1.5542952183232384E-3</v>
      </c>
      <c r="S366">
        <v>0.24337904602152233</v>
      </c>
      <c r="T366">
        <v>1.3720604280318849</v>
      </c>
      <c r="U366">
        <v>0.14533535393392094</v>
      </c>
      <c r="V366">
        <v>0.18529334932437691</v>
      </c>
      <c r="W366">
        <v>9.5647770680052188E-2</v>
      </c>
      <c r="X366">
        <v>1.5854782199850346E-2</v>
      </c>
      <c r="Y366">
        <v>4.2302792109948388E-3</v>
      </c>
    </row>
    <row r="367" spans="1:25" x14ac:dyDescent="0.25">
      <c r="A367" s="1096"/>
      <c r="B367" s="1455">
        <v>117</v>
      </c>
      <c r="C367" s="1100">
        <v>0.98015350105503485</v>
      </c>
      <c r="D367" s="1100">
        <v>0.99718913642748741</v>
      </c>
      <c r="E367" s="1100">
        <v>1.0216480439609128</v>
      </c>
      <c r="F367" s="1100">
        <v>1.0325145980916075</v>
      </c>
      <c r="G367" s="1100">
        <v>1.0111268620270453</v>
      </c>
      <c r="H367" s="1100">
        <v>1.0124442781271392</v>
      </c>
      <c r="I367" s="1100">
        <v>0.99566264982927188</v>
      </c>
      <c r="K367">
        <v>2.2858381027597354</v>
      </c>
      <c r="L367">
        <v>0</v>
      </c>
      <c r="M367">
        <v>1.5283054642242582E-3</v>
      </c>
      <c r="N367">
        <v>0.14837952099436363</v>
      </c>
      <c r="O367">
        <v>2.0178470550571787E-2</v>
      </c>
      <c r="P367">
        <v>2.7275634182261033E-2</v>
      </c>
      <c r="Q367">
        <v>5.7503836358991237E-3</v>
      </c>
      <c r="R367">
        <v>1.5070889998476745E-3</v>
      </c>
      <c r="S367">
        <v>0.24686348284693949</v>
      </c>
      <c r="T367">
        <v>1.3875996538089141</v>
      </c>
      <c r="U367">
        <v>0.14571436909070518</v>
      </c>
      <c r="V367">
        <v>0.18720506883107493</v>
      </c>
      <c r="W367">
        <v>9.623964116066698E-2</v>
      </c>
      <c r="X367">
        <v>1.6551294676884459E-2</v>
      </c>
      <c r="Y367">
        <v>4.1017994458300913E-3</v>
      </c>
    </row>
    <row r="368" spans="1:25" x14ac:dyDescent="0.25">
      <c r="A368" s="1096"/>
      <c r="B368" s="1455">
        <v>118</v>
      </c>
      <c r="C368" s="1100">
        <v>1.0214565326815228</v>
      </c>
      <c r="D368" s="1100">
        <v>1.0105680427548034</v>
      </c>
      <c r="E368" s="1100">
        <v>0.97366463807428782</v>
      </c>
      <c r="F368" s="1100">
        <v>1.0310137440296827</v>
      </c>
      <c r="G368" s="1100">
        <v>0.98664734909379115</v>
      </c>
      <c r="H368" s="1100">
        <v>0.99682914082582808</v>
      </c>
      <c r="I368" s="1100">
        <v>1.0093110897719699</v>
      </c>
      <c r="K368">
        <v>2.2359512512914317</v>
      </c>
      <c r="L368">
        <v>0</v>
      </c>
      <c r="M368">
        <v>1.5902681281585629E-3</v>
      </c>
      <c r="N368">
        <v>0.1335268407935436</v>
      </c>
      <c r="O368">
        <v>1.9276592424474711E-2</v>
      </c>
      <c r="P368">
        <v>2.6003761491338349E-2</v>
      </c>
      <c r="Q368">
        <v>5.2343633493989409E-3</v>
      </c>
      <c r="R368">
        <v>1.567845650166298E-3</v>
      </c>
      <c r="S368">
        <v>0.23694898626452648</v>
      </c>
      <c r="T368">
        <v>1.3855064898851166</v>
      </c>
      <c r="U368">
        <v>0.13971423784217185</v>
      </c>
      <c r="V368">
        <v>0.18194870735829094</v>
      </c>
      <c r="W368">
        <v>8.9116474389454012E-2</v>
      </c>
      <c r="X368">
        <v>1.4430060951534363E-2</v>
      </c>
      <c r="Y368">
        <v>4.2671590195729895E-3</v>
      </c>
    </row>
    <row r="369" spans="1:25" x14ac:dyDescent="0.25">
      <c r="A369" s="1096"/>
      <c r="B369" s="1455">
        <v>119</v>
      </c>
      <c r="C369" s="1100">
        <v>0.99776920931541202</v>
      </c>
      <c r="D369" s="1100">
        <v>1.024512691273628</v>
      </c>
      <c r="E369" s="1100">
        <v>1.0113249810551184</v>
      </c>
      <c r="F369" s="1100">
        <v>0.99572682756442166</v>
      </c>
      <c r="G369" s="1100">
        <v>1.0176476390674549</v>
      </c>
      <c r="H369" s="1100">
        <v>0.99008770200849106</v>
      </c>
      <c r="I369" s="1100">
        <v>1.0178762130485259</v>
      </c>
      <c r="K369">
        <v>2.2138986687150743</v>
      </c>
      <c r="L369">
        <v>0</v>
      </c>
      <c r="M369">
        <v>1.4911355071011564E-3</v>
      </c>
      <c r="N369">
        <v>0.14028600702431185</v>
      </c>
      <c r="O369">
        <v>1.9698239669862012E-2</v>
      </c>
      <c r="P369">
        <v>2.6291547740304417E-2</v>
      </c>
      <c r="Q369">
        <v>5.5561038562472517E-3</v>
      </c>
      <c r="R369">
        <v>1.4699676242875645E-3</v>
      </c>
      <c r="S369">
        <v>0.24271393470317904</v>
      </c>
      <c r="T369">
        <v>1.3381404324460089</v>
      </c>
      <c r="U369">
        <v>0.14311788804078079</v>
      </c>
      <c r="V369">
        <v>0.1868638240282591</v>
      </c>
      <c r="W369">
        <v>9.1542884086979928E-2</v>
      </c>
      <c r="X369">
        <v>1.5708207703339826E-2</v>
      </c>
      <c r="Y369">
        <v>4.0007672986136378E-3</v>
      </c>
    </row>
    <row r="370" spans="1:25" x14ac:dyDescent="0.25">
      <c r="A370" s="1096"/>
      <c r="B370" s="1455">
        <v>120</v>
      </c>
      <c r="C370" s="1100">
        <v>1.0296155519371588</v>
      </c>
      <c r="D370" s="1100">
        <v>1.0386224910699966</v>
      </c>
      <c r="E370" s="1100">
        <v>0.98489861730224659</v>
      </c>
      <c r="F370" s="1100">
        <v>0.9796634028213338</v>
      </c>
      <c r="G370" s="1100">
        <v>1.0157394543869243</v>
      </c>
      <c r="H370" s="1100">
        <v>1.0139269428379984</v>
      </c>
      <c r="I370" s="1100">
        <v>1.0024701447447932</v>
      </c>
      <c r="K370">
        <v>2.1649004228302924</v>
      </c>
      <c r="L370">
        <v>0</v>
      </c>
      <c r="M370">
        <v>1.5584668076831531E-3</v>
      </c>
      <c r="N370">
        <v>0.13541383515187164</v>
      </c>
      <c r="O370">
        <v>1.9015715356100985E-2</v>
      </c>
      <c r="P370">
        <v>2.5249261306682775E-2</v>
      </c>
      <c r="Q370">
        <v>5.2228448182145577E-3</v>
      </c>
      <c r="R370">
        <v>1.53686327021978E-3</v>
      </c>
      <c r="S370">
        <v>0.23173332778820915</v>
      </c>
      <c r="T370">
        <v>1.3165129256175228</v>
      </c>
      <c r="U370">
        <v>0.13863213178004705</v>
      </c>
      <c r="V370">
        <v>0.18478647845799503</v>
      </c>
      <c r="W370">
        <v>8.9764538850822653E-2</v>
      </c>
      <c r="X370">
        <v>1.440813204559172E-2</v>
      </c>
      <c r="Y370">
        <v>4.1828351946973721E-3</v>
      </c>
    </row>
    <row r="371" spans="1:25" x14ac:dyDescent="0.25">
      <c r="A371" s="1096"/>
      <c r="B371" s="1455">
        <v>121</v>
      </c>
      <c r="C371" s="1100">
        <v>0.99929392035913323</v>
      </c>
      <c r="D371" s="1100">
        <v>0.97296240906594145</v>
      </c>
      <c r="E371" s="1100">
        <v>1.004147415301206</v>
      </c>
      <c r="F371" s="1100">
        <v>1.0014046605500833</v>
      </c>
      <c r="G371" s="1100">
        <v>1.0067782858978531</v>
      </c>
      <c r="H371" s="1100">
        <v>0.98654677095671905</v>
      </c>
      <c r="I371" s="1100">
        <v>1.0354600791331079</v>
      </c>
      <c r="K371">
        <v>2.2303663495067476</v>
      </c>
      <c r="L371">
        <v>0</v>
      </c>
      <c r="M371">
        <v>1.5230156372274921E-3</v>
      </c>
      <c r="N371">
        <v>0.14020607821372891</v>
      </c>
      <c r="O371">
        <v>1.9888328071319381E-2</v>
      </c>
      <c r="P371">
        <v>2.6370712578452069E-2</v>
      </c>
      <c r="Q371">
        <v>5.5695648068388474E-3</v>
      </c>
      <c r="R371">
        <v>1.5013175895154246E-3</v>
      </c>
      <c r="S371">
        <v>0.25262099492608514</v>
      </c>
      <c r="T371">
        <v>1.3457581294355934</v>
      </c>
      <c r="U371">
        <v>0.14288296389162844</v>
      </c>
      <c r="V371">
        <v>0.18553809611590971</v>
      </c>
      <c r="W371">
        <v>9.1879471553895059E-2</v>
      </c>
      <c r="X371">
        <v>1.5587616391559389E-2</v>
      </c>
      <c r="Y371">
        <v>4.0860915694506117E-3</v>
      </c>
    </row>
    <row r="372" spans="1:25" x14ac:dyDescent="0.25">
      <c r="A372" s="1096"/>
      <c r="B372" s="1455">
        <v>122</v>
      </c>
      <c r="C372" s="1100">
        <v>1.034940469363361</v>
      </c>
      <c r="D372" s="1100">
        <v>1.0175905390172411</v>
      </c>
      <c r="E372" s="1100">
        <v>0.99811134578296012</v>
      </c>
      <c r="F372" s="1100">
        <v>0.99325875855276713</v>
      </c>
      <c r="G372" s="1100">
        <v>0.99161713799388318</v>
      </c>
      <c r="H372" s="1100">
        <v>1.0246981752580813</v>
      </c>
      <c r="I372" s="1100">
        <v>0.99406835940067106</v>
      </c>
      <c r="K372">
        <v>2.1850199807893604</v>
      </c>
      <c r="L372">
        <v>0</v>
      </c>
      <c r="M372">
        <v>1.5314900692285902E-3</v>
      </c>
      <c r="N372">
        <v>0.13851316153850673</v>
      </c>
      <c r="O372">
        <v>1.9011145931804831E-2</v>
      </c>
      <c r="P372">
        <v>2.5701567943670858E-2</v>
      </c>
      <c r="Q372">
        <v>5.2917329332382995E-3</v>
      </c>
      <c r="R372">
        <v>1.5104836417502269E-3</v>
      </c>
      <c r="S372">
        <v>0.23185234141362079</v>
      </c>
      <c r="T372">
        <v>1.3348014005475157</v>
      </c>
      <c r="U372">
        <v>0.13794820279447625</v>
      </c>
      <c r="V372">
        <v>0.18177433574903948</v>
      </c>
      <c r="W372">
        <v>9.1096006372515095E-2</v>
      </c>
      <c r="X372">
        <v>1.4940053450402776E-2</v>
      </c>
      <c r="Y372">
        <v>4.1110385420454363E-3</v>
      </c>
    </row>
    <row r="373" spans="1:25" x14ac:dyDescent="0.25">
      <c r="A373" s="1096"/>
      <c r="B373" s="1455">
        <v>123</v>
      </c>
      <c r="C373" s="1100">
        <v>1.0202922680485189</v>
      </c>
      <c r="D373" s="1100">
        <v>1.0002514316044844</v>
      </c>
      <c r="E373" s="1100">
        <v>1.0075610830257278</v>
      </c>
      <c r="F373" s="1100">
        <v>0.9958780839933794</v>
      </c>
      <c r="G373" s="1100">
        <v>0.95749516007285584</v>
      </c>
      <c r="H373" s="1100">
        <v>1.0091980604053907</v>
      </c>
      <c r="I373" s="1100">
        <v>0.96835228985291233</v>
      </c>
      <c r="K373">
        <v>2.1888225164104358</v>
      </c>
      <c r="L373">
        <v>0</v>
      </c>
      <c r="M373">
        <v>1.5059509746913619E-3</v>
      </c>
      <c r="N373">
        <v>0.14011715440113964</v>
      </c>
      <c r="O373">
        <v>1.9362924786820786E-2</v>
      </c>
      <c r="P373">
        <v>2.5891116906028692E-2</v>
      </c>
      <c r="Q373">
        <v>5.4410077408753076E-3</v>
      </c>
      <c r="R373">
        <v>1.4849775957502078E-3</v>
      </c>
      <c r="S373">
        <v>0.22994542742921584</v>
      </c>
      <c r="T373">
        <v>1.3383369700513315</v>
      </c>
      <c r="U373">
        <v>0.13995003991491131</v>
      </c>
      <c r="V373">
        <v>0.17874851412279213</v>
      </c>
      <c r="W373">
        <v>9.1635948068929149E-2</v>
      </c>
      <c r="X373">
        <v>1.5372766874432875E-2</v>
      </c>
      <c r="Y373">
        <v>4.0416194928991882E-3</v>
      </c>
    </row>
    <row r="374" spans="1:25" x14ac:dyDescent="0.25">
      <c r="A374" s="1096"/>
      <c r="B374" s="1455">
        <v>124</v>
      </c>
      <c r="C374" s="1100">
        <v>0.98488640300139363</v>
      </c>
      <c r="D374" s="1100">
        <v>0.99941091862058007</v>
      </c>
      <c r="E374" s="1100">
        <v>0.9746408362658594</v>
      </c>
      <c r="F374" s="1100">
        <v>1.0187028196084071</v>
      </c>
      <c r="G374" s="1100">
        <v>1.0026070078659191</v>
      </c>
      <c r="H374" s="1100">
        <v>1.0242173992030741</v>
      </c>
      <c r="I374" s="1100">
        <v>0.98274349952145434</v>
      </c>
      <c r="K374">
        <v>2.2513733358036898</v>
      </c>
      <c r="L374">
        <v>0</v>
      </c>
      <c r="M374">
        <v>1.6953540939355968E-3</v>
      </c>
      <c r="N374">
        <v>0.1428262379947107</v>
      </c>
      <c r="O374">
        <v>2.0041863485618962E-2</v>
      </c>
      <c r="P374">
        <v>2.6002602119849384E-2</v>
      </c>
      <c r="Q374">
        <v>5.4475850075419016E-3</v>
      </c>
      <c r="R374">
        <v>1.6720891373217222E-3</v>
      </c>
      <c r="S374">
        <v>0.24280195086281528</v>
      </c>
      <c r="T374">
        <v>1.3689637282658571</v>
      </c>
      <c r="U374">
        <v>0.1449042840167882</v>
      </c>
      <c r="V374">
        <v>0.1859092716826716</v>
      </c>
      <c r="W374">
        <v>9.5266505413810765E-2</v>
      </c>
      <c r="X374">
        <v>1.468169648288449E-2</v>
      </c>
      <c r="Y374">
        <v>4.5508754277537476E-3</v>
      </c>
    </row>
    <row r="375" spans="1:25" x14ac:dyDescent="0.25">
      <c r="A375" s="1096"/>
      <c r="B375" s="1455">
        <v>125</v>
      </c>
      <c r="C375" s="1100">
        <v>0.97308241360435921</v>
      </c>
      <c r="D375" s="1100">
        <v>1.000483138066113</v>
      </c>
      <c r="E375" s="1100">
        <v>1.0246133619940085</v>
      </c>
      <c r="F375" s="1100">
        <v>0.95654339558126289</v>
      </c>
      <c r="G375" s="1100">
        <v>1.0072287583314787</v>
      </c>
      <c r="H375" s="1100">
        <v>0.99368680907599161</v>
      </c>
      <c r="I375" s="1100">
        <v>1.0009265323468464</v>
      </c>
      <c r="K375">
        <v>2.1818992906990484</v>
      </c>
      <c r="L375">
        <v>0</v>
      </c>
      <c r="M375">
        <v>1.5005039959875704E-3</v>
      </c>
      <c r="N375">
        <v>0.14695004263338815</v>
      </c>
      <c r="O375">
        <v>2.0312270282271814E-2</v>
      </c>
      <c r="P375">
        <v>2.5947587046576806E-2</v>
      </c>
      <c r="Q375">
        <v>5.8055733647457506E-3</v>
      </c>
      <c r="R375">
        <v>1.4792802710492574E-3</v>
      </c>
      <c r="S375">
        <v>0.24803830230293078</v>
      </c>
      <c r="T375">
        <v>1.2855076402820294</v>
      </c>
      <c r="U375">
        <v>0.14678027075630912</v>
      </c>
      <c r="V375">
        <v>0.18720723203025683</v>
      </c>
      <c r="W375">
        <v>9.5147669314327138E-2</v>
      </c>
      <c r="X375">
        <v>1.6197813157964504E-2</v>
      </c>
      <c r="Y375">
        <v>4.0261132531857861E-3</v>
      </c>
    </row>
    <row r="376" spans="1:25" x14ac:dyDescent="0.25">
      <c r="A376" s="1096"/>
      <c r="B376" s="1455">
        <v>126</v>
      </c>
      <c r="C376" s="1100">
        <v>1.0018452601297827</v>
      </c>
      <c r="D376" s="1100">
        <v>1.0012918016733938</v>
      </c>
      <c r="E376" s="1100">
        <v>0.97920362455130094</v>
      </c>
      <c r="F376" s="1100">
        <v>1.0099169734527493</v>
      </c>
      <c r="G376" s="1100">
        <v>0.98710291400458128</v>
      </c>
      <c r="H376" s="1100">
        <v>0.99819595030377584</v>
      </c>
      <c r="I376" s="1100">
        <v>0.99279678081957445</v>
      </c>
      <c r="K376">
        <v>2.2201482753472384</v>
      </c>
      <c r="L376">
        <v>0</v>
      </c>
      <c r="M376">
        <v>1.6084013539025223E-3</v>
      </c>
      <c r="N376">
        <v>0.13733506696759026</v>
      </c>
      <c r="O376">
        <v>1.9697287735351565E-2</v>
      </c>
      <c r="P376">
        <v>2.5811865775926889E-2</v>
      </c>
      <c r="Q376">
        <v>5.3788556269671424E-3</v>
      </c>
      <c r="R376">
        <v>1.5857542536130429E-3</v>
      </c>
      <c r="S376">
        <v>0.23887890192289751</v>
      </c>
      <c r="T376">
        <v>1.3571620481895033</v>
      </c>
      <c r="U376">
        <v>0.14246184576814144</v>
      </c>
      <c r="V376">
        <v>0.18314126770272551</v>
      </c>
      <c r="W376">
        <v>9.1351193172743442E-2</v>
      </c>
      <c r="X376">
        <v>1.4636689251096936E-2</v>
      </c>
      <c r="Y376">
        <v>4.3159003345854896E-3</v>
      </c>
    </row>
    <row r="377" spans="1:25" x14ac:dyDescent="0.25">
      <c r="A377" s="1096"/>
      <c r="B377" s="1455">
        <v>127</v>
      </c>
      <c r="C377" s="1100">
        <v>1.0066080109637328</v>
      </c>
      <c r="D377" s="1100">
        <v>1.0320769862226691</v>
      </c>
      <c r="E377" s="1100">
        <v>0.99973053267618084</v>
      </c>
      <c r="F377" s="1100">
        <v>1.0071337381050862</v>
      </c>
      <c r="G377" s="1100">
        <v>0.96359202091518248</v>
      </c>
      <c r="H377" s="1100">
        <v>0.9877312593457469</v>
      </c>
      <c r="I377" s="1100">
        <v>0.99180377225111682</v>
      </c>
      <c r="K377">
        <v>2.205995794414259</v>
      </c>
      <c r="L377">
        <v>0</v>
      </c>
      <c r="M377">
        <v>1.5080057739470236E-3</v>
      </c>
      <c r="N377">
        <v>0.13698671667717788</v>
      </c>
      <c r="O377">
        <v>1.9486548892958158E-2</v>
      </c>
      <c r="P377">
        <v>2.603856208062643E-2</v>
      </c>
      <c r="Q377">
        <v>5.4329013856336678E-3</v>
      </c>
      <c r="R377">
        <v>1.486547332130493E-3</v>
      </c>
      <c r="S377">
        <v>0.2332961013054452</v>
      </c>
      <c r="T377">
        <v>1.3534499981821131</v>
      </c>
      <c r="U377">
        <v>0.14183466000959091</v>
      </c>
      <c r="V377">
        <v>0.18022123757465167</v>
      </c>
      <c r="W377">
        <v>9.0005375956789951E-2</v>
      </c>
      <c r="X377">
        <v>1.5219258993227203E-2</v>
      </c>
      <c r="Y377">
        <v>4.0458917978628663E-3</v>
      </c>
    </row>
    <row r="378" spans="1:25" x14ac:dyDescent="0.25">
      <c r="A378" s="1096"/>
      <c r="B378" s="1455">
        <v>128</v>
      </c>
      <c r="C378" s="1100">
        <v>1.0057327052587468</v>
      </c>
      <c r="D378" s="1100">
        <v>0.97909917396206292</v>
      </c>
      <c r="E378" s="1100">
        <v>0.9822848725216784</v>
      </c>
      <c r="F378" s="1100">
        <v>0.96384522854577348</v>
      </c>
      <c r="G378" s="1100">
        <v>1.0031206411997726</v>
      </c>
      <c r="H378" s="1100">
        <v>1.0039992118422376</v>
      </c>
      <c r="I378" s="1100">
        <v>1.0071129058176991</v>
      </c>
      <c r="K378">
        <v>2.166327335925204</v>
      </c>
      <c r="L378">
        <v>0</v>
      </c>
      <c r="M378">
        <v>1.609178320788715E-3</v>
      </c>
      <c r="N378">
        <v>0.13869974381788561</v>
      </c>
      <c r="O378">
        <v>1.9720058255581568E-2</v>
      </c>
      <c r="P378">
        <v>2.5129868593169648E-2</v>
      </c>
      <c r="Q378">
        <v>5.4019579775094577E-3</v>
      </c>
      <c r="R378">
        <v>1.5866512471849478E-3</v>
      </c>
      <c r="S378">
        <v>0.24459930159020229</v>
      </c>
      <c r="T378">
        <v>1.2952526895682304</v>
      </c>
      <c r="U378">
        <v>0.1419182216718646</v>
      </c>
      <c r="V378">
        <v>0.18472572989456487</v>
      </c>
      <c r="W378">
        <v>9.2087545629432971E-2</v>
      </c>
      <c r="X378">
        <v>1.4496404344973852E-2</v>
      </c>
      <c r="Y378">
        <v>4.3183416553943636E-3</v>
      </c>
    </row>
    <row r="379" spans="1:25" x14ac:dyDescent="0.25">
      <c r="A379" s="1096"/>
      <c r="B379" s="1455">
        <v>129</v>
      </c>
      <c r="C379" s="1100">
        <v>1.0021932053111604</v>
      </c>
      <c r="D379" s="1100">
        <v>0.99001450512222278</v>
      </c>
      <c r="E379" s="1100">
        <v>0.99824258534416854</v>
      </c>
      <c r="F379" s="1100">
        <v>0.96986801071178697</v>
      </c>
      <c r="G379" s="1100">
        <v>1.0110966064595452</v>
      </c>
      <c r="H379" s="1100">
        <v>0.99308467837161307</v>
      </c>
      <c r="I379" s="1100">
        <v>0.99412109191835607</v>
      </c>
      <c r="K379">
        <v>2.1729433044245341</v>
      </c>
      <c r="L379">
        <v>0</v>
      </c>
      <c r="M379">
        <v>1.5416122579651487E-3</v>
      </c>
      <c r="N379">
        <v>0.13942219751738649</v>
      </c>
      <c r="O379">
        <v>1.9751448187948346E-2</v>
      </c>
      <c r="P379">
        <v>2.5506661187514879E-2</v>
      </c>
      <c r="Q379">
        <v>5.4985213509166188E-3</v>
      </c>
      <c r="R379">
        <v>1.5197938604360169E-3</v>
      </c>
      <c r="S379">
        <v>0.24020841731731399</v>
      </c>
      <c r="T379">
        <v>1.3033676916221641</v>
      </c>
      <c r="U379">
        <v>0.14245604446317428</v>
      </c>
      <c r="V379">
        <v>0.18584929005468498</v>
      </c>
      <c r="W379">
        <v>9.1686690137094129E-2</v>
      </c>
      <c r="X379">
        <v>1.5081783095671162E-2</v>
      </c>
      <c r="Y379">
        <v>4.1363778881953923E-3</v>
      </c>
    </row>
    <row r="380" spans="1:25" x14ac:dyDescent="0.25">
      <c r="A380" s="1096"/>
      <c r="B380" s="1455">
        <v>130</v>
      </c>
      <c r="C380" s="1100">
        <v>1.0021670630289659</v>
      </c>
      <c r="D380" s="1100">
        <v>0.97320037271526805</v>
      </c>
      <c r="E380" s="1100">
        <v>1.0042610284193321</v>
      </c>
      <c r="F380" s="1100">
        <v>0.9727064479823081</v>
      </c>
      <c r="G380" s="1100">
        <v>0.97684750208218607</v>
      </c>
      <c r="H380" s="1100">
        <v>0.99882268824333464</v>
      </c>
      <c r="I380" s="1100">
        <v>0.99368328067931155</v>
      </c>
      <c r="K380">
        <v>2.179163302301109</v>
      </c>
      <c r="L380">
        <v>0</v>
      </c>
      <c r="M380">
        <v>1.537101054337893E-3</v>
      </c>
      <c r="N380">
        <v>0.14157646408276087</v>
      </c>
      <c r="O380">
        <v>1.9830314018279459E-2</v>
      </c>
      <c r="P380">
        <v>2.5654845795746128E-2</v>
      </c>
      <c r="Q380">
        <v>5.5539512027220758E-3</v>
      </c>
      <c r="R380">
        <v>1.5154714787149217E-3</v>
      </c>
      <c r="S380">
        <v>0.24268618477545795</v>
      </c>
      <c r="T380">
        <v>1.3071916356814932</v>
      </c>
      <c r="U380">
        <v>0.14247358963587309</v>
      </c>
      <c r="V380">
        <v>0.18198476297817465</v>
      </c>
      <c r="W380">
        <v>9.2771265271502271E-2</v>
      </c>
      <c r="X380">
        <v>1.5337304644695441E-2</v>
      </c>
      <c r="Y380">
        <v>4.1246137900233229E-3</v>
      </c>
    </row>
    <row r="381" spans="1:25" x14ac:dyDescent="0.25">
      <c r="A381" s="1096"/>
      <c r="B381" s="1455">
        <v>131</v>
      </c>
      <c r="C381" s="1100">
        <v>0.98163727954995939</v>
      </c>
      <c r="D381" s="1100">
        <v>0.97769430394998225</v>
      </c>
      <c r="E381" s="1100">
        <v>0.9576020227321751</v>
      </c>
      <c r="F381" s="1100">
        <v>0.99124132577955693</v>
      </c>
      <c r="G381" s="1100">
        <v>0.95316568557707437</v>
      </c>
      <c r="H381" s="1100">
        <v>1.0026094907318417</v>
      </c>
      <c r="I381" s="1100">
        <v>0.97370572341406814</v>
      </c>
      <c r="K381">
        <v>2.2013376220324479</v>
      </c>
      <c r="L381">
        <v>0</v>
      </c>
      <c r="M381">
        <v>1.733010854337243E-3</v>
      </c>
      <c r="N381">
        <v>0.13861373284611728</v>
      </c>
      <c r="O381">
        <v>2.0194785473090168E-2</v>
      </c>
      <c r="P381">
        <v>2.5102481895606696E-2</v>
      </c>
      <c r="Q381">
        <v>5.3941808161428713E-3</v>
      </c>
      <c r="R381">
        <v>1.7087166070166181E-3</v>
      </c>
      <c r="S381">
        <v>0.24216554494740306</v>
      </c>
      <c r="T381">
        <v>1.3320458436126001</v>
      </c>
      <c r="U381">
        <v>0.14534416208638942</v>
      </c>
      <c r="V381">
        <v>0.18050497545600702</v>
      </c>
      <c r="W381">
        <v>9.3423523285356538E-2</v>
      </c>
      <c r="X381">
        <v>1.3922122535034142E-2</v>
      </c>
      <c r="Y381">
        <v>4.6505633260211154E-3</v>
      </c>
    </row>
    <row r="382" spans="1:25" x14ac:dyDescent="0.25">
      <c r="A382" s="1096"/>
      <c r="B382" s="1455">
        <v>132</v>
      </c>
      <c r="C382" s="1100">
        <v>1.0298978817947981</v>
      </c>
      <c r="D382" s="1100">
        <v>0.99197596318843728</v>
      </c>
      <c r="E382" s="1100">
        <v>1.0008655458617846</v>
      </c>
      <c r="F382" s="1100">
        <v>0.96637208880355963</v>
      </c>
      <c r="G382" s="1100">
        <v>1.0195177618479272</v>
      </c>
      <c r="H382" s="1100">
        <v>0.96651910328851098</v>
      </c>
      <c r="I382" s="1100">
        <v>0.98603028783174174</v>
      </c>
      <c r="K382">
        <v>2.139826741398843</v>
      </c>
      <c r="L382">
        <v>0</v>
      </c>
      <c r="M382">
        <v>1.4514588863395999E-3</v>
      </c>
      <c r="N382">
        <v>0.13226099840071512</v>
      </c>
      <c r="O382">
        <v>1.9213352320526445E-2</v>
      </c>
      <c r="P382">
        <v>2.5286576785764812E-2</v>
      </c>
      <c r="Q382">
        <v>5.3628473895268687E-3</v>
      </c>
      <c r="R382">
        <v>1.4303518006525098E-3</v>
      </c>
      <c r="S382">
        <v>0.2295921517054125</v>
      </c>
      <c r="T382">
        <v>1.2986736698601504</v>
      </c>
      <c r="U382">
        <v>0.13862978146056612</v>
      </c>
      <c r="V382">
        <v>0.18521110351328463</v>
      </c>
      <c r="W382">
        <v>8.6841814438597356E-2</v>
      </c>
      <c r="X382">
        <v>1.4882606523951512E-2</v>
      </c>
      <c r="Y382">
        <v>3.8929460860317689E-3</v>
      </c>
    </row>
    <row r="383" spans="1:25" x14ac:dyDescent="0.25">
      <c r="A383" s="1096"/>
      <c r="B383" s="1455">
        <v>133</v>
      </c>
      <c r="C383" s="1100">
        <v>1.004984681821312</v>
      </c>
      <c r="D383" s="1100">
        <v>0.97158820289780867</v>
      </c>
      <c r="E383" s="1100">
        <v>1.0131175828283405</v>
      </c>
      <c r="F383" s="1100">
        <v>0.96716185894033435</v>
      </c>
      <c r="G383" s="1100">
        <v>0.9851027341066706</v>
      </c>
      <c r="H383" s="1100">
        <v>1.0158537079319208</v>
      </c>
      <c r="I383" s="1100">
        <v>0.97085849395670676</v>
      </c>
      <c r="K383">
        <v>2.1726996957233968</v>
      </c>
      <c r="L383">
        <v>0</v>
      </c>
      <c r="M383">
        <v>1.5310700935021713E-3</v>
      </c>
      <c r="N383">
        <v>0.14487747537618095</v>
      </c>
      <c r="O383">
        <v>1.9787478441225959E-2</v>
      </c>
      <c r="P383">
        <v>2.5662438805903017E-2</v>
      </c>
      <c r="Q383">
        <v>5.5912727101692988E-3</v>
      </c>
      <c r="R383">
        <v>1.5098865855458492E-3</v>
      </c>
      <c r="S383">
        <v>0.23803770009386624</v>
      </c>
      <c r="T383">
        <v>1.2997556725952433</v>
      </c>
      <c r="U383">
        <v>0.14209446122866601</v>
      </c>
      <c r="V383">
        <v>0.18275982745668004</v>
      </c>
      <c r="W383">
        <v>9.4439316632563997E-2</v>
      </c>
      <c r="X383">
        <v>1.5605822338975809E-2</v>
      </c>
      <c r="Y383">
        <v>4.1094135518766461E-3</v>
      </c>
    </row>
    <row r="384" spans="1:25" x14ac:dyDescent="0.25">
      <c r="A384" s="1096"/>
      <c r="B384" s="1455">
        <v>134</v>
      </c>
      <c r="C384" s="1100">
        <v>0.99895022762930041</v>
      </c>
      <c r="D384" s="1100">
        <v>1.0085564316852738</v>
      </c>
      <c r="E384" s="1100">
        <v>0.99806859458274089</v>
      </c>
      <c r="F384" s="1100">
        <v>1.0023019559784487</v>
      </c>
      <c r="G384" s="1100">
        <v>0.99530114269517134</v>
      </c>
      <c r="H384" s="1100">
        <v>1.0100018538524558</v>
      </c>
      <c r="I384" s="1100">
        <v>0.97124687446093738</v>
      </c>
      <c r="K384">
        <v>2.2142659811846626</v>
      </c>
      <c r="L384">
        <v>0</v>
      </c>
      <c r="M384">
        <v>1.5671206828306191E-3</v>
      </c>
      <c r="N384">
        <v>0.14168872935038559</v>
      </c>
      <c r="O384">
        <v>1.9734733065687484E-2</v>
      </c>
      <c r="P384">
        <v>2.6005097990979276E-2</v>
      </c>
      <c r="Q384">
        <v>5.4929063689834589E-3</v>
      </c>
      <c r="R384">
        <v>1.545312762675169E-3</v>
      </c>
      <c r="S384">
        <v>0.23458559122466824</v>
      </c>
      <c r="T384">
        <v>1.346954131637488</v>
      </c>
      <c r="U384">
        <v>0.14291811083469133</v>
      </c>
      <c r="V384">
        <v>0.18425583359307296</v>
      </c>
      <c r="W384">
        <v>9.3186854651854237E-2</v>
      </c>
      <c r="X384">
        <v>1.5259968459221339E-2</v>
      </c>
      <c r="Y384">
        <v>4.2058319277865006E-3</v>
      </c>
    </row>
    <row r="385" spans="1:25" x14ac:dyDescent="0.25">
      <c r="A385" s="1096"/>
      <c r="B385" s="1455">
        <v>135</v>
      </c>
      <c r="C385" s="1100">
        <v>0.98327519116139739</v>
      </c>
      <c r="D385" s="1100">
        <v>1.0217459342860538</v>
      </c>
      <c r="E385" s="1100">
        <v>0.99435039120202107</v>
      </c>
      <c r="F385" s="1100">
        <v>1.0039039675947696</v>
      </c>
      <c r="G385" s="1100">
        <v>1.0015133114945973</v>
      </c>
      <c r="H385" s="1100">
        <v>0.99751841231779381</v>
      </c>
      <c r="I385" s="1100">
        <v>0.9930645216121905</v>
      </c>
      <c r="K385">
        <v>2.2267152394087284</v>
      </c>
      <c r="L385">
        <v>0</v>
      </c>
      <c r="M385">
        <v>1.5800694196036402E-3</v>
      </c>
      <c r="N385">
        <v>0.1412382479088819</v>
      </c>
      <c r="O385">
        <v>1.9989760157194735E-2</v>
      </c>
      <c r="P385">
        <v>2.6103503072710248E-2</v>
      </c>
      <c r="Q385">
        <v>5.5430902997698995E-3</v>
      </c>
      <c r="R385">
        <v>1.5578061357211976E-3</v>
      </c>
      <c r="S385">
        <v>0.24108027863428569</v>
      </c>
      <c r="T385">
        <v>1.349101376882381</v>
      </c>
      <c r="U385">
        <v>0.14518776153630997</v>
      </c>
      <c r="V385">
        <v>0.1859014190456309</v>
      </c>
      <c r="W385">
        <v>9.309670127079675E-2</v>
      </c>
      <c r="X385">
        <v>1.5255529113871668E-2</v>
      </c>
      <c r="Y385">
        <v>4.2398347707784745E-3</v>
      </c>
    </row>
    <row r="386" spans="1:25" x14ac:dyDescent="0.25">
      <c r="A386" s="1096"/>
      <c r="B386" s="1455">
        <v>136</v>
      </c>
      <c r="C386" s="1100">
        <v>0.96850629236306707</v>
      </c>
      <c r="D386" s="1100">
        <v>1.0117598765380043</v>
      </c>
      <c r="E386" s="1100">
        <v>0.99912534659481722</v>
      </c>
      <c r="F386" s="1100">
        <v>1.0191068659668574</v>
      </c>
      <c r="G386" s="1100">
        <v>0.99737427252093946</v>
      </c>
      <c r="H386" s="1100">
        <v>1.012492722050734</v>
      </c>
      <c r="I386" s="1100">
        <v>1.0215618135184945</v>
      </c>
      <c r="K386">
        <v>2.273240330419473</v>
      </c>
      <c r="L386">
        <v>0</v>
      </c>
      <c r="M386">
        <v>1.6156928845628478E-3</v>
      </c>
      <c r="N386">
        <v>0.1465525762766168</v>
      </c>
      <c r="O386">
        <v>2.0341556289917774E-2</v>
      </c>
      <c r="P386">
        <v>2.6692568665995921E-2</v>
      </c>
      <c r="Q386">
        <v>5.6678297116415227E-3</v>
      </c>
      <c r="R386">
        <v>1.5932643510022297E-3</v>
      </c>
      <c r="S386">
        <v>0.2543122394565433</v>
      </c>
      <c r="T386">
        <v>1.3695392702093856</v>
      </c>
      <c r="U386">
        <v>0.14741309676417019</v>
      </c>
      <c r="V386">
        <v>0.1863578201510625</v>
      </c>
      <c r="W386">
        <v>9.6325158626822588E-2</v>
      </c>
      <c r="X386">
        <v>1.5724302456901425E-2</v>
      </c>
      <c r="Y386">
        <v>4.3363403439759191E-3</v>
      </c>
    </row>
    <row r="387" spans="1:25" x14ac:dyDescent="0.25">
      <c r="A387" s="1096"/>
      <c r="B387" s="1455">
        <v>137</v>
      </c>
      <c r="C387" s="1100">
        <v>0.99282787551633334</v>
      </c>
      <c r="D387" s="1100">
        <v>0.97313033546414451</v>
      </c>
      <c r="E387" s="1100">
        <v>0.98961646672114956</v>
      </c>
      <c r="F387" s="1100">
        <v>0.96930423544112343</v>
      </c>
      <c r="G387" s="1100">
        <v>0.99420074833298533</v>
      </c>
      <c r="H387" s="1100">
        <v>0.97842369207028723</v>
      </c>
      <c r="I387" s="1100">
        <v>0.97253658900501361</v>
      </c>
      <c r="K387">
        <v>2.1680087837869726</v>
      </c>
      <c r="L387">
        <v>0</v>
      </c>
      <c r="M387">
        <v>1.5667525681100517E-3</v>
      </c>
      <c r="N387">
        <v>0.13801948253876056</v>
      </c>
      <c r="O387">
        <v>2.0007902807855919E-2</v>
      </c>
      <c r="P387">
        <v>2.5302039926870499E-2</v>
      </c>
      <c r="Q387">
        <v>5.521666515029563E-3</v>
      </c>
      <c r="R387">
        <v>1.5442460956334636E-3</v>
      </c>
      <c r="S387">
        <v>0.23804316268411141</v>
      </c>
      <c r="T387">
        <v>1.3025978493247286</v>
      </c>
      <c r="U387">
        <v>0.14377984577095654</v>
      </c>
      <c r="V387">
        <v>0.18449023169026593</v>
      </c>
      <c r="W387">
        <v>9.1233021023798155E-2</v>
      </c>
      <c r="X387">
        <v>1.4833159165346211E-2</v>
      </c>
      <c r="Y387">
        <v>4.2029288117256753E-3</v>
      </c>
    </row>
    <row r="388" spans="1:25" x14ac:dyDescent="0.25">
      <c r="A388" s="1096"/>
      <c r="B388" s="1455">
        <v>138</v>
      </c>
      <c r="C388" s="1100">
        <v>1.0010951113651558</v>
      </c>
      <c r="D388" s="1100">
        <v>0.98262389273582207</v>
      </c>
      <c r="E388" s="1100">
        <v>1.0000507742042972</v>
      </c>
      <c r="F388" s="1100">
        <v>1.0292965481856258</v>
      </c>
      <c r="G388" s="1100">
        <v>1.0214274866037496</v>
      </c>
      <c r="H388" s="1100">
        <v>0.98602365718664631</v>
      </c>
      <c r="I388" s="1100">
        <v>0.97265420778675249</v>
      </c>
      <c r="K388">
        <v>2.2504465687024449</v>
      </c>
      <c r="L388">
        <v>0</v>
      </c>
      <c r="M388">
        <v>1.5291128753057153E-3</v>
      </c>
      <c r="N388">
        <v>0.13903506098205373</v>
      </c>
      <c r="O388">
        <v>1.9806868668334022E-2</v>
      </c>
      <c r="P388">
        <v>2.6587242084701212E-2</v>
      </c>
      <c r="Q388">
        <v>5.5239853794588466E-3</v>
      </c>
      <c r="R388">
        <v>1.5073164041480762E-3</v>
      </c>
      <c r="S388">
        <v>0.23562591427135285</v>
      </c>
      <c r="T388">
        <v>1.3832343077242579</v>
      </c>
      <c r="U388">
        <v>0.14261646137510317</v>
      </c>
      <c r="V388">
        <v>0.18708355998288009</v>
      </c>
      <c r="W388">
        <v>9.1333827380604957E-2</v>
      </c>
      <c r="X388">
        <v>1.551871895948086E-2</v>
      </c>
      <c r="Y388">
        <v>4.1024183653719766E-3</v>
      </c>
    </row>
    <row r="389" spans="1:25" x14ac:dyDescent="0.25">
      <c r="A389" s="1096"/>
      <c r="B389" s="1455">
        <v>139</v>
      </c>
      <c r="C389" s="1100">
        <v>1.0029183142327613</v>
      </c>
      <c r="D389" s="1100">
        <v>0.96696466080924381</v>
      </c>
      <c r="E389" s="1100">
        <v>0.98062748896799368</v>
      </c>
      <c r="F389" s="1100">
        <v>1.0071384260747458</v>
      </c>
      <c r="G389" s="1100">
        <v>1.0082583371259237</v>
      </c>
      <c r="H389" s="1100">
        <v>0.99710521510474925</v>
      </c>
      <c r="I389" s="1100">
        <v>1.0153059610967516</v>
      </c>
      <c r="K389">
        <v>2.2299126334179347</v>
      </c>
      <c r="L389">
        <v>0</v>
      </c>
      <c r="M389">
        <v>1.61253466733469E-3</v>
      </c>
      <c r="N389">
        <v>0.13828029503316422</v>
      </c>
      <c r="O389">
        <v>1.9828690465244068E-2</v>
      </c>
      <c r="P389">
        <v>2.5945063370907965E-2</v>
      </c>
      <c r="Q389">
        <v>5.4225808739219615E-3</v>
      </c>
      <c r="R389">
        <v>1.589804530544391E-3</v>
      </c>
      <c r="S389">
        <v>0.24825745350037098</v>
      </c>
      <c r="T389">
        <v>1.3534297909988515</v>
      </c>
      <c r="U389">
        <v>0.14231267941878498</v>
      </c>
      <c r="V389">
        <v>0.18547058409527931</v>
      </c>
      <c r="W389">
        <v>9.1900878496144492E-2</v>
      </c>
      <c r="X389">
        <v>1.4760423448833243E-2</v>
      </c>
      <c r="Y389">
        <v>4.3269238532191862E-3</v>
      </c>
    </row>
    <row r="390" spans="1:25" x14ac:dyDescent="0.25">
      <c r="A390" s="1096"/>
      <c r="B390" s="1455">
        <v>140</v>
      </c>
      <c r="C390" s="1100">
        <v>0.98934704341749069</v>
      </c>
      <c r="D390" s="1100">
        <v>1.0111844628459223</v>
      </c>
      <c r="E390" s="1100">
        <v>1.0072335497592817</v>
      </c>
      <c r="F390" s="1100">
        <v>0.98857786442857365</v>
      </c>
      <c r="G390" s="1100">
        <v>0.99831108794580292</v>
      </c>
      <c r="H390" s="1100">
        <v>1.0378188530842629</v>
      </c>
      <c r="I390" s="1100">
        <v>1.0122989982865069</v>
      </c>
      <c r="K390">
        <v>2.223775248871521</v>
      </c>
      <c r="L390">
        <v>0</v>
      </c>
      <c r="M390">
        <v>1.5943683008663144E-3</v>
      </c>
      <c r="N390">
        <v>0.14825478834487171</v>
      </c>
      <c r="O390">
        <v>1.9920660115991942E-2</v>
      </c>
      <c r="P390">
        <v>2.6158669197134551E-2</v>
      </c>
      <c r="Q390">
        <v>5.5958969976177718E-3</v>
      </c>
      <c r="R390">
        <v>1.5727758931470351E-3</v>
      </c>
      <c r="S390">
        <v>0.24890269552972658</v>
      </c>
      <c r="T390">
        <v>1.3285258105249949</v>
      </c>
      <c r="U390">
        <v>0.14432669469946868</v>
      </c>
      <c r="V390">
        <v>0.18518068701386611</v>
      </c>
      <c r="W390">
        <v>9.6976688281668111E-2</v>
      </c>
      <c r="X390">
        <v>1.5673673058186496E-2</v>
      </c>
      <c r="Y390">
        <v>4.2805775157123945E-3</v>
      </c>
    </row>
    <row r="391" spans="1:25" x14ac:dyDescent="0.25">
      <c r="A391" s="1096"/>
      <c r="B391" s="1455">
        <v>141</v>
      </c>
      <c r="C391" s="1100">
        <v>1.0373312314843719</v>
      </c>
      <c r="D391" s="1100">
        <v>0.99682580417722588</v>
      </c>
      <c r="E391" s="1100">
        <v>1.047879514967617</v>
      </c>
      <c r="F391" s="1100">
        <v>0.97404230329925223</v>
      </c>
      <c r="G391" s="1100">
        <v>0.99240194358935374</v>
      </c>
      <c r="H391" s="1100">
        <v>0.98695386459962886</v>
      </c>
      <c r="I391" s="1100">
        <v>0.9968520835845569</v>
      </c>
      <c r="K391">
        <v>2.1608776833481662</v>
      </c>
      <c r="L391">
        <v>0</v>
      </c>
      <c r="M391">
        <v>1.3328826721795482E-3</v>
      </c>
      <c r="N391">
        <v>0.14000011020151196</v>
      </c>
      <c r="O391">
        <v>1.9083650869842247E-2</v>
      </c>
      <c r="P391">
        <v>2.6286235209020417E-2</v>
      </c>
      <c r="Q391">
        <v>5.5808992138651091E-3</v>
      </c>
      <c r="R391">
        <v>1.3139012369639315E-3</v>
      </c>
      <c r="S391">
        <v>0.23180471121100502</v>
      </c>
      <c r="T391">
        <v>1.3090782345770555</v>
      </c>
      <c r="U391">
        <v>0.13774111076505038</v>
      </c>
      <c r="V391">
        <v>0.18177498727288527</v>
      </c>
      <c r="W391">
        <v>8.9437579283256657E-2</v>
      </c>
      <c r="X391">
        <v>1.6533140140300592E-2</v>
      </c>
      <c r="Y391">
        <v>3.576006039589462E-3</v>
      </c>
    </row>
    <row r="392" spans="1:25" x14ac:dyDescent="0.25">
      <c r="A392" s="1096"/>
      <c r="B392" s="1455">
        <v>142</v>
      </c>
      <c r="C392" s="1100">
        <v>0.97454993052690309</v>
      </c>
      <c r="D392" s="1100">
        <v>1.0020185288253087</v>
      </c>
      <c r="E392" s="1100">
        <v>0.99352816804847888</v>
      </c>
      <c r="F392" s="1100">
        <v>1.0161102411858163</v>
      </c>
      <c r="G392" s="1100">
        <v>0.98513095690872077</v>
      </c>
      <c r="H392" s="1100">
        <v>1.0244467865614812</v>
      </c>
      <c r="I392" s="1100">
        <v>1.0171834642845072</v>
      </c>
      <c r="K392">
        <v>2.266421022791103</v>
      </c>
      <c r="L392">
        <v>0</v>
      </c>
      <c r="M392">
        <v>1.6470941452194142E-3</v>
      </c>
      <c r="N392">
        <v>0.1469191397721486</v>
      </c>
      <c r="O392">
        <v>2.025489808370912E-2</v>
      </c>
      <c r="P392">
        <v>2.6482934128284747E-2</v>
      </c>
      <c r="Q392">
        <v>5.6119564095878658E-3</v>
      </c>
      <c r="R392">
        <v>1.6244965098943503E-3</v>
      </c>
      <c r="S392">
        <v>0.2538185060262475</v>
      </c>
      <c r="T392">
        <v>1.3655036188785763</v>
      </c>
      <c r="U392">
        <v>0.14648570411886511</v>
      </c>
      <c r="V392">
        <v>0.18458897688098275</v>
      </c>
      <c r="W392">
        <v>9.6888805046576154E-2</v>
      </c>
      <c r="X392">
        <v>1.5467737096646533E-2</v>
      </c>
      <c r="Y392">
        <v>4.4213439848018576E-3</v>
      </c>
    </row>
    <row r="393" spans="1:25" x14ac:dyDescent="0.25">
      <c r="A393" s="1096"/>
      <c r="B393" s="1455">
        <v>143</v>
      </c>
      <c r="C393" s="1100">
        <v>0.96814685756462315</v>
      </c>
      <c r="D393" s="1100">
        <v>1.006908948508398</v>
      </c>
      <c r="E393" s="1100">
        <v>1.001421411865026</v>
      </c>
      <c r="F393" s="1100">
        <v>1.0087896414355586</v>
      </c>
      <c r="G393" s="1100">
        <v>1.0047365661446188</v>
      </c>
      <c r="H393" s="1100">
        <v>1.0027937573627919</v>
      </c>
      <c r="I393" s="1100">
        <v>1.0005356875747931</v>
      </c>
      <c r="K393">
        <v>2.2531335520108589</v>
      </c>
      <c r="L393">
        <v>0</v>
      </c>
      <c r="M393">
        <v>1.5948887890621741E-3</v>
      </c>
      <c r="N393">
        <v>0.14565269209542761</v>
      </c>
      <c r="O393">
        <v>2.0372114844868238E-2</v>
      </c>
      <c r="P393">
        <v>2.6488679476658328E-2</v>
      </c>
      <c r="Q393">
        <v>5.6894582381233167E-3</v>
      </c>
      <c r="R393">
        <v>1.5725349170279421E-3</v>
      </c>
      <c r="S393">
        <v>0.24898156110539613</v>
      </c>
      <c r="T393">
        <v>1.3556780427823019</v>
      </c>
      <c r="U393">
        <v>0.1474732858687291</v>
      </c>
      <c r="V393">
        <v>0.18721485669571578</v>
      </c>
      <c r="W393">
        <v>9.5603162128703345E-2</v>
      </c>
      <c r="X393">
        <v>1.5722130988816429E-2</v>
      </c>
      <c r="Y393">
        <v>4.2799216581539783E-3</v>
      </c>
    </row>
    <row r="394" spans="1:25" x14ac:dyDescent="0.25">
      <c r="A394" s="1096"/>
      <c r="B394" s="1455">
        <v>144</v>
      </c>
      <c r="C394" s="1100">
        <v>1.0059254276094607</v>
      </c>
      <c r="D394" s="1100">
        <v>0.96741294919192355</v>
      </c>
      <c r="E394" s="1100">
        <v>1.0350899068052937</v>
      </c>
      <c r="F394" s="1100">
        <v>0.968897142468918</v>
      </c>
      <c r="G394" s="1100">
        <v>1.0378281466009927</v>
      </c>
      <c r="H394" s="1100">
        <v>1.0165400142446932</v>
      </c>
      <c r="I394" s="1100">
        <v>0.96512549015247318</v>
      </c>
      <c r="K394">
        <v>2.1852479399748805</v>
      </c>
      <c r="L394">
        <v>0</v>
      </c>
      <c r="M394">
        <v>1.4636144737079698E-3</v>
      </c>
      <c r="N394">
        <v>0.14798424650342859</v>
      </c>
      <c r="O394">
        <v>1.9801506870534769E-2</v>
      </c>
      <c r="P394">
        <v>2.6179731658305939E-2</v>
      </c>
      <c r="Q394">
        <v>5.7185211817327398E-3</v>
      </c>
      <c r="R394">
        <v>1.4433779367752047E-3</v>
      </c>
      <c r="S394">
        <v>0.23713997227083283</v>
      </c>
      <c r="T394">
        <v>1.3021326173725514</v>
      </c>
      <c r="U394">
        <v>0.14201204688097263</v>
      </c>
      <c r="V394">
        <v>0.18868418391162853</v>
      </c>
      <c r="W394">
        <v>9.5236296253204011E-2</v>
      </c>
      <c r="X394">
        <v>1.645065467413016E-2</v>
      </c>
      <c r="Y394">
        <v>3.9283989344931257E-3</v>
      </c>
    </row>
    <row r="395" spans="1:25" x14ac:dyDescent="0.25">
      <c r="A395" s="1096"/>
      <c r="B395" s="1455">
        <v>145</v>
      </c>
      <c r="C395" s="1100">
        <v>0.9780271385033843</v>
      </c>
      <c r="D395" s="1100">
        <v>0.99570747794470205</v>
      </c>
      <c r="E395" s="1100">
        <v>0.99990516657635686</v>
      </c>
      <c r="F395" s="1100">
        <v>1.0010683716476316</v>
      </c>
      <c r="G395" s="1100">
        <v>0.99636759031085653</v>
      </c>
      <c r="H395" s="1100">
        <v>0.97055062632037137</v>
      </c>
      <c r="I395" s="1100">
        <v>1.024369612727337</v>
      </c>
      <c r="K395">
        <v>2.231090172883444</v>
      </c>
      <c r="L395">
        <v>0</v>
      </c>
      <c r="M395">
        <v>1.5366049647337076E-3</v>
      </c>
      <c r="N395">
        <v>0.13962263659618993</v>
      </c>
      <c r="O395">
        <v>2.0215034090625146E-2</v>
      </c>
      <c r="P395">
        <v>2.6303345143328622E-2</v>
      </c>
      <c r="Q395">
        <v>5.6369945077497652E-3</v>
      </c>
      <c r="R395">
        <v>1.5143525054657251E-3</v>
      </c>
      <c r="S395">
        <v>0.25102692643080093</v>
      </c>
      <c r="T395">
        <v>1.3452992528612968</v>
      </c>
      <c r="U395">
        <v>0.14597990324434804</v>
      </c>
      <c r="V395">
        <v>0.18564845621715415</v>
      </c>
      <c r="W395">
        <v>9.1727750992324331E-2</v>
      </c>
      <c r="X395">
        <v>1.5530556945184945E-2</v>
      </c>
      <c r="Y395">
        <v>4.1215683137084411E-3</v>
      </c>
    </row>
    <row r="396" spans="1:25" x14ac:dyDescent="0.25">
      <c r="A396" s="1096"/>
      <c r="B396" s="1455">
        <v>146</v>
      </c>
      <c r="C396" s="1100">
        <v>0.99952117214686986</v>
      </c>
      <c r="D396" s="1100">
        <v>1.0307087768308594</v>
      </c>
      <c r="E396" s="1100">
        <v>1.0130232415837401</v>
      </c>
      <c r="F396" s="1100">
        <v>0.98314083932765206</v>
      </c>
      <c r="G396" s="1100">
        <v>0.98056278383786244</v>
      </c>
      <c r="H396" s="1100">
        <v>1.0062048513224613</v>
      </c>
      <c r="I396" s="1100">
        <v>0.98011565539633172</v>
      </c>
      <c r="K396">
        <v>2.1864974494330567</v>
      </c>
      <c r="L396">
        <v>0</v>
      </c>
      <c r="M396">
        <v>1.5054248846825102E-3</v>
      </c>
      <c r="N396">
        <v>0.14239108117493943</v>
      </c>
      <c r="O396">
        <v>1.9638701906785946E-2</v>
      </c>
      <c r="P396">
        <v>2.5907169823673287E-2</v>
      </c>
      <c r="Q396">
        <v>5.5487110671761999E-3</v>
      </c>
      <c r="R396">
        <v>1.4843964638083338E-3</v>
      </c>
      <c r="S396">
        <v>0.23387454524891069</v>
      </c>
      <c r="T396">
        <v>1.3212294332340111</v>
      </c>
      <c r="U396">
        <v>0.14287094985579724</v>
      </c>
      <c r="V396">
        <v>0.1825693120211232</v>
      </c>
      <c r="W396">
        <v>9.2823695776206402E-2</v>
      </c>
      <c r="X396">
        <v>1.5624839901985873E-2</v>
      </c>
      <c r="Y396">
        <v>4.0400378433235011E-3</v>
      </c>
    </row>
    <row r="397" spans="1:25" x14ac:dyDescent="0.25">
      <c r="A397" s="1096"/>
      <c r="B397" s="1455">
        <v>147</v>
      </c>
      <c r="C397" s="1100">
        <v>0.99918383563527513</v>
      </c>
      <c r="D397" s="1100">
        <v>1.0206253983830345</v>
      </c>
      <c r="E397" s="1100">
        <v>1.0001746342581634</v>
      </c>
      <c r="F397" s="1100">
        <v>0.97613389020522956</v>
      </c>
      <c r="G397" s="1100">
        <v>0.9989635578440027</v>
      </c>
      <c r="H397" s="1100">
        <v>0.99097334623808264</v>
      </c>
      <c r="I397" s="1100">
        <v>0.95936658872519076</v>
      </c>
      <c r="K397">
        <v>2.168116142645931</v>
      </c>
      <c r="L397">
        <v>0</v>
      </c>
      <c r="M397">
        <v>1.5265363527650611E-3</v>
      </c>
      <c r="N397">
        <v>0.13886276838854919</v>
      </c>
      <c r="O397">
        <v>1.9679863090487228E-2</v>
      </c>
      <c r="P397">
        <v>2.5493108912796065E-2</v>
      </c>
      <c r="Q397">
        <v>5.4892478221999202E-3</v>
      </c>
      <c r="R397">
        <v>1.5048852932274643E-3</v>
      </c>
      <c r="S397">
        <v>0.22885720891404052</v>
      </c>
      <c r="T397">
        <v>1.3117911321834836</v>
      </c>
      <c r="U397">
        <v>0.1428895488107717</v>
      </c>
      <c r="V397">
        <v>0.18465778764055918</v>
      </c>
      <c r="W397">
        <v>9.1213931853566493E-2</v>
      </c>
      <c r="X397">
        <v>1.5107394406154205E-2</v>
      </c>
      <c r="Y397">
        <v>4.0958016828615716E-3</v>
      </c>
    </row>
    <row r="398" spans="1:25" x14ac:dyDescent="0.25">
      <c r="A398" s="1096"/>
      <c r="B398" s="1455">
        <v>148</v>
      </c>
      <c r="C398" s="1100">
        <v>0.97398699442298831</v>
      </c>
      <c r="D398" s="1100">
        <v>0.99256390109086934</v>
      </c>
      <c r="E398" s="1100">
        <v>0.96009914876040081</v>
      </c>
      <c r="F398" s="1100">
        <v>1.0301327888086813</v>
      </c>
      <c r="G398" s="1100">
        <v>1.0044098323485171</v>
      </c>
      <c r="H398" s="1100">
        <v>0.95470683851624427</v>
      </c>
      <c r="I398" s="1100">
        <v>1.0178025162898976</v>
      </c>
      <c r="K398">
        <v>2.259468615228355</v>
      </c>
      <c r="L398">
        <v>0</v>
      </c>
      <c r="M398">
        <v>1.6491508791256315E-3</v>
      </c>
      <c r="N398">
        <v>0.13281338417892177</v>
      </c>
      <c r="O398">
        <v>2.0287524259156912E-2</v>
      </c>
      <c r="P398">
        <v>2.6034247683889872E-2</v>
      </c>
      <c r="Q398">
        <v>5.4328869030433723E-3</v>
      </c>
      <c r="R398">
        <v>1.6248722403218484E-3</v>
      </c>
      <c r="S398">
        <v>0.24920822748815452</v>
      </c>
      <c r="T398">
        <v>1.3843105695693589</v>
      </c>
      <c r="U398">
        <v>0.14649164600322701</v>
      </c>
      <c r="V398">
        <v>0.18677452392234126</v>
      </c>
      <c r="W398">
        <v>8.9377024671727479E-2</v>
      </c>
      <c r="X398">
        <v>1.4340492588171832E-2</v>
      </c>
      <c r="Y398">
        <v>4.4223665991660055E-3</v>
      </c>
    </row>
    <row r="399" spans="1:25" x14ac:dyDescent="0.25">
      <c r="A399" s="1096"/>
      <c r="B399" s="1455">
        <v>149</v>
      </c>
      <c r="C399" s="1100">
        <v>0.99858771949446512</v>
      </c>
      <c r="D399" s="1100">
        <v>0.99944175902532262</v>
      </c>
      <c r="E399" s="1100">
        <v>1.0134540852339264</v>
      </c>
      <c r="F399" s="1100">
        <v>1.0199621818234783</v>
      </c>
      <c r="G399" s="1100">
        <v>1.0046005210752942</v>
      </c>
      <c r="H399" s="1100">
        <v>1.0125303382879463</v>
      </c>
      <c r="I399" s="1100">
        <v>0.9622668171808173</v>
      </c>
      <c r="K399">
        <v>2.2435885788313779</v>
      </c>
      <c r="L399">
        <v>0</v>
      </c>
      <c r="M399">
        <v>1.5252493597147545E-3</v>
      </c>
      <c r="N399">
        <v>0.14446669625812711</v>
      </c>
      <c r="O399">
        <v>1.9791000441779682E-2</v>
      </c>
      <c r="P399">
        <v>2.6637172603090644E-2</v>
      </c>
      <c r="Q399">
        <v>5.5941459485768681E-3</v>
      </c>
      <c r="R399">
        <v>1.5040771209270676E-3</v>
      </c>
      <c r="S399">
        <v>0.23386207549774393</v>
      </c>
      <c r="T399">
        <v>1.3707139535582145</v>
      </c>
      <c r="U399">
        <v>0.14300549710285876</v>
      </c>
      <c r="V399">
        <v>0.18534224165434765</v>
      </c>
      <c r="W399">
        <v>9.4152911538948392E-2</v>
      </c>
      <c r="X399">
        <v>1.5950454362201751E-2</v>
      </c>
      <c r="Y399">
        <v>4.0936021042738188E-3</v>
      </c>
    </row>
    <row r="400" spans="1:25" x14ac:dyDescent="0.25">
      <c r="A400" s="1096"/>
      <c r="B400" s="1455">
        <v>150</v>
      </c>
      <c r="C400" s="1100">
        <v>1.0156226101526244</v>
      </c>
      <c r="D400" s="1100">
        <v>0.98650938324164583</v>
      </c>
      <c r="E400" s="1100">
        <v>1.0166288234379008</v>
      </c>
      <c r="F400" s="1100">
        <v>1.0332621065050778</v>
      </c>
      <c r="G400" s="1100">
        <v>0.98643866423681348</v>
      </c>
      <c r="H400" s="1100">
        <v>1.0313860924162401</v>
      </c>
      <c r="I400" s="1100">
        <v>0.98763699180125419</v>
      </c>
      <c r="K400">
        <v>2.2629545052976821</v>
      </c>
      <c r="L400">
        <v>0</v>
      </c>
      <c r="M400">
        <v>1.5218985771743036E-3</v>
      </c>
      <c r="N400">
        <v>0.14557450398309113</v>
      </c>
      <c r="O400">
        <v>1.9516847672322001E-2</v>
      </c>
      <c r="P400">
        <v>2.6942791346731217E-2</v>
      </c>
      <c r="Q400">
        <v>5.5341402729680291E-3</v>
      </c>
      <c r="R400">
        <v>1.5011590707260428E-3</v>
      </c>
      <c r="S400">
        <v>0.23903740555175051</v>
      </c>
      <c r="T400">
        <v>1.3885938373695712</v>
      </c>
      <c r="U400">
        <v>0.14061410010805989</v>
      </c>
      <c r="V400">
        <v>0.18229554081806426</v>
      </c>
      <c r="W400">
        <v>9.4698156557567595E-2</v>
      </c>
      <c r="X400">
        <v>1.6082260990443423E-2</v>
      </c>
      <c r="Y400">
        <v>4.0856601335616197E-3</v>
      </c>
    </row>
    <row r="401" spans="1:25" x14ac:dyDescent="0.25">
      <c r="A401" s="1096"/>
      <c r="B401" s="1455">
        <v>151</v>
      </c>
      <c r="C401" s="1100">
        <v>1.0059730263669833</v>
      </c>
      <c r="D401" s="1100">
        <v>0.98405438833038628</v>
      </c>
      <c r="E401" s="1100">
        <v>0.99440907311840376</v>
      </c>
      <c r="F401" s="1100">
        <v>0.99600543634963978</v>
      </c>
      <c r="G401" s="1100">
        <v>1.0137194592577081</v>
      </c>
      <c r="H401" s="1100">
        <v>0.96182300243605734</v>
      </c>
      <c r="I401" s="1100">
        <v>1.0231316076177388</v>
      </c>
      <c r="K401">
        <v>2.2035641539627107</v>
      </c>
      <c r="L401">
        <v>0</v>
      </c>
      <c r="M401">
        <v>1.501334877337621E-3</v>
      </c>
      <c r="N401">
        <v>0.13415298797454181</v>
      </c>
      <c r="O401">
        <v>1.9701004673145815E-2</v>
      </c>
      <c r="P401">
        <v>2.5961960804239806E-2</v>
      </c>
      <c r="Q401">
        <v>5.4633426730340265E-3</v>
      </c>
      <c r="R401">
        <v>1.4793958993981539E-3</v>
      </c>
      <c r="S401">
        <v>0.24444914505857737</v>
      </c>
      <c r="T401">
        <v>1.3384869819981964</v>
      </c>
      <c r="U401">
        <v>0.14191201475751292</v>
      </c>
      <c r="V401">
        <v>0.18592004937115617</v>
      </c>
      <c r="W401">
        <v>8.8423379011332542E-2</v>
      </c>
      <c r="X401">
        <v>1.508879866347889E-2</v>
      </c>
      <c r="Y401">
        <v>4.0264279554346064E-3</v>
      </c>
    </row>
    <row r="402" spans="1:25" x14ac:dyDescent="0.25">
      <c r="A402" s="1096"/>
      <c r="B402" s="1455">
        <v>152</v>
      </c>
      <c r="C402" s="1100">
        <v>1.0071718331670789</v>
      </c>
      <c r="D402" s="1100">
        <v>1.0128722652789035</v>
      </c>
      <c r="E402" s="1100">
        <v>0.97755016115434545</v>
      </c>
      <c r="F402" s="1100">
        <v>1.0332790820184441</v>
      </c>
      <c r="G402" s="1100">
        <v>1.0253211447724613</v>
      </c>
      <c r="H402" s="1100">
        <v>0.97649132141261186</v>
      </c>
      <c r="I402" s="1100">
        <v>0.97106006169492443</v>
      </c>
      <c r="K402">
        <v>2.2382544971063156</v>
      </c>
      <c r="L402">
        <v>0</v>
      </c>
      <c r="M402">
        <v>1.5664981162191141E-3</v>
      </c>
      <c r="N402">
        <v>0.13304729545256977</v>
      </c>
      <c r="O402">
        <v>1.9542592430295522E-2</v>
      </c>
      <c r="P402">
        <v>2.6116966107467346E-2</v>
      </c>
      <c r="Q402">
        <v>5.3276429127294463E-3</v>
      </c>
      <c r="R402">
        <v>1.5439507683153008E-3</v>
      </c>
      <c r="S402">
        <v>0.22940300350753043</v>
      </c>
      <c r="T402">
        <v>1.3885549625649236</v>
      </c>
      <c r="U402">
        <v>0.14170464928806323</v>
      </c>
      <c r="V402">
        <v>0.18714711020593641</v>
      </c>
      <c r="W402">
        <v>8.8587610853479493E-2</v>
      </c>
      <c r="X402">
        <v>1.4643086103101131E-2</v>
      </c>
      <c r="Y402">
        <v>4.2021250281202615E-3</v>
      </c>
    </row>
    <row r="403" spans="1:25" x14ac:dyDescent="0.25">
      <c r="A403" s="1096"/>
      <c r="B403" s="1455">
        <v>153</v>
      </c>
      <c r="C403" s="1100">
        <v>0.98437705635461925</v>
      </c>
      <c r="D403" s="1100">
        <v>0.96607494194761634</v>
      </c>
      <c r="E403" s="1100">
        <v>1.0062475498778398</v>
      </c>
      <c r="F403" s="1100">
        <v>1.0101985132537632</v>
      </c>
      <c r="G403" s="1100">
        <v>1.0034647026446544</v>
      </c>
      <c r="H403" s="1100">
        <v>1.015438379674132</v>
      </c>
      <c r="I403" s="1100">
        <v>1.0071727371677324</v>
      </c>
      <c r="K403">
        <v>2.2574059601378744</v>
      </c>
      <c r="L403">
        <v>0</v>
      </c>
      <c r="M403">
        <v>1.5869283738605771E-3</v>
      </c>
      <c r="N403">
        <v>0.14707975038898516</v>
      </c>
      <c r="O403">
        <v>2.0222630884136217E-2</v>
      </c>
      <c r="P403">
        <v>2.661251033042181E-2</v>
      </c>
      <c r="Q403">
        <v>5.675116881205017E-3</v>
      </c>
      <c r="R403">
        <v>1.5649630440739077E-3</v>
      </c>
      <c r="S403">
        <v>0.2527418485980118</v>
      </c>
      <c r="T403">
        <v>1.3575795448073205</v>
      </c>
      <c r="U403">
        <v>0.14505307219868024</v>
      </c>
      <c r="V403">
        <v>0.18606510844872212</v>
      </c>
      <c r="W403">
        <v>9.6264167931585529E-2</v>
      </c>
      <c r="X403">
        <v>1.5874861482550448E-2</v>
      </c>
      <c r="Y403">
        <v>4.2593135160403474E-3</v>
      </c>
    </row>
    <row r="404" spans="1:25" x14ac:dyDescent="0.25">
      <c r="A404" s="1096"/>
      <c r="B404" s="1455">
        <v>154</v>
      </c>
      <c r="C404" s="1100">
        <v>1.0119806342018152</v>
      </c>
      <c r="D404" s="1100">
        <v>0.97683271950893291</v>
      </c>
      <c r="E404" s="1100">
        <v>0.99200481468536916</v>
      </c>
      <c r="F404" s="1100">
        <v>1.0189431158006621</v>
      </c>
      <c r="G404" s="1100">
        <v>0.97353400114452682</v>
      </c>
      <c r="H404" s="1100">
        <v>0.98089142989741063</v>
      </c>
      <c r="I404" s="1100">
        <v>0.99420492958226359</v>
      </c>
      <c r="K404">
        <v>2.2259688061598628</v>
      </c>
      <c r="L404">
        <v>0</v>
      </c>
      <c r="M404">
        <v>1.5320920331276648E-3</v>
      </c>
      <c r="N404">
        <v>0.13594918825278782</v>
      </c>
      <c r="O404">
        <v>1.9614320780456933E-2</v>
      </c>
      <c r="P404">
        <v>2.6174545210899902E-2</v>
      </c>
      <c r="Q404">
        <v>5.4261253166506982E-3</v>
      </c>
      <c r="R404">
        <v>1.5101388302420592E-3</v>
      </c>
      <c r="S404">
        <v>0.23849799746898148</v>
      </c>
      <c r="T404">
        <v>1.3693083614652499</v>
      </c>
      <c r="U404">
        <v>0.14106409225362407</v>
      </c>
      <c r="V404">
        <v>0.18102544800007725</v>
      </c>
      <c r="W404">
        <v>8.9736123487734881E-2</v>
      </c>
      <c r="X404">
        <v>1.5084457047496969E-2</v>
      </c>
      <c r="Y404">
        <v>4.1101000787872868E-3</v>
      </c>
    </row>
    <row r="405" spans="1:25" x14ac:dyDescent="0.25">
      <c r="A405" s="1096"/>
      <c r="B405" s="1455">
        <v>155</v>
      </c>
      <c r="C405" s="1100">
        <v>1.0231747660618629</v>
      </c>
      <c r="D405" s="1100">
        <v>0.99242652095610928</v>
      </c>
      <c r="E405" s="1100">
        <v>1.0074027071586367</v>
      </c>
      <c r="F405" s="1100">
        <v>0.99229915454975826</v>
      </c>
      <c r="G405" s="1100">
        <v>1.0323169001988908</v>
      </c>
      <c r="H405" s="1100">
        <v>1.0080431023786935</v>
      </c>
      <c r="I405" s="1100">
        <v>1.0137203896843459</v>
      </c>
      <c r="K405">
        <v>2.2025131691838826</v>
      </c>
      <c r="L405">
        <v>0</v>
      </c>
      <c r="M405">
        <v>1.503078017883877E-3</v>
      </c>
      <c r="N405">
        <v>0.13978072220632989</v>
      </c>
      <c r="O405">
        <v>1.9341668531745501E-2</v>
      </c>
      <c r="P405">
        <v>2.6080633055327512E-2</v>
      </c>
      <c r="Q405">
        <v>5.4341731084942653E-3</v>
      </c>
      <c r="R405">
        <v>1.4821206663588834E-3</v>
      </c>
      <c r="S405">
        <v>0.24088860029494233</v>
      </c>
      <c r="T405">
        <v>1.3335270558779055</v>
      </c>
      <c r="U405">
        <v>0.13955541449976352</v>
      </c>
      <c r="V405">
        <v>0.18704195758647071</v>
      </c>
      <c r="W405">
        <v>9.1424477759589659E-2</v>
      </c>
      <c r="X405">
        <v>1.5425579741955664E-2</v>
      </c>
      <c r="Y405">
        <v>4.0338438728825254E-3</v>
      </c>
    </row>
    <row r="406" spans="1:25" x14ac:dyDescent="0.25">
      <c r="A406" s="1096"/>
      <c r="B406" s="1455">
        <v>156</v>
      </c>
      <c r="C406" s="1100">
        <v>1.0091520968329837</v>
      </c>
      <c r="D406" s="1100">
        <v>0.96040072086457118</v>
      </c>
      <c r="E406" s="1100">
        <v>1.0006341402551764</v>
      </c>
      <c r="F406" s="1100">
        <v>0.99297057212056716</v>
      </c>
      <c r="G406" s="1100">
        <v>1.0043099661337542</v>
      </c>
      <c r="H406" s="1100">
        <v>0.96928735638663455</v>
      </c>
      <c r="I406" s="1100">
        <v>1.010953190889988</v>
      </c>
      <c r="K406">
        <v>2.2013621079474213</v>
      </c>
      <c r="L406">
        <v>0</v>
      </c>
      <c r="M406">
        <v>1.4968682546717708E-3</v>
      </c>
      <c r="N406">
        <v>0.13630925020481097</v>
      </c>
      <c r="O406">
        <v>1.9748231686133794E-2</v>
      </c>
      <c r="P406">
        <v>2.6004082519665541E-2</v>
      </c>
      <c r="Q406">
        <v>5.5108619108683926E-3</v>
      </c>
      <c r="R406">
        <v>1.475162993935711E-3</v>
      </c>
      <c r="S406">
        <v>0.24441312338867402</v>
      </c>
      <c r="T406">
        <v>1.3344180722526695</v>
      </c>
      <c r="U406">
        <v>0.14147915452627285</v>
      </c>
      <c r="V406">
        <v>0.18467604995598122</v>
      </c>
      <c r="W406">
        <v>8.9512176309430896E-2</v>
      </c>
      <c r="X406">
        <v>1.5297903071508186E-2</v>
      </c>
      <c r="Y406">
        <v>4.014907382142747E-3</v>
      </c>
    </row>
    <row r="407" spans="1:25" x14ac:dyDescent="0.25">
      <c r="A407" s="1096"/>
      <c r="B407" s="1455">
        <v>157</v>
      </c>
      <c r="C407" s="1100">
        <v>1.0053358771630831</v>
      </c>
      <c r="D407" s="1100">
        <v>1.0069996884515084</v>
      </c>
      <c r="E407" s="1100">
        <v>0.97106500513971572</v>
      </c>
      <c r="F407" s="1100">
        <v>1.0040000033320531</v>
      </c>
      <c r="G407" s="1100">
        <v>0.9982719863740378</v>
      </c>
      <c r="H407" s="1100">
        <v>1.0117590747205252</v>
      </c>
      <c r="I407" s="1100">
        <v>1.0395846756426672</v>
      </c>
      <c r="K407">
        <v>2.2237180129905791</v>
      </c>
      <c r="L407">
        <v>0</v>
      </c>
      <c r="M407">
        <v>1.6500803726574734E-3</v>
      </c>
      <c r="N407">
        <v>0.13749188041272542</v>
      </c>
      <c r="O407">
        <v>1.9599336389423311E-2</v>
      </c>
      <c r="P407">
        <v>2.5696522224997381E-2</v>
      </c>
      <c r="Q407">
        <v>5.3078978728046539E-3</v>
      </c>
      <c r="R407">
        <v>1.6271578734173299E-3</v>
      </c>
      <c r="S407">
        <v>0.24962044345425399</v>
      </c>
      <c r="T407">
        <v>1.3492020610945885</v>
      </c>
      <c r="U407">
        <v>0.14194864209598773</v>
      </c>
      <c r="V407">
        <v>0.18419153948026884</v>
      </c>
      <c r="W407">
        <v>9.1907792768308905E-2</v>
      </c>
      <c r="X407">
        <v>1.4346232357467825E-2</v>
      </c>
      <c r="Y407">
        <v>4.4285873389931585E-3</v>
      </c>
    </row>
    <row r="408" spans="1:25" x14ac:dyDescent="0.25">
      <c r="A408" s="1096"/>
      <c r="B408" s="1455">
        <v>158</v>
      </c>
      <c r="C408" s="1100">
        <v>0.97213191439323288</v>
      </c>
      <c r="D408" s="1100">
        <v>0.98857988655434603</v>
      </c>
      <c r="E408" s="1100">
        <v>0.99338734724349198</v>
      </c>
      <c r="F408" s="1100">
        <v>1.0134700668950574</v>
      </c>
      <c r="G408" s="1100">
        <v>0.95929067727219886</v>
      </c>
      <c r="H408" s="1100">
        <v>1.0408941473068718</v>
      </c>
      <c r="I408" s="1100">
        <v>1.0125807058608229</v>
      </c>
      <c r="K408">
        <v>2.2685430744407062</v>
      </c>
      <c r="L408">
        <v>0</v>
      </c>
      <c r="M408">
        <v>1.683182805663454E-3</v>
      </c>
      <c r="N408">
        <v>0.15010730535134836</v>
      </c>
      <c r="O408">
        <v>2.0365594851309777E-2</v>
      </c>
      <c r="P408">
        <v>2.6434083988374123E-2</v>
      </c>
      <c r="Q408">
        <v>5.6418252326683729E-3</v>
      </c>
      <c r="R408">
        <v>1.6604549377736433E-3</v>
      </c>
      <c r="S408">
        <v>0.25637907357132922</v>
      </c>
      <c r="T408">
        <v>1.3619554037064525</v>
      </c>
      <c r="U408">
        <v>0.14684972973274543</v>
      </c>
      <c r="V408">
        <v>0.18181931388749811</v>
      </c>
      <c r="W408">
        <v>9.8999633943812629E-2</v>
      </c>
      <c r="X408">
        <v>1.5494627071258808E-2</v>
      </c>
      <c r="Y408">
        <v>4.5192109717967291E-3</v>
      </c>
    </row>
    <row r="409" spans="1:25" x14ac:dyDescent="0.25">
      <c r="A409" s="1096"/>
      <c r="B409" s="1455">
        <v>159</v>
      </c>
      <c r="C409" s="1100">
        <v>1.0109590009837159</v>
      </c>
      <c r="D409" s="1100">
        <v>0.9640143841085167</v>
      </c>
      <c r="E409" s="1100">
        <v>1.0080212660575829</v>
      </c>
      <c r="F409" s="1100">
        <v>1.0075888320677331</v>
      </c>
      <c r="G409" s="1100">
        <v>0.99321911442605315</v>
      </c>
      <c r="H409" s="1100">
        <v>0.98042018205364534</v>
      </c>
      <c r="I409" s="1100">
        <v>0.98301558273900491</v>
      </c>
      <c r="K409">
        <v>2.2165287796185575</v>
      </c>
      <c r="L409">
        <v>0</v>
      </c>
      <c r="M409">
        <v>1.4871278581164043E-3</v>
      </c>
      <c r="N409">
        <v>0.13850076175832407</v>
      </c>
      <c r="O409">
        <v>1.9701259167213814E-2</v>
      </c>
      <c r="P409">
        <v>2.630314300907759E-2</v>
      </c>
      <c r="Q409">
        <v>5.538630538790076E-3</v>
      </c>
      <c r="R409">
        <v>1.4658087003493051E-3</v>
      </c>
      <c r="S409">
        <v>0.23771324447260203</v>
      </c>
      <c r="T409">
        <v>1.3540755834276501</v>
      </c>
      <c r="U409">
        <v>0.14124312090499183</v>
      </c>
      <c r="V409">
        <v>0.18332380144421062</v>
      </c>
      <c r="W409">
        <v>9.055421616664644E-2</v>
      </c>
      <c r="X409">
        <v>1.5606889808175879E-2</v>
      </c>
      <c r="Y409">
        <v>3.9894480786426025E-3</v>
      </c>
    </row>
    <row r="410" spans="1:25" x14ac:dyDescent="0.25">
      <c r="A410" s="1096"/>
      <c r="B410" s="1455">
        <v>160</v>
      </c>
      <c r="C410" s="1100">
        <v>1.0200616149211115</v>
      </c>
      <c r="D410" s="1100">
        <v>1.0352951519949254</v>
      </c>
      <c r="E410" s="1100">
        <v>0.99794738222888968</v>
      </c>
      <c r="F410" s="1100">
        <v>1.0043899566701233</v>
      </c>
      <c r="G410" s="1100">
        <v>1.0007241539441882</v>
      </c>
      <c r="H410" s="1100">
        <v>0.99374679256090559</v>
      </c>
      <c r="I410" s="1100">
        <v>1.0402848656927897</v>
      </c>
      <c r="K410">
        <v>2.2096412120453932</v>
      </c>
      <c r="L410">
        <v>0</v>
      </c>
      <c r="M410">
        <v>1.5016977944953855E-3</v>
      </c>
      <c r="N410">
        <v>0.13569257261079107</v>
      </c>
      <c r="O410">
        <v>1.9215290826815244E-2</v>
      </c>
      <c r="P410">
        <v>2.6087500253858757E-2</v>
      </c>
      <c r="Q410">
        <v>5.3476740552214613E-3</v>
      </c>
      <c r="R410">
        <v>1.4804584660995641E-3</v>
      </c>
      <c r="S410">
        <v>0.24157468587484474</v>
      </c>
      <c r="T410">
        <v>1.349759924991893</v>
      </c>
      <c r="U410">
        <v>0.13995997720174858</v>
      </c>
      <c r="V410">
        <v>0.18363969597553464</v>
      </c>
      <c r="W410">
        <v>8.9249699111889166E-2</v>
      </c>
      <c r="X410">
        <v>1.5106110559470544E-2</v>
      </c>
      <c r="Y410">
        <v>4.0293199117208255E-3</v>
      </c>
    </row>
    <row r="411" spans="1:25" x14ac:dyDescent="0.25">
      <c r="A411" s="1096"/>
      <c r="B411" s="1455">
        <v>161</v>
      </c>
      <c r="C411" s="1100">
        <v>0.99669124555158661</v>
      </c>
      <c r="D411" s="1100">
        <v>0.9932493299577575</v>
      </c>
      <c r="E411" s="1100">
        <v>1.0210567532897319</v>
      </c>
      <c r="F411" s="1100">
        <v>0.95635712639337078</v>
      </c>
      <c r="G411" s="1100">
        <v>1.0092558772835971</v>
      </c>
      <c r="H411" s="1100">
        <v>1.0176679356784732</v>
      </c>
      <c r="I411" s="1100">
        <v>0.98495323459534279</v>
      </c>
      <c r="K411">
        <v>2.168665457733324</v>
      </c>
      <c r="L411">
        <v>0</v>
      </c>
      <c r="M411">
        <v>1.513879215659375E-3</v>
      </c>
      <c r="N411">
        <v>0.14672759216789411</v>
      </c>
      <c r="O411">
        <v>1.9860573801496306E-2</v>
      </c>
      <c r="P411">
        <v>2.5714484004900017E-2</v>
      </c>
      <c r="Q411">
        <v>5.6564670995640776E-3</v>
      </c>
      <c r="R411">
        <v>1.4929708969134399E-3</v>
      </c>
      <c r="S411">
        <v>0.24104027350447271</v>
      </c>
      <c r="T411">
        <v>1.2852502250266231</v>
      </c>
      <c r="U411">
        <v>0.14329521191846731</v>
      </c>
      <c r="V411">
        <v>0.18598842431594431</v>
      </c>
      <c r="W411">
        <v>9.5201085352926679E-2</v>
      </c>
      <c r="X411">
        <v>1.5888654236103233E-2</v>
      </c>
      <c r="Y411">
        <v>4.063374623674486E-3</v>
      </c>
    </row>
    <row r="412" spans="1:25" x14ac:dyDescent="0.25">
      <c r="A412" s="1096"/>
      <c r="B412" s="1455">
        <v>162</v>
      </c>
      <c r="C412" s="1100">
        <v>1.0253047619519779</v>
      </c>
      <c r="D412" s="1100">
        <v>0.99072998766520759</v>
      </c>
      <c r="E412" s="1100">
        <v>0.97615901840134733</v>
      </c>
      <c r="F412" s="1100">
        <v>0.96933846739521179</v>
      </c>
      <c r="G412" s="1100">
        <v>0.99886654746709125</v>
      </c>
      <c r="H412" s="1100">
        <v>1.0115194834660195</v>
      </c>
      <c r="I412" s="1100">
        <v>0.97374144891135139</v>
      </c>
      <c r="K412">
        <v>2.1504109146909656</v>
      </c>
      <c r="L412">
        <v>0</v>
      </c>
      <c r="M412">
        <v>1.606374703364352E-3</v>
      </c>
      <c r="N412">
        <v>0.13592964438039998</v>
      </c>
      <c r="O412">
        <v>1.9289704910334597E-2</v>
      </c>
      <c r="P412">
        <v>2.4873527623487959E-2</v>
      </c>
      <c r="Q412">
        <v>5.2512581526303077E-3</v>
      </c>
      <c r="R412">
        <v>1.5840540665543596E-3</v>
      </c>
      <c r="S412">
        <v>0.23114193559811169</v>
      </c>
      <c r="T412">
        <v>1.3026279647025376</v>
      </c>
      <c r="U412">
        <v>0.13919543319970185</v>
      </c>
      <c r="V412">
        <v>0.18311415358958738</v>
      </c>
      <c r="W412">
        <v>9.058302910638677E-2</v>
      </c>
      <c r="X412">
        <v>1.4115311078716185E-2</v>
      </c>
      <c r="Y412">
        <v>4.3112729858782676E-3</v>
      </c>
    </row>
    <row r="413" spans="1:25" x14ac:dyDescent="0.25">
      <c r="A413" s="1096"/>
      <c r="B413" s="1455">
        <v>163</v>
      </c>
      <c r="C413" s="1100">
        <v>0.97151011028171452</v>
      </c>
      <c r="D413" s="1100">
        <v>0.98864059987947051</v>
      </c>
      <c r="E413" s="1100">
        <v>1.0119522235734124</v>
      </c>
      <c r="F413" s="1100">
        <v>1.0209873398725471</v>
      </c>
      <c r="G413" s="1100">
        <v>0.96127546984901679</v>
      </c>
      <c r="H413" s="1100">
        <v>0.98606893408182206</v>
      </c>
      <c r="I413" s="1100">
        <v>1.0256108287440613</v>
      </c>
      <c r="K413">
        <v>2.2689516007135544</v>
      </c>
      <c r="L413">
        <v>0</v>
      </c>
      <c r="M413">
        <v>1.5352276481455378E-3</v>
      </c>
      <c r="N413">
        <v>0.14469943538583194</v>
      </c>
      <c r="O413">
        <v>2.0390326312027453E-2</v>
      </c>
      <c r="P413">
        <v>2.6932528776589647E-2</v>
      </c>
      <c r="Q413">
        <v>5.7549184954377736E-3</v>
      </c>
      <c r="R413">
        <v>1.5133450198526457E-3</v>
      </c>
      <c r="S413">
        <v>0.25533763652018759</v>
      </c>
      <c r="T413">
        <v>1.3720887881061574</v>
      </c>
      <c r="U413">
        <v>0.14698773299784534</v>
      </c>
      <c r="V413">
        <v>0.18209984955105862</v>
      </c>
      <c r="W413">
        <v>9.4387970497784524E-2</v>
      </c>
      <c r="X413">
        <v>1.6175470428939243E-2</v>
      </c>
      <c r="Y413">
        <v>4.118826269987181E-3</v>
      </c>
    </row>
    <row r="414" spans="1:25" x14ac:dyDescent="0.25">
      <c r="A414" s="1096"/>
      <c r="B414" s="1455">
        <v>164</v>
      </c>
      <c r="C414" s="1100">
        <v>1.015719566632169</v>
      </c>
      <c r="D414" s="1100">
        <v>1.0381811895149802</v>
      </c>
      <c r="E414" s="1100">
        <v>1.0145824846047746</v>
      </c>
      <c r="F414" s="1100">
        <v>0.97384038019623353</v>
      </c>
      <c r="G414" s="1100">
        <v>0.9914719754714042</v>
      </c>
      <c r="H414" s="1100">
        <v>1.0119085528406087</v>
      </c>
      <c r="I414" s="1100">
        <v>0.96674504342565215</v>
      </c>
      <c r="K414">
        <v>2.1613272508087902</v>
      </c>
      <c r="L414">
        <v>0</v>
      </c>
      <c r="M414">
        <v>1.4826352035819325E-3</v>
      </c>
      <c r="N414">
        <v>0.14090827162385436</v>
      </c>
      <c r="O414">
        <v>1.9295775131307608E-2</v>
      </c>
      <c r="P414">
        <v>2.5637375338858872E-2</v>
      </c>
      <c r="Q414">
        <v>5.4603071043613513E-3</v>
      </c>
      <c r="R414">
        <v>1.4620418527632E-3</v>
      </c>
      <c r="S414">
        <v>0.22663984002628881</v>
      </c>
      <c r="T414">
        <v>1.3087335443771957</v>
      </c>
      <c r="U414">
        <v>0.14059602813201114</v>
      </c>
      <c r="V414">
        <v>0.18285706025629966</v>
      </c>
      <c r="W414">
        <v>9.1772896494735717E-2</v>
      </c>
      <c r="X414">
        <v>1.5467549713440422E-2</v>
      </c>
      <c r="Y414">
        <v>3.9791959612541956E-3</v>
      </c>
    </row>
    <row r="415" spans="1:25" x14ac:dyDescent="0.25">
      <c r="A415" s="1096"/>
      <c r="B415" s="1455">
        <v>165</v>
      </c>
      <c r="C415" s="1100">
        <v>1.0228121579680116</v>
      </c>
      <c r="D415" s="1100">
        <v>1.0111530199478356</v>
      </c>
      <c r="E415" s="1100">
        <v>0.98302749404079603</v>
      </c>
      <c r="F415" s="1100">
        <v>1.0197579933731271</v>
      </c>
      <c r="G415" s="1100">
        <v>1.0271313182570543</v>
      </c>
      <c r="H415" s="1100">
        <v>1.0018496172979434</v>
      </c>
      <c r="I415" s="1100">
        <v>1.0108253921877501</v>
      </c>
      <c r="K415">
        <v>2.2282063649441395</v>
      </c>
      <c r="L415">
        <v>0</v>
      </c>
      <c r="M415">
        <v>1.5653627976313304E-3</v>
      </c>
      <c r="N415">
        <v>0.1352224804914777</v>
      </c>
      <c r="O415">
        <v>1.9254277116351751E-2</v>
      </c>
      <c r="P415">
        <v>2.6050352377206893E-2</v>
      </c>
      <c r="Q415">
        <v>5.2783422546116626E-3</v>
      </c>
      <c r="R415">
        <v>1.5434020840158075E-3</v>
      </c>
      <c r="S415">
        <v>0.23738812256386799</v>
      </c>
      <c r="T415">
        <v>1.3703913552057032</v>
      </c>
      <c r="U415">
        <v>0.13955006390563873</v>
      </c>
      <c r="V415">
        <v>0.18645584004101523</v>
      </c>
      <c r="W415">
        <v>8.9738706217984923E-2</v>
      </c>
      <c r="X415">
        <v>1.4698153793567533E-2</v>
      </c>
      <c r="Y415">
        <v>4.2006316903307715E-3</v>
      </c>
    </row>
    <row r="416" spans="1:25" x14ac:dyDescent="0.25">
      <c r="A416" s="1096"/>
      <c r="B416" s="1455">
        <v>166</v>
      </c>
      <c r="C416" s="1100">
        <v>0.99845922243528118</v>
      </c>
      <c r="D416" s="1100">
        <v>1.0014098209423403</v>
      </c>
      <c r="E416" s="1100">
        <v>1.0205503405926672</v>
      </c>
      <c r="F416" s="1100">
        <v>1.0072949745224919</v>
      </c>
      <c r="G416" s="1100">
        <v>1.0118732473429561</v>
      </c>
      <c r="H416" s="1100">
        <v>1.0162067802781554</v>
      </c>
      <c r="I416" s="1100">
        <v>1.0225202584376683</v>
      </c>
      <c r="K416">
        <v>2.2446193241467047</v>
      </c>
      <c r="L416">
        <v>0</v>
      </c>
      <c r="M416">
        <v>1.5079030177953092E-3</v>
      </c>
      <c r="N416">
        <v>0.14592233835511068</v>
      </c>
      <c r="O416">
        <v>1.9789432733529282E-2</v>
      </c>
      <c r="P416">
        <v>2.6757740365109486E-2</v>
      </c>
      <c r="Q416">
        <v>5.6333699307634976E-3</v>
      </c>
      <c r="R416">
        <v>1.4870472924427122E-3</v>
      </c>
      <c r="S416">
        <v>0.2486521414292974</v>
      </c>
      <c r="T416">
        <v>1.3537046587760744</v>
      </c>
      <c r="U416">
        <v>0.14304030692167266</v>
      </c>
      <c r="V416">
        <v>0.18617837511106025</v>
      </c>
      <c r="W416">
        <v>9.470665115349694E-2</v>
      </c>
      <c r="X416">
        <v>1.6207912570920129E-2</v>
      </c>
      <c r="Y416">
        <v>4.0472525250208552E-3</v>
      </c>
    </row>
    <row r="417" spans="1:25" x14ac:dyDescent="0.25">
      <c r="A417" s="1096"/>
      <c r="B417" s="1455">
        <v>167</v>
      </c>
      <c r="C417" s="1100">
        <v>0.96767489593230005</v>
      </c>
      <c r="D417" s="1100">
        <v>1.0079059175105054</v>
      </c>
      <c r="E417" s="1100">
        <v>0.98381268234979924</v>
      </c>
      <c r="F417" s="1100">
        <v>0.96837009936751528</v>
      </c>
      <c r="G417" s="1100">
        <v>1.0057081420615552</v>
      </c>
      <c r="H417" s="1100">
        <v>0.98203472731334307</v>
      </c>
      <c r="I417" s="1100">
        <v>0.97867783610116288</v>
      </c>
      <c r="K417">
        <v>2.181581414802761</v>
      </c>
      <c r="L417">
        <v>0</v>
      </c>
      <c r="M417">
        <v>1.6203451553435241E-3</v>
      </c>
      <c r="N417">
        <v>0.14026464633832111</v>
      </c>
      <c r="O417">
        <v>2.0366279624177187E-2</v>
      </c>
      <c r="P417">
        <v>2.5312731623581108E-2</v>
      </c>
      <c r="Q417">
        <v>5.5876342043398525E-3</v>
      </c>
      <c r="R417">
        <v>1.5971544121858743E-3</v>
      </c>
      <c r="S417">
        <v>0.24172699196540021</v>
      </c>
      <c r="T417">
        <v>1.3013351941742153</v>
      </c>
      <c r="U417">
        <v>0.14750336664107111</v>
      </c>
      <c r="V417">
        <v>0.18733876998209772</v>
      </c>
      <c r="W417">
        <v>9.3040873355394613E-2</v>
      </c>
      <c r="X417">
        <v>1.4781189829159309E-2</v>
      </c>
      <c r="Y417">
        <v>4.3469278081594729E-3</v>
      </c>
    </row>
    <row r="418" spans="1:25" x14ac:dyDescent="0.25">
      <c r="A418" s="1096"/>
      <c r="B418" s="1455">
        <v>168</v>
      </c>
      <c r="C418" s="1100">
        <v>0.9759946027995634</v>
      </c>
      <c r="D418" s="1100">
        <v>1.002348692524867</v>
      </c>
      <c r="E418" s="1100">
        <v>0.97896517656072168</v>
      </c>
      <c r="F418" s="1100">
        <v>0.98074106557465446</v>
      </c>
      <c r="G418" s="1100">
        <v>1.0374498668254677</v>
      </c>
      <c r="H418" s="1100">
        <v>1.0108910750491449</v>
      </c>
      <c r="I418" s="1100">
        <v>0.99622265644709973</v>
      </c>
      <c r="K418">
        <v>2.2096479874115564</v>
      </c>
      <c r="L418">
        <v>0</v>
      </c>
      <c r="M418">
        <v>1.6724360682131732E-3</v>
      </c>
      <c r="N418">
        <v>0.14272533647949401</v>
      </c>
      <c r="O418">
        <v>2.021415529012642E-2</v>
      </c>
      <c r="P418">
        <v>2.5537380668832654E-2</v>
      </c>
      <c r="Q418">
        <v>5.5186613913720053E-3</v>
      </c>
      <c r="R418">
        <v>1.649183060282799E-3</v>
      </c>
      <c r="S418">
        <v>0.24695803940503125</v>
      </c>
      <c r="T418">
        <v>1.3179541689235219</v>
      </c>
      <c r="U418">
        <v>0.14623459739163011</v>
      </c>
      <c r="V418">
        <v>0.19040025752143289</v>
      </c>
      <c r="W418">
        <v>9.4950319722990201E-2</v>
      </c>
      <c r="X418">
        <v>1.4689790988016312E-2</v>
      </c>
      <c r="Y418">
        <v>4.4885326370400665E-3</v>
      </c>
    </row>
    <row r="419" spans="1:25" x14ac:dyDescent="0.25">
      <c r="A419" s="1096"/>
      <c r="B419" s="1455">
        <v>169</v>
      </c>
      <c r="C419" s="1100">
        <v>0.95408920161742239</v>
      </c>
      <c r="D419" s="1100">
        <v>0.97893872504040225</v>
      </c>
      <c r="E419" s="1100">
        <v>0.98427309434847077</v>
      </c>
      <c r="F419" s="1100">
        <v>1.0131281185629839</v>
      </c>
      <c r="G419" s="1100">
        <v>0.95607711724779665</v>
      </c>
      <c r="H419" s="1100">
        <v>0.96189204997180056</v>
      </c>
      <c r="I419" s="1100">
        <v>0.98346794348518485</v>
      </c>
      <c r="K419">
        <v>2.2474999661242787</v>
      </c>
      <c r="L419">
        <v>0</v>
      </c>
      <c r="M419">
        <v>1.6185271031526941E-3</v>
      </c>
      <c r="N419">
        <v>0.14025986128813289</v>
      </c>
      <c r="O419">
        <v>2.0789531086479487E-2</v>
      </c>
      <c r="P419">
        <v>2.6186035374195442E-2</v>
      </c>
      <c r="Q419">
        <v>5.706420031824486E-3</v>
      </c>
      <c r="R419">
        <v>1.5948772952286559E-3</v>
      </c>
      <c r="S419">
        <v>0.24832929904777323</v>
      </c>
      <c r="T419">
        <v>1.3614834239654903</v>
      </c>
      <c r="U419">
        <v>0.14960483991629767</v>
      </c>
      <c r="V419">
        <v>0.18260159143644977</v>
      </c>
      <c r="W419">
        <v>9.3011920430301209E-2</v>
      </c>
      <c r="X419">
        <v>1.520996310880725E-2</v>
      </c>
      <c r="Y419">
        <v>4.3407302464533275E-3</v>
      </c>
    </row>
    <row r="420" spans="1:25" x14ac:dyDescent="0.25">
      <c r="A420" s="1096"/>
      <c r="B420" s="1455">
        <v>170</v>
      </c>
      <c r="C420" s="1100">
        <v>1.0018483874605373</v>
      </c>
      <c r="D420" s="1100">
        <v>0.99027785657374867</v>
      </c>
      <c r="E420" s="1100">
        <v>0.97671958704689821</v>
      </c>
      <c r="F420" s="1100">
        <v>1.0015085217503901</v>
      </c>
      <c r="G420" s="1100">
        <v>1.0213308134700565</v>
      </c>
      <c r="H420" s="1100">
        <v>1.0023364643917478</v>
      </c>
      <c r="I420" s="1100">
        <v>1.0213855381818124</v>
      </c>
      <c r="K420">
        <v>2.2223729298926602</v>
      </c>
      <c r="L420">
        <v>0</v>
      </c>
      <c r="M420">
        <v>1.6273373733842903E-3</v>
      </c>
      <c r="N420">
        <v>0.13791949226713862</v>
      </c>
      <c r="O420">
        <v>1.9743668180978318E-2</v>
      </c>
      <c r="P420">
        <v>2.5778168196823451E-2</v>
      </c>
      <c r="Q420">
        <v>5.3779104125919672E-3</v>
      </c>
      <c r="R420">
        <v>1.6045182978764937E-3</v>
      </c>
      <c r="S420">
        <v>0.24743759364695886</v>
      </c>
      <c r="T420">
        <v>1.3458597142626396</v>
      </c>
      <c r="U420">
        <v>0.1424557128460798</v>
      </c>
      <c r="V420">
        <v>0.18700820912629496</v>
      </c>
      <c r="W420">
        <v>9.1877864175657631E-2</v>
      </c>
      <c r="X420">
        <v>1.4570445975497117E-2</v>
      </c>
      <c r="Y420">
        <v>4.366969877505073E-3</v>
      </c>
    </row>
    <row r="421" spans="1:25" x14ac:dyDescent="0.25">
      <c r="A421" s="1096"/>
      <c r="B421" s="1455">
        <v>171</v>
      </c>
      <c r="C421" s="1100">
        <v>1.0031541127723189</v>
      </c>
      <c r="D421" s="1100">
        <v>1.0089446976630001</v>
      </c>
      <c r="E421" s="1100">
        <v>1.0392691857910497</v>
      </c>
      <c r="F421" s="1100">
        <v>1.0099235427582283</v>
      </c>
      <c r="G421" s="1100">
        <v>1.0202480727949053</v>
      </c>
      <c r="H421" s="1100">
        <v>1.0050093421762261</v>
      </c>
      <c r="I421" s="1100">
        <v>0.98177010045281798</v>
      </c>
      <c r="K421">
        <v>2.2351065338154359</v>
      </c>
      <c r="L421">
        <v>0</v>
      </c>
      <c r="M421">
        <v>1.4251746407531146E-3</v>
      </c>
      <c r="N421">
        <v>0.14590013617872619</v>
      </c>
      <c r="O421">
        <v>1.9676045524411274E-2</v>
      </c>
      <c r="P421">
        <v>2.6997271507032381E-2</v>
      </c>
      <c r="Q421">
        <v>5.7057242609793585E-3</v>
      </c>
      <c r="R421">
        <v>1.405243508813255E-3</v>
      </c>
      <c r="S421">
        <v>0.23600565476996252</v>
      </c>
      <c r="T421">
        <v>1.3572794173941096</v>
      </c>
      <c r="U421">
        <v>0.14241401457250197</v>
      </c>
      <c r="V421">
        <v>0.18686407357955101</v>
      </c>
      <c r="W421">
        <v>9.3668817464291995E-2</v>
      </c>
      <c r="X421">
        <v>1.6790700103219855E-2</v>
      </c>
      <c r="Y421">
        <v>3.8246095925914977E-3</v>
      </c>
    </row>
    <row r="422" spans="1:25" x14ac:dyDescent="0.25">
      <c r="A422" s="1096"/>
      <c r="B422" s="1455">
        <v>172</v>
      </c>
      <c r="C422" s="1100">
        <v>1.0131951843115179</v>
      </c>
      <c r="D422" s="1100">
        <v>1.0240690858566623</v>
      </c>
      <c r="E422" s="1100">
        <v>1.0416471307257007</v>
      </c>
      <c r="F422" s="1100">
        <v>1.0182878047372255</v>
      </c>
      <c r="G422" s="1100">
        <v>0.9734841526912722</v>
      </c>
      <c r="H422" s="1100">
        <v>0.97670250489291754</v>
      </c>
      <c r="I422" s="1100">
        <v>1.0026192181738072</v>
      </c>
      <c r="K422">
        <v>2.2277413462644264</v>
      </c>
      <c r="L422">
        <v>0</v>
      </c>
      <c r="M422">
        <v>1.3600595135132552E-3</v>
      </c>
      <c r="N422">
        <v>0.14017734014207051</v>
      </c>
      <c r="O422">
        <v>1.9418852281966419E-2</v>
      </c>
      <c r="P422">
        <v>2.7080349502267214E-2</v>
      </c>
      <c r="Q422">
        <v>5.6443214114339458E-3</v>
      </c>
      <c r="R422">
        <v>1.3404877667417385E-3</v>
      </c>
      <c r="S422">
        <v>0.23465592294163576</v>
      </c>
      <c r="T422">
        <v>1.3685264544000673</v>
      </c>
      <c r="U422">
        <v>0.14100808449266991</v>
      </c>
      <c r="V422">
        <v>0.18099430914985026</v>
      </c>
      <c r="W422">
        <v>8.9871621050284844E-2</v>
      </c>
      <c r="X422">
        <v>1.6735296829551927E-2</v>
      </c>
      <c r="Y422">
        <v>3.6483658093974655E-3</v>
      </c>
    </row>
    <row r="423" spans="1:25" x14ac:dyDescent="0.25">
      <c r="A423" s="1096"/>
      <c r="B423" s="1455">
        <v>173</v>
      </c>
      <c r="C423" s="1100">
        <v>1.0018982987556471</v>
      </c>
      <c r="D423" s="1100">
        <v>0.97277343163321739</v>
      </c>
      <c r="E423" s="1100">
        <v>0.98784549801471422</v>
      </c>
      <c r="F423" s="1100">
        <v>0.99988834602819765</v>
      </c>
      <c r="G423" s="1100">
        <v>1.0189795335248457</v>
      </c>
      <c r="H423" s="1100">
        <v>1.0080223412722182</v>
      </c>
      <c r="I423" s="1100">
        <v>1.0051820121560935</v>
      </c>
      <c r="K423">
        <v>2.2235178914257969</v>
      </c>
      <c r="L423">
        <v>0</v>
      </c>
      <c r="M423">
        <v>1.6055416200934081E-3</v>
      </c>
      <c r="N423">
        <v>0.14074136416230426</v>
      </c>
      <c r="O423">
        <v>1.9827257713606636E-2</v>
      </c>
      <c r="P423">
        <v>2.594753613754289E-2</v>
      </c>
      <c r="Q423">
        <v>5.4620202552794683E-3</v>
      </c>
      <c r="R423">
        <v>1.5831551619534857E-3</v>
      </c>
      <c r="S423">
        <v>0.24623093049730715</v>
      </c>
      <c r="T423">
        <v>1.3436958703494188</v>
      </c>
      <c r="U423">
        <v>0.14247411036457835</v>
      </c>
      <c r="V423">
        <v>0.18674882822964536</v>
      </c>
      <c r="W423">
        <v>9.3131078238402804E-2</v>
      </c>
      <c r="X423">
        <v>1.4972455471970824E-2</v>
      </c>
      <c r="Y423">
        <v>4.3088264638785102E-3</v>
      </c>
    </row>
    <row r="424" spans="1:25" x14ac:dyDescent="0.25">
      <c r="A424" s="1096"/>
      <c r="B424" s="1455">
        <v>174</v>
      </c>
      <c r="C424" s="1100">
        <v>0.97844275708745831</v>
      </c>
      <c r="D424" s="1100">
        <v>1.0391861780594118</v>
      </c>
      <c r="E424" s="1100">
        <v>0.97884769545426609</v>
      </c>
      <c r="F424" s="1100">
        <v>0.99107591263517625</v>
      </c>
      <c r="G424" s="1100">
        <v>0.98425880091042794</v>
      </c>
      <c r="H424" s="1100">
        <v>1.0090780904198462</v>
      </c>
      <c r="I424" s="1100">
        <v>0.96916813607329799</v>
      </c>
      <c r="K424">
        <v>2.2019246149969844</v>
      </c>
      <c r="L424">
        <v>0</v>
      </c>
      <c r="M424">
        <v>1.6524906783224849E-3</v>
      </c>
      <c r="N424">
        <v>0.14096950702389555</v>
      </c>
      <c r="O424">
        <v>2.0004034022790704E-2</v>
      </c>
      <c r="P424">
        <v>2.5476786110611441E-2</v>
      </c>
      <c r="Q424">
        <v>5.4606437596323894E-3</v>
      </c>
      <c r="R424">
        <v>1.6294737047779853E-3</v>
      </c>
      <c r="S424">
        <v>0.23526289084023969</v>
      </c>
      <c r="T424">
        <v>1.3318423665123325</v>
      </c>
      <c r="U424">
        <v>0.14586842940214384</v>
      </c>
      <c r="V424">
        <v>0.18423528396109112</v>
      </c>
      <c r="W424">
        <v>9.378888472456802E-2</v>
      </c>
      <c r="X424">
        <v>1.4603915344676715E-2</v>
      </c>
      <c r="Y424">
        <v>4.43489026854326E-3</v>
      </c>
    </row>
    <row r="425" spans="1:25" x14ac:dyDescent="0.25">
      <c r="A425" s="1096"/>
      <c r="B425" s="1455">
        <v>175</v>
      </c>
      <c r="C425" s="1100">
        <v>1.0064620417717998</v>
      </c>
      <c r="D425" s="1100">
        <v>0.98627729114601703</v>
      </c>
      <c r="E425" s="1100">
        <v>0.99476831931628928</v>
      </c>
      <c r="F425" s="1100">
        <v>0.99430418248518393</v>
      </c>
      <c r="G425" s="1100">
        <v>1.0285271117541084</v>
      </c>
      <c r="H425" s="1100">
        <v>1.0131137098400722</v>
      </c>
      <c r="I425" s="1100">
        <v>1.015480916975394</v>
      </c>
      <c r="K425">
        <v>2.2169380270086285</v>
      </c>
      <c r="L425">
        <v>0</v>
      </c>
      <c r="M425">
        <v>1.5786672517733656E-3</v>
      </c>
      <c r="N425">
        <v>0.14132235527329881</v>
      </c>
      <c r="O425">
        <v>1.9681883441627798E-2</v>
      </c>
      <c r="P425">
        <v>2.598569963896415E-2</v>
      </c>
      <c r="Q425">
        <v>5.4600173184894416E-3</v>
      </c>
      <c r="R425">
        <v>1.5567661287650256E-3</v>
      </c>
      <c r="S425">
        <v>0.24638931665262598</v>
      </c>
      <c r="T425">
        <v>1.3362012699544783</v>
      </c>
      <c r="U425">
        <v>0.14184388425082828</v>
      </c>
      <c r="V425">
        <v>0.18756552898409062</v>
      </c>
      <c r="W425">
        <v>9.3128905197622638E-2</v>
      </c>
      <c r="X425">
        <v>1.5144063204928723E-2</v>
      </c>
      <c r="Y425">
        <v>4.2370042146819735E-3</v>
      </c>
    </row>
    <row r="426" spans="1:25" x14ac:dyDescent="0.25">
      <c r="A426" s="1096"/>
      <c r="B426" s="1455">
        <v>176</v>
      </c>
      <c r="C426" s="1100">
        <v>0.97271920942492596</v>
      </c>
      <c r="D426" s="1100">
        <v>0.98929080109367262</v>
      </c>
      <c r="E426" s="1100">
        <v>1.0187693546818979</v>
      </c>
      <c r="F426" s="1100">
        <v>0.96405965514080361</v>
      </c>
      <c r="G426" s="1100">
        <v>1.0105341853353786</v>
      </c>
      <c r="H426" s="1100">
        <v>0.97578031640184382</v>
      </c>
      <c r="I426" s="1100">
        <v>0.99854825570789618</v>
      </c>
      <c r="K426">
        <v>2.1869415265683934</v>
      </c>
      <c r="L426">
        <v>0</v>
      </c>
      <c r="M426">
        <v>1.4957492744607046E-3</v>
      </c>
      <c r="N426">
        <v>0.1438869123765546</v>
      </c>
      <c r="O426">
        <v>2.0366434205295641E-2</v>
      </c>
      <c r="P426">
        <v>2.5973841651129159E-2</v>
      </c>
      <c r="Q426">
        <v>5.7873645224440547E-3</v>
      </c>
      <c r="R426">
        <v>1.4742045608965345E-3</v>
      </c>
      <c r="S426">
        <v>0.24741398105017437</v>
      </c>
      <c r="T426">
        <v>1.2955972118601458</v>
      </c>
      <c r="U426">
        <v>0.14682119930667473</v>
      </c>
      <c r="V426">
        <v>0.18759812291243499</v>
      </c>
      <c r="W426">
        <v>9.3482999008519224E-2</v>
      </c>
      <c r="X426">
        <v>1.6022705545224752E-2</v>
      </c>
      <c r="Y426">
        <v>4.0122988433574742E-3</v>
      </c>
    </row>
    <row r="427" spans="1:25" x14ac:dyDescent="0.25">
      <c r="A427" s="1096"/>
      <c r="B427" s="1455">
        <v>177</v>
      </c>
      <c r="C427" s="1100">
        <v>1.0099544084162735</v>
      </c>
      <c r="D427" s="1100">
        <v>0.9805627962180038</v>
      </c>
      <c r="E427" s="1100">
        <v>1.0035580261848078</v>
      </c>
      <c r="F427" s="1100">
        <v>1.0271274314891172</v>
      </c>
      <c r="G427" s="1100">
        <v>0.99964607857030086</v>
      </c>
      <c r="H427" s="1100">
        <v>0.97733025693651099</v>
      </c>
      <c r="I427" s="1100">
        <v>1.020374159720048</v>
      </c>
      <c r="K427">
        <v>2.2487708235478157</v>
      </c>
      <c r="L427">
        <v>0</v>
      </c>
      <c r="M427">
        <v>1.4921322594023184E-3</v>
      </c>
      <c r="N427">
        <v>0.13710001005252825</v>
      </c>
      <c r="O427">
        <v>1.9644374064548092E-2</v>
      </c>
      <c r="P427">
        <v>2.6681944218495773E-2</v>
      </c>
      <c r="Q427">
        <v>5.4979961993166532E-3</v>
      </c>
      <c r="R427">
        <v>1.4706737301519361E-3</v>
      </c>
      <c r="S427">
        <v>0.2445966356756159</v>
      </c>
      <c r="T427">
        <v>1.3803251867575441</v>
      </c>
      <c r="U427">
        <v>0.14137343049781265</v>
      </c>
      <c r="V427">
        <v>0.18410471690422708</v>
      </c>
      <c r="W427">
        <v>8.9875393633123857E-2</v>
      </c>
      <c r="X427">
        <v>1.558990498784138E-2</v>
      </c>
      <c r="Y427">
        <v>4.0026890860087212E-3</v>
      </c>
    </row>
    <row r="428" spans="1:25" x14ac:dyDescent="0.25">
      <c r="A428" s="1096"/>
      <c r="B428" s="1455">
        <v>178</v>
      </c>
      <c r="C428" s="1100">
        <v>1.0171431701945237</v>
      </c>
      <c r="D428" s="1100">
        <v>1.042789405506523</v>
      </c>
      <c r="E428" s="1100">
        <v>1.035114681587997</v>
      </c>
      <c r="F428" s="1100">
        <v>0.96679881912571797</v>
      </c>
      <c r="G428" s="1100">
        <v>1.0155775693609308</v>
      </c>
      <c r="H428" s="1100">
        <v>1.0063665349093107</v>
      </c>
      <c r="I428" s="1100">
        <v>1.0309233253550678</v>
      </c>
      <c r="K428">
        <v>2.1709343969535153</v>
      </c>
      <c r="L428">
        <v>0</v>
      </c>
      <c r="M428">
        <v>1.4094543947779181E-3</v>
      </c>
      <c r="N428">
        <v>0.14249862815734674</v>
      </c>
      <c r="O428">
        <v>1.9262544030695865E-2</v>
      </c>
      <c r="P428">
        <v>2.6121971374639209E-2</v>
      </c>
      <c r="Q428">
        <v>5.5630087869823546E-3</v>
      </c>
      <c r="R428">
        <v>1.3897696939611699E-3</v>
      </c>
      <c r="S428">
        <v>0.24053187305848842</v>
      </c>
      <c r="T428">
        <v>1.299312668009817</v>
      </c>
      <c r="U428">
        <v>0.14044589838454594</v>
      </c>
      <c r="V428">
        <v>0.18551850353545254</v>
      </c>
      <c r="W428">
        <v>9.1704674659663754E-2</v>
      </c>
      <c r="X428">
        <v>1.6211816687195298E-2</v>
      </c>
      <c r="Y428">
        <v>3.782494969505818E-3</v>
      </c>
    </row>
    <row r="429" spans="1:25" x14ac:dyDescent="0.25">
      <c r="A429" s="1096"/>
      <c r="B429" s="1455">
        <v>179</v>
      </c>
      <c r="C429" s="1100">
        <v>1.0129360456644341</v>
      </c>
      <c r="D429" s="1100">
        <v>1.0084332344062308</v>
      </c>
      <c r="E429" s="1100">
        <v>0.98585929641467096</v>
      </c>
      <c r="F429" s="1100">
        <v>1.0157807427198839</v>
      </c>
      <c r="G429" s="1100">
        <v>1.013287043111335</v>
      </c>
      <c r="H429" s="1100">
        <v>1.0381668639183965</v>
      </c>
      <c r="I429" s="1100">
        <v>0.99815236882803737</v>
      </c>
      <c r="K429">
        <v>2.2375422402209071</v>
      </c>
      <c r="L429">
        <v>0</v>
      </c>
      <c r="M429">
        <v>1.6293185248497587E-3</v>
      </c>
      <c r="N429">
        <v>0.14202861531266708</v>
      </c>
      <c r="O429">
        <v>1.9455268630942334E-2</v>
      </c>
      <c r="P429">
        <v>2.6072968022703754E-2</v>
      </c>
      <c r="Q429">
        <v>5.348776840649782E-3</v>
      </c>
      <c r="R429">
        <v>1.6072601857277848E-3</v>
      </c>
      <c r="S429">
        <v>0.23989708478012153</v>
      </c>
      <c r="T429">
        <v>1.3650501695878445</v>
      </c>
      <c r="U429">
        <v>0.14091709552212994</v>
      </c>
      <c r="V429">
        <v>0.1854585916793462</v>
      </c>
      <c r="W429">
        <v>9.409504718007522E-2</v>
      </c>
      <c r="X429">
        <v>1.4866248611175401E-2</v>
      </c>
      <c r="Y429">
        <v>4.3744323923732018E-3</v>
      </c>
    </row>
    <row r="430" spans="1:25" x14ac:dyDescent="0.25">
      <c r="A430" s="1096"/>
      <c r="B430" s="1455">
        <v>180</v>
      </c>
      <c r="C430" s="1100">
        <v>0.97366098279497282</v>
      </c>
      <c r="D430" s="1100">
        <v>0.98237578283262217</v>
      </c>
      <c r="E430" s="1100">
        <v>1.0091275221703422</v>
      </c>
      <c r="F430" s="1100">
        <v>0.99524169579905453</v>
      </c>
      <c r="G430" s="1100">
        <v>0.99670385729608479</v>
      </c>
      <c r="H430" s="1100">
        <v>1.0092877084742211</v>
      </c>
      <c r="I430" s="1100">
        <v>1.0071903641309414</v>
      </c>
      <c r="K430">
        <v>2.2397999146003049</v>
      </c>
      <c r="L430">
        <v>0</v>
      </c>
      <c r="M430">
        <v>1.5793421173333827E-3</v>
      </c>
      <c r="N430">
        <v>0.14764246868995198</v>
      </c>
      <c r="O430">
        <v>2.0371934034414872E-2</v>
      </c>
      <c r="P430">
        <v>2.6416258791629989E-2</v>
      </c>
      <c r="Q430">
        <v>5.7335198259271672E-3</v>
      </c>
      <c r="R430">
        <v>1.5573485736708513E-3</v>
      </c>
      <c r="S430">
        <v>0.25290758448247125</v>
      </c>
      <c r="T430">
        <v>1.337484506573446</v>
      </c>
      <c r="U430">
        <v>0.14665633856707239</v>
      </c>
      <c r="V430">
        <v>0.18596689403004532</v>
      </c>
      <c r="W430">
        <v>9.6468203080639817E-2</v>
      </c>
      <c r="X430">
        <v>1.5935610630655898E-2</v>
      </c>
      <c r="Y430">
        <v>4.2385894377127194E-3</v>
      </c>
    </row>
    <row r="431" spans="1:25" x14ac:dyDescent="0.25">
      <c r="A431" s="1096"/>
      <c r="B431" s="1455">
        <v>181</v>
      </c>
      <c r="C431" s="1100">
        <v>0.98546463822460584</v>
      </c>
      <c r="D431" s="1100">
        <v>1.0266090646945891</v>
      </c>
      <c r="E431" s="1100">
        <v>0.98760488580264683</v>
      </c>
      <c r="F431" s="1100">
        <v>1.01761472454666</v>
      </c>
      <c r="G431" s="1100">
        <v>0.97801223763588607</v>
      </c>
      <c r="H431" s="1100">
        <v>0.97392233015830054</v>
      </c>
      <c r="I431" s="1100">
        <v>0.98015265015389996</v>
      </c>
      <c r="K431">
        <v>2.2279655654822892</v>
      </c>
      <c r="L431">
        <v>0</v>
      </c>
      <c r="M431">
        <v>1.5592944144236993E-3</v>
      </c>
      <c r="N431">
        <v>0.13652030431756099</v>
      </c>
      <c r="O431">
        <v>1.9920278208036192E-2</v>
      </c>
      <c r="P431">
        <v>2.6094994357985821E-2</v>
      </c>
      <c r="Q431">
        <v>5.4863094423600219E-3</v>
      </c>
      <c r="R431">
        <v>1.5367915514000617E-3</v>
      </c>
      <c r="S431">
        <v>0.23493920025285359</v>
      </c>
      <c r="T431">
        <v>1.3675170674801138</v>
      </c>
      <c r="U431">
        <v>0.14484945514105355</v>
      </c>
      <c r="V431">
        <v>0.1831049135586558</v>
      </c>
      <c r="W431">
        <v>9.0350973264923543E-2</v>
      </c>
      <c r="X431">
        <v>1.5021932322056442E-2</v>
      </c>
      <c r="Y431">
        <v>4.1826399997122021E-3</v>
      </c>
    </row>
    <row r="432" spans="1:25" x14ac:dyDescent="0.25">
      <c r="A432" s="1096"/>
      <c r="B432" s="1455">
        <v>182</v>
      </c>
      <c r="C432" s="1100">
        <v>0.98591220470588914</v>
      </c>
      <c r="D432" s="1100">
        <v>1.020448162652096</v>
      </c>
      <c r="E432" s="1100">
        <v>0.95773225923085736</v>
      </c>
      <c r="F432" s="1100">
        <v>0.99674609582104201</v>
      </c>
      <c r="G432" s="1100">
        <v>1.0092114944020787</v>
      </c>
      <c r="H432" s="1100">
        <v>0.96866023935044998</v>
      </c>
      <c r="I432" s="1100">
        <v>1.0092440131315024</v>
      </c>
      <c r="K432">
        <v>2.2024653524540394</v>
      </c>
      <c r="L432">
        <v>0</v>
      </c>
      <c r="M432">
        <v>1.6510030766620574E-3</v>
      </c>
      <c r="N432">
        <v>0.13204069796772822</v>
      </c>
      <c r="O432">
        <v>1.9918860642938782E-2</v>
      </c>
      <c r="P432">
        <v>2.5270785745726478E-2</v>
      </c>
      <c r="Q432">
        <v>5.3211923582821494E-3</v>
      </c>
      <c r="R432">
        <v>1.6270472928103224E-3</v>
      </c>
      <c r="S432">
        <v>0.24187118387124829</v>
      </c>
      <c r="T432">
        <v>1.3394433264332195</v>
      </c>
      <c r="U432">
        <v>0.14471425035169613</v>
      </c>
      <c r="V432">
        <v>0.18657915281477286</v>
      </c>
      <c r="W432">
        <v>8.898627550237688E-2</v>
      </c>
      <c r="X432">
        <v>1.3915296174865661E-2</v>
      </c>
      <c r="Y432">
        <v>4.4282863750337706E-3</v>
      </c>
    </row>
    <row r="433" spans="1:25" x14ac:dyDescent="0.25">
      <c r="A433" s="1096"/>
      <c r="B433" s="1455">
        <v>183</v>
      </c>
      <c r="C433" s="1100">
        <v>1.0104480496867034</v>
      </c>
      <c r="D433" s="1100">
        <v>0.99036360898621123</v>
      </c>
      <c r="E433" s="1100">
        <v>1.0020252469054225</v>
      </c>
      <c r="F433" s="1100">
        <v>1.0300295701417523</v>
      </c>
      <c r="G433" s="1100">
        <v>1.012425652214108</v>
      </c>
      <c r="H433" s="1100">
        <v>0.9713909316529632</v>
      </c>
      <c r="I433" s="1100">
        <v>1.0064667604166126</v>
      </c>
      <c r="K433">
        <v>2.2464169395012408</v>
      </c>
      <c r="L433">
        <v>0</v>
      </c>
      <c r="M433">
        <v>1.4838123395089016E-3</v>
      </c>
      <c r="N433">
        <v>0.13569369100336681</v>
      </c>
      <c r="O433">
        <v>1.9590913052096991E-2</v>
      </c>
      <c r="P433">
        <v>2.6652866452596506E-2</v>
      </c>
      <c r="Q433">
        <v>5.4746054385398039E-3</v>
      </c>
      <c r="R433">
        <v>1.4623429887973285E-3</v>
      </c>
      <c r="S433">
        <v>0.23945563650673765</v>
      </c>
      <c r="T433">
        <v>1.3842226730825693</v>
      </c>
      <c r="U433">
        <v>0.14130087036830435</v>
      </c>
      <c r="V433">
        <v>0.18551922494536086</v>
      </c>
      <c r="W433">
        <v>8.9034381535998242E-2</v>
      </c>
      <c r="X433">
        <v>1.5513530912110027E-2</v>
      </c>
      <c r="Y433">
        <v>3.9800155542696275E-3</v>
      </c>
    </row>
    <row r="434" spans="1:25" x14ac:dyDescent="0.25">
      <c r="A434" s="1096"/>
      <c r="B434" s="1455">
        <v>184</v>
      </c>
      <c r="C434" s="1100">
        <v>0.99649573793515489</v>
      </c>
      <c r="D434" s="1100">
        <v>0.999230461011691</v>
      </c>
      <c r="E434" s="1100">
        <v>1.0377896642720619</v>
      </c>
      <c r="F434" s="1100">
        <v>1.0141550250400748</v>
      </c>
      <c r="G434" s="1100">
        <v>0.98742891708907699</v>
      </c>
      <c r="H434" s="1100">
        <v>0.96776985431649121</v>
      </c>
      <c r="I434" s="1100">
        <v>0.9951960389659521</v>
      </c>
      <c r="K434">
        <v>2.2343482628995921</v>
      </c>
      <c r="L434">
        <v>0</v>
      </c>
      <c r="M434">
        <v>1.3887602569871867E-3</v>
      </c>
      <c r="N434">
        <v>0.14146271927942619</v>
      </c>
      <c r="O434">
        <v>1.9848787946347233E-2</v>
      </c>
      <c r="P434">
        <v>2.7057007929403125E-2</v>
      </c>
      <c r="Q434">
        <v>5.7474424727242653E-3</v>
      </c>
      <c r="R434">
        <v>1.3685910340425209E-3</v>
      </c>
      <c r="S434">
        <v>0.23899829305697309</v>
      </c>
      <c r="T434">
        <v>1.3629626625262301</v>
      </c>
      <c r="U434">
        <v>0.14336215710952063</v>
      </c>
      <c r="V434">
        <v>0.18354863320431544</v>
      </c>
      <c r="W434">
        <v>9.0897479346340987E-2</v>
      </c>
      <c r="X434">
        <v>1.6758395612504216E-2</v>
      </c>
      <c r="Y434">
        <v>3.7248536387506207E-3</v>
      </c>
    </row>
    <row r="435" spans="1:25" x14ac:dyDescent="0.25">
      <c r="A435" s="1096"/>
      <c r="B435" s="1455">
        <v>185</v>
      </c>
      <c r="C435" s="1100">
        <v>1.0116135462159077</v>
      </c>
      <c r="D435" s="1100">
        <v>0.97586673655447542</v>
      </c>
      <c r="E435" s="1100">
        <v>1.0032626614295677</v>
      </c>
      <c r="F435" s="1100">
        <v>0.9927185689780943</v>
      </c>
      <c r="G435" s="1100">
        <v>1.0027843095071041</v>
      </c>
      <c r="H435" s="1100">
        <v>1.0233710487381456</v>
      </c>
      <c r="I435" s="1100">
        <v>1.0185117835602973</v>
      </c>
      <c r="K435">
        <v>2.2161066391013224</v>
      </c>
      <c r="L435">
        <v>0</v>
      </c>
      <c r="M435">
        <v>1.5624680129752244E-3</v>
      </c>
      <c r="N435">
        <v>0.14352873110963915</v>
      </c>
      <c r="O435">
        <v>1.9632696235372546E-2</v>
      </c>
      <c r="P435">
        <v>2.6091584531654749E-2</v>
      </c>
      <c r="Q435">
        <v>5.4930998123892986E-3</v>
      </c>
      <c r="R435">
        <v>1.5410088891636864E-3</v>
      </c>
      <c r="S435">
        <v>0.24807258617643493</v>
      </c>
      <c r="T435">
        <v>1.3340836787709891</v>
      </c>
      <c r="U435">
        <v>0.14114089269884586</v>
      </c>
      <c r="V435">
        <v>0.18436284599307309</v>
      </c>
      <c r="W435">
        <v>9.4106191801458738E-2</v>
      </c>
      <c r="X435">
        <v>1.5421672892416791E-2</v>
      </c>
      <c r="Y435">
        <v>4.1941182028597682E-3</v>
      </c>
    </row>
    <row r="436" spans="1:25" x14ac:dyDescent="0.25">
      <c r="A436" s="1096"/>
      <c r="B436" s="1455">
        <v>186</v>
      </c>
      <c r="C436" s="1100">
        <v>0.97867757011371959</v>
      </c>
      <c r="D436" s="1100">
        <v>1.0265872431935332</v>
      </c>
      <c r="E436" s="1100">
        <v>0.95971293583007822</v>
      </c>
      <c r="F436" s="1100">
        <v>0.97590373868273661</v>
      </c>
      <c r="G436" s="1100">
        <v>0.98458240054351942</v>
      </c>
      <c r="H436" s="1100">
        <v>0.9953442205907207</v>
      </c>
      <c r="I436" s="1100">
        <v>0.99583599387987032</v>
      </c>
      <c r="K436">
        <v>2.1810000729096206</v>
      </c>
      <c r="L436">
        <v>0</v>
      </c>
      <c r="M436">
        <v>1.6998189119923871E-3</v>
      </c>
      <c r="N436">
        <v>0.13681720664071689</v>
      </c>
      <c r="O436">
        <v>2.0040893198987556E-2</v>
      </c>
      <c r="P436">
        <v>2.4922373098555665E-2</v>
      </c>
      <c r="Q436">
        <v>5.3647104089522106E-3</v>
      </c>
      <c r="R436">
        <v>1.6758160330576281E-3</v>
      </c>
      <c r="S436">
        <v>0.24187963561728867</v>
      </c>
      <c r="T436">
        <v>1.3114363509157265</v>
      </c>
      <c r="U436">
        <v>0.14578864280479126</v>
      </c>
      <c r="V436">
        <v>0.18424100970577892</v>
      </c>
      <c r="W436">
        <v>9.2093224210999261E-2</v>
      </c>
      <c r="X436">
        <v>1.3879010377378981E-2</v>
      </c>
      <c r="Y436">
        <v>4.5610188093760367E-3</v>
      </c>
    </row>
    <row r="437" spans="1:25" x14ac:dyDescent="0.25">
      <c r="A437" s="1096"/>
      <c r="B437" s="1455">
        <v>187</v>
      </c>
      <c r="C437" s="1100">
        <v>0.98568947650110539</v>
      </c>
      <c r="D437" s="1100">
        <v>1.037201181327196</v>
      </c>
      <c r="E437" s="1100">
        <v>1.0247567983739125</v>
      </c>
      <c r="F437" s="1100">
        <v>1.0096962203101114</v>
      </c>
      <c r="G437" s="1100">
        <v>1.0016452528870978</v>
      </c>
      <c r="H437" s="1100">
        <v>1.0110904817214399</v>
      </c>
      <c r="I437" s="1100">
        <v>0.99378289312736767</v>
      </c>
      <c r="K437">
        <v>2.2419245645877979</v>
      </c>
      <c r="L437">
        <v>0</v>
      </c>
      <c r="M437">
        <v>1.494905513379512E-3</v>
      </c>
      <c r="N437">
        <v>0.14650127505889932</v>
      </c>
      <c r="O437">
        <v>1.989418883819449E-2</v>
      </c>
      <c r="P437">
        <v>2.678817591718053E-2</v>
      </c>
      <c r="Q437">
        <v>5.6868877524933435E-3</v>
      </c>
      <c r="R437">
        <v>1.4741249317689739E-3</v>
      </c>
      <c r="S437">
        <v>0.24020004695020866</v>
      </c>
      <c r="T437">
        <v>1.3569405273667874</v>
      </c>
      <c r="U437">
        <v>0.14490327330815761</v>
      </c>
      <c r="V437">
        <v>0.18579620516300105</v>
      </c>
      <c r="W437">
        <v>9.4849169272699055E-2</v>
      </c>
      <c r="X437">
        <v>1.6373513422662519E-2</v>
      </c>
      <c r="Y437">
        <v>4.0120821191219893E-3</v>
      </c>
    </row>
    <row r="438" spans="1:25" x14ac:dyDescent="0.25">
      <c r="A438" s="1096"/>
      <c r="B438" s="1455">
        <v>188</v>
      </c>
      <c r="C438" s="1100">
        <v>1.0354012149317964</v>
      </c>
      <c r="D438" s="1100">
        <v>1.010188934170396</v>
      </c>
      <c r="E438" s="1100">
        <v>1.0018076655831356</v>
      </c>
      <c r="F438" s="1100">
        <v>0.97403206305672241</v>
      </c>
      <c r="G438" s="1100">
        <v>0.99556892860155666</v>
      </c>
      <c r="H438" s="1100">
        <v>1.0239822080359438</v>
      </c>
      <c r="I438" s="1100">
        <v>0.98429311032566669</v>
      </c>
      <c r="K438">
        <v>2.1584191648940796</v>
      </c>
      <c r="L438">
        <v>0</v>
      </c>
      <c r="M438">
        <v>1.5204949681215173E-3</v>
      </c>
      <c r="N438">
        <v>0.13906171032754228</v>
      </c>
      <c r="O438">
        <v>1.9035455015536582E-2</v>
      </c>
      <c r="P438">
        <v>2.5403078530589939E-2</v>
      </c>
      <c r="Q438">
        <v>5.318222789531658E-3</v>
      </c>
      <c r="R438">
        <v>1.4996247708863278E-3</v>
      </c>
      <c r="S438">
        <v>0.23027287805590671</v>
      </c>
      <c r="T438">
        <v>1.3089691290963219</v>
      </c>
      <c r="U438">
        <v>0.13789503598456876</v>
      </c>
      <c r="V438">
        <v>0.18219865970523622</v>
      </c>
      <c r="W438">
        <v>9.1256064246495336E-2</v>
      </c>
      <c r="X438">
        <v>1.4948317064404264E-2</v>
      </c>
      <c r="Y438">
        <v>4.0814842751797208E-3</v>
      </c>
    </row>
    <row r="439" spans="1:25" x14ac:dyDescent="0.25">
      <c r="A439" s="1096"/>
      <c r="B439" s="1455">
        <v>189</v>
      </c>
      <c r="C439" s="1100">
        <v>0.98852422691234665</v>
      </c>
      <c r="D439" s="1100">
        <v>1.0115101373395368</v>
      </c>
      <c r="E439" s="1100">
        <v>0.96655306845798761</v>
      </c>
      <c r="F439" s="1100">
        <v>1.0058882437143741</v>
      </c>
      <c r="G439" s="1100">
        <v>0.99264787009353328</v>
      </c>
      <c r="H439" s="1100">
        <v>0.98779027646963569</v>
      </c>
      <c r="I439" s="1100">
        <v>0.96133482549135096</v>
      </c>
      <c r="K439">
        <v>2.209070357016075</v>
      </c>
      <c r="L439">
        <v>0</v>
      </c>
      <c r="M439">
        <v>1.6520917166197985E-3</v>
      </c>
      <c r="N439">
        <v>0.13574502815497239</v>
      </c>
      <c r="O439">
        <v>1.9910240956313361E-2</v>
      </c>
      <c r="P439">
        <v>2.5448354694929575E-2</v>
      </c>
      <c r="Q439">
        <v>5.3672720201936499E-3</v>
      </c>
      <c r="R439">
        <v>1.6285843823024245E-3</v>
      </c>
      <c r="S439">
        <v>0.23234236426391813</v>
      </c>
      <c r="T439">
        <v>1.3517354147900471</v>
      </c>
      <c r="U439">
        <v>0.14435228154886193</v>
      </c>
      <c r="V439">
        <v>0.18455506571268659</v>
      </c>
      <c r="W439">
        <v>9.0989854082576246E-2</v>
      </c>
      <c r="X439">
        <v>1.4215518299966083E-2</v>
      </c>
      <c r="Y439">
        <v>4.4324698259298589E-3</v>
      </c>
    </row>
    <row r="440" spans="1:25" x14ac:dyDescent="0.25">
      <c r="A440" s="1096"/>
      <c r="B440" s="1455">
        <v>190</v>
      </c>
      <c r="C440" s="1100">
        <v>0.9712418317722793</v>
      </c>
      <c r="D440" s="1100">
        <v>0.99374309315767584</v>
      </c>
      <c r="E440" s="1100">
        <v>0.98848735797623155</v>
      </c>
      <c r="F440" s="1100">
        <v>1.0044796844362538</v>
      </c>
      <c r="G440" s="1100">
        <v>0.96300859636836378</v>
      </c>
      <c r="H440" s="1100">
        <v>0.99104206155360142</v>
      </c>
      <c r="I440" s="1100">
        <v>0.97765396544036243</v>
      </c>
      <c r="K440">
        <v>2.2297698883320232</v>
      </c>
      <c r="L440">
        <v>0</v>
      </c>
      <c r="M440">
        <v>1.6185453355434132E-3</v>
      </c>
      <c r="N440">
        <v>0.14212246746972826</v>
      </c>
      <c r="O440">
        <v>2.0357759567985204E-2</v>
      </c>
      <c r="P440">
        <v>2.6001218122544377E-2</v>
      </c>
      <c r="Q440">
        <v>5.6118063968894991E-3</v>
      </c>
      <c r="R440">
        <v>1.5955908925726207E-3</v>
      </c>
      <c r="S440">
        <v>0.24305960488228434</v>
      </c>
      <c r="T440">
        <v>1.3498667817576757</v>
      </c>
      <c r="U440">
        <v>0.14697270968451612</v>
      </c>
      <c r="V440">
        <v>0.18229107464619532</v>
      </c>
      <c r="W440">
        <v>9.400877194142232E-2</v>
      </c>
      <c r="X440">
        <v>1.5157975882564307E-2</v>
      </c>
      <c r="Y440">
        <v>4.342672423186299E-3</v>
      </c>
    </row>
    <row r="441" spans="1:25" x14ac:dyDescent="0.25">
      <c r="A441" s="1096"/>
      <c r="B441" s="1455">
        <v>191</v>
      </c>
      <c r="C441" s="1100">
        <v>0.97082873875742515</v>
      </c>
      <c r="D441" s="1100">
        <v>0.99894859449114959</v>
      </c>
      <c r="E441" s="1100">
        <v>0.99967225010949634</v>
      </c>
      <c r="F441" s="1100">
        <v>1.0087687310148086</v>
      </c>
      <c r="G441" s="1100">
        <v>0.98535453153678043</v>
      </c>
      <c r="H441" s="1100">
        <v>1.0308353089180917</v>
      </c>
      <c r="I441" s="1100">
        <v>1.0229939420611083</v>
      </c>
      <c r="K441">
        <v>2.2649731080206839</v>
      </c>
      <c r="L441">
        <v>0</v>
      </c>
      <c r="M441">
        <v>1.6437695161260859E-3</v>
      </c>
      <c r="N441">
        <v>0.14938326958286377</v>
      </c>
      <c r="O441">
        <v>2.0350217688118389E-2</v>
      </c>
      <c r="P441">
        <v>2.6528426656457969E-2</v>
      </c>
      <c r="Q441">
        <v>5.67336209534877E-3</v>
      </c>
      <c r="R441">
        <v>1.621357258130629E-3</v>
      </c>
      <c r="S441">
        <v>0.2572268671415317</v>
      </c>
      <c r="T441">
        <v>1.3556471118115625</v>
      </c>
      <c r="U441">
        <v>0.14706174747365872</v>
      </c>
      <c r="V441">
        <v>0.18485312145839161</v>
      </c>
      <c r="W441">
        <v>9.8153773804686997E-2</v>
      </c>
      <c r="X441">
        <v>1.5704822589700844E-2</v>
      </c>
      <c r="Y441">
        <v>4.4127999763550751E-3</v>
      </c>
    </row>
    <row r="442" spans="1:25" x14ac:dyDescent="0.25">
      <c r="A442" s="1096"/>
      <c r="B442" s="1455">
        <v>192</v>
      </c>
      <c r="C442" s="1100">
        <v>1.0250031940451383</v>
      </c>
      <c r="D442" s="1100">
        <v>1.0273608988857601</v>
      </c>
      <c r="E442" s="1100">
        <v>0.98999099324693429</v>
      </c>
      <c r="F442" s="1100">
        <v>1.0161762391197602</v>
      </c>
      <c r="G442" s="1100">
        <v>0.97036475413556322</v>
      </c>
      <c r="H442" s="1100">
        <v>0.97941815037527036</v>
      </c>
      <c r="I442" s="1100">
        <v>1.0073088968507375</v>
      </c>
      <c r="K442">
        <v>2.2061978275625469</v>
      </c>
      <c r="L442">
        <v>0</v>
      </c>
      <c r="M442">
        <v>1.4999336322456822E-3</v>
      </c>
      <c r="N442">
        <v>0.13228488771246749</v>
      </c>
      <c r="O442">
        <v>1.9150230482391478E-2</v>
      </c>
      <c r="P442">
        <v>2.5963991960358212E-2</v>
      </c>
      <c r="Q442">
        <v>5.2869722823677958E-3</v>
      </c>
      <c r="R442">
        <v>1.4784088943362713E-3</v>
      </c>
      <c r="S442">
        <v>0.23249784251243899</v>
      </c>
      <c r="T442">
        <v>1.365587233128212</v>
      </c>
      <c r="U442">
        <v>0.13926737061051703</v>
      </c>
      <c r="V442">
        <v>0.17992080469083363</v>
      </c>
      <c r="W442">
        <v>8.7422745022162768E-2</v>
      </c>
      <c r="X442">
        <v>1.4813532245682284E-2</v>
      </c>
      <c r="Y442">
        <v>4.0237416530222933E-3</v>
      </c>
    </row>
    <row r="443" spans="1:25" x14ac:dyDescent="0.25">
      <c r="A443" s="1096"/>
      <c r="B443" s="1455">
        <v>193</v>
      </c>
      <c r="C443" s="1100">
        <v>1.0220568531168648</v>
      </c>
      <c r="D443" s="1100">
        <v>1.0179154273118356</v>
      </c>
      <c r="E443" s="1100">
        <v>1.0356730938538845</v>
      </c>
      <c r="F443" s="1100">
        <v>1.0105086052918428</v>
      </c>
      <c r="G443" s="1100">
        <v>0.9625015263762613</v>
      </c>
      <c r="H443" s="1100">
        <v>1.0393293944201654</v>
      </c>
      <c r="I443" s="1100">
        <v>1.0278321021855401</v>
      </c>
      <c r="K443">
        <v>2.2356432284819263</v>
      </c>
      <c r="L443">
        <v>0</v>
      </c>
      <c r="M443">
        <v>1.4546416324567669E-3</v>
      </c>
      <c r="N443">
        <v>0.14738100342919611</v>
      </c>
      <c r="O443">
        <v>1.9272367112450544E-2</v>
      </c>
      <c r="P443">
        <v>2.6908888644577144E-2</v>
      </c>
      <c r="Q443">
        <v>5.5689103505693833E-3</v>
      </c>
      <c r="R443">
        <v>1.4349701640466108E-3</v>
      </c>
      <c r="S443">
        <v>0.24417577307898433</v>
      </c>
      <c r="T443">
        <v>1.3580570102988352</v>
      </c>
      <c r="U443">
        <v>0.13977194941921373</v>
      </c>
      <c r="V443">
        <v>0.17923941783857469</v>
      </c>
      <c r="W443">
        <v>9.4816107036998401E-2</v>
      </c>
      <c r="X443">
        <v>1.656595699218745E-2</v>
      </c>
      <c r="Y443">
        <v>3.9055157487474282E-3</v>
      </c>
    </row>
    <row r="444" spans="1:25" x14ac:dyDescent="0.25">
      <c r="A444" s="1096"/>
      <c r="B444" s="1455">
        <v>194</v>
      </c>
      <c r="C444" s="1100">
        <v>1.0154680073612066</v>
      </c>
      <c r="D444" s="1100">
        <v>0.99481887408211167</v>
      </c>
      <c r="E444" s="1100">
        <v>1.0028909794410132</v>
      </c>
      <c r="F444" s="1100">
        <v>1.0181286075170595</v>
      </c>
      <c r="G444" s="1100">
        <v>1.0075498405585934</v>
      </c>
      <c r="H444" s="1100">
        <v>0.99093255905049071</v>
      </c>
      <c r="I444" s="1100">
        <v>1.0092940004164266</v>
      </c>
      <c r="K444">
        <v>2.2323929517484657</v>
      </c>
      <c r="L444">
        <v>0</v>
      </c>
      <c r="M444">
        <v>1.5019923487142551E-3</v>
      </c>
      <c r="N444">
        <v>0.13775578278623812</v>
      </c>
      <c r="O444">
        <v>1.9475358492158455E-2</v>
      </c>
      <c r="P444">
        <v>2.6437376809492825E-2</v>
      </c>
      <c r="Q444">
        <v>5.447045770155797E-3</v>
      </c>
      <c r="R444">
        <v>1.4806885230744175E-3</v>
      </c>
      <c r="S444">
        <v>0.23996797939774181</v>
      </c>
      <c r="T444">
        <v>1.3682308133130883</v>
      </c>
      <c r="U444">
        <v>0.14060431427038456</v>
      </c>
      <c r="V444">
        <v>0.18467859058475683</v>
      </c>
      <c r="W444">
        <v>9.0341001113038444E-2</v>
      </c>
      <c r="X444">
        <v>1.5446046986082736E-2</v>
      </c>
      <c r="Y444">
        <v>4.0299460509681155E-3</v>
      </c>
    </row>
    <row r="445" spans="1:25" x14ac:dyDescent="0.25">
      <c r="A445" s="1096"/>
      <c r="B445" s="1455">
        <v>195</v>
      </c>
      <c r="C445" s="1100">
        <v>1.0281059238422376</v>
      </c>
      <c r="D445" s="1100">
        <v>1.0147666826635069</v>
      </c>
      <c r="E445" s="1100">
        <v>1.000791597698961</v>
      </c>
      <c r="F445" s="1100">
        <v>0.98927171068428021</v>
      </c>
      <c r="G445" s="1100">
        <v>1.0135474013120149</v>
      </c>
      <c r="H445" s="1100">
        <v>1.0044988273961442</v>
      </c>
      <c r="I445" s="1100">
        <v>1.0064208553962961</v>
      </c>
      <c r="K445">
        <v>2.1844543113543304</v>
      </c>
      <c r="L445">
        <v>0</v>
      </c>
      <c r="M445">
        <v>1.5038217026083554E-3</v>
      </c>
      <c r="N445">
        <v>0.13707827411734042</v>
      </c>
      <c r="O445">
        <v>1.9150853014809552E-2</v>
      </c>
      <c r="P445">
        <v>2.5775391451470606E-2</v>
      </c>
      <c r="Q445">
        <v>5.3450053966297203E-3</v>
      </c>
      <c r="R445">
        <v>1.4827799993863153E-3</v>
      </c>
      <c r="S445">
        <v>0.23505924462035815</v>
      </c>
      <c r="T445">
        <v>1.3294475534476007</v>
      </c>
      <c r="U445">
        <v>0.13887124341444709</v>
      </c>
      <c r="V445">
        <v>0.18463657544296652</v>
      </c>
      <c r="W445">
        <v>9.0008763376253506E-2</v>
      </c>
      <c r="X445">
        <v>1.5066810415638796E-2</v>
      </c>
      <c r="Y445">
        <v>4.03563836003412E-3</v>
      </c>
    </row>
    <row r="446" spans="1:25" x14ac:dyDescent="0.25">
      <c r="A446" s="1096"/>
      <c r="B446" s="1455">
        <v>196</v>
      </c>
      <c r="C446" s="1100">
        <v>0.98868085529593697</v>
      </c>
      <c r="D446" s="1100">
        <v>0.98971817919744387</v>
      </c>
      <c r="E446" s="1100">
        <v>0.99654250697751778</v>
      </c>
      <c r="F446" s="1100">
        <v>0.98138090565040637</v>
      </c>
      <c r="G446" s="1100">
        <v>0.98334561375669616</v>
      </c>
      <c r="H446" s="1100">
        <v>1.0201483468674208</v>
      </c>
      <c r="I446" s="1100">
        <v>1.0024437806459003</v>
      </c>
      <c r="K446">
        <v>2.2058891119910924</v>
      </c>
      <c r="L446">
        <v>0</v>
      </c>
      <c r="M446">
        <v>1.6110426824909119E-3</v>
      </c>
      <c r="N446">
        <v>0.14501004672662451</v>
      </c>
      <c r="O446">
        <v>2.0021634683692013E-2</v>
      </c>
      <c r="P446">
        <v>2.5782286771023396E-2</v>
      </c>
      <c r="Q446">
        <v>5.5642069450535306E-3</v>
      </c>
      <c r="R446">
        <v>1.5888465303281222E-3</v>
      </c>
      <c r="S446">
        <v>0.24775715277076493</v>
      </c>
      <c r="T446">
        <v>1.3188368591940427</v>
      </c>
      <c r="U446">
        <v>0.14439904094149336</v>
      </c>
      <c r="V446">
        <v>0.18351988544731337</v>
      </c>
      <c r="W446">
        <v>9.5457969941402668E-2</v>
      </c>
      <c r="X446">
        <v>1.523790822940985E-2</v>
      </c>
      <c r="Y446">
        <v>4.3243164924351915E-3</v>
      </c>
    </row>
    <row r="447" spans="1:25" x14ac:dyDescent="0.25">
      <c r="A447" s="1096"/>
      <c r="B447" s="1455">
        <v>197</v>
      </c>
      <c r="C447" s="1100">
        <v>0.98414172669709921</v>
      </c>
      <c r="D447" s="1100">
        <v>1.0251774015162218</v>
      </c>
      <c r="E447" s="1100">
        <v>0.97266567931954684</v>
      </c>
      <c r="F447" s="1100">
        <v>0.98662960188937765</v>
      </c>
      <c r="G447" s="1100">
        <v>1.0076656161415547</v>
      </c>
      <c r="H447" s="1100">
        <v>1.0046561933737967</v>
      </c>
      <c r="I447" s="1100">
        <v>0.99298433061384628</v>
      </c>
      <c r="K447">
        <v>2.1998104010887025</v>
      </c>
      <c r="L447">
        <v>0</v>
      </c>
      <c r="M447">
        <v>1.6617056139906698E-3</v>
      </c>
      <c r="N447">
        <v>0.13911929641284479</v>
      </c>
      <c r="O447">
        <v>1.9943780005479916E-2</v>
      </c>
      <c r="P447">
        <v>2.5371010840481892E-2</v>
      </c>
      <c r="Q447">
        <v>5.4100146144635463E-3</v>
      </c>
      <c r="R447">
        <v>1.6384584168709863E-3</v>
      </c>
      <c r="S447">
        <v>0.24085742057446349</v>
      </c>
      <c r="T447">
        <v>1.3258607898837143</v>
      </c>
      <c r="U447">
        <v>0.14500932860210911</v>
      </c>
      <c r="V447">
        <v>0.18652500078366444</v>
      </c>
      <c r="W447">
        <v>9.2905234434290579E-2</v>
      </c>
      <c r="X447">
        <v>1.4372428441257638E-2</v>
      </c>
      <c r="Y447">
        <v>4.4593436930508643E-3</v>
      </c>
    </row>
    <row r="448" spans="1:25" x14ac:dyDescent="0.25">
      <c r="A448" s="1096"/>
      <c r="B448" s="1455">
        <v>198</v>
      </c>
      <c r="C448" s="1100">
        <v>0.99321882912655057</v>
      </c>
      <c r="D448" s="1100">
        <v>1.0282362132380249</v>
      </c>
      <c r="E448" s="1100">
        <v>0.99063052815440533</v>
      </c>
      <c r="F448" s="1100">
        <v>1.018762851679025</v>
      </c>
      <c r="G448" s="1100">
        <v>1.0219634727390825</v>
      </c>
      <c r="H448" s="1100">
        <v>1.0286514860279086</v>
      </c>
      <c r="I448" s="1100">
        <v>1.0071849706982738</v>
      </c>
      <c r="K448">
        <v>2.2536277378417662</v>
      </c>
      <c r="L448">
        <v>0</v>
      </c>
      <c r="M448">
        <v>1.6232888223135084E-3</v>
      </c>
      <c r="N448">
        <v>0.14354109231630974</v>
      </c>
      <c r="O448">
        <v>1.9759760805947164E-2</v>
      </c>
      <c r="P448">
        <v>2.6341126408178716E-2</v>
      </c>
      <c r="Q448">
        <v>5.4587775846341065E-3</v>
      </c>
      <c r="R448">
        <v>1.601108823567508E-3</v>
      </c>
      <c r="S448">
        <v>0.24378707236071803</v>
      </c>
      <c r="T448">
        <v>1.3690641490481452</v>
      </c>
      <c r="U448">
        <v>0.14372559768782336</v>
      </c>
      <c r="V448">
        <v>0.18760586250319239</v>
      </c>
      <c r="W448">
        <v>9.4825274067723966E-2</v>
      </c>
      <c r="X448">
        <v>1.5183514645468894E-2</v>
      </c>
      <c r="Y448">
        <v>4.3576904123689194E-3</v>
      </c>
    </row>
    <row r="449" spans="1:25" x14ac:dyDescent="0.25">
      <c r="A449" s="1096"/>
      <c r="B449" s="1455">
        <v>199</v>
      </c>
      <c r="C449" s="1100">
        <v>0.99358637255484616</v>
      </c>
      <c r="D449" s="1100">
        <v>1.0187956731716266</v>
      </c>
      <c r="E449" s="1100">
        <v>1.0004047700539462</v>
      </c>
      <c r="F449" s="1100">
        <v>1.0002744346332224</v>
      </c>
      <c r="G449" s="1100">
        <v>0.99931430312683012</v>
      </c>
      <c r="H449" s="1100">
        <v>0.99007326425970088</v>
      </c>
      <c r="I449" s="1100">
        <v>1.0209896981562865</v>
      </c>
      <c r="K449">
        <v>2.2203064540982567</v>
      </c>
      <c r="L449">
        <v>0</v>
      </c>
      <c r="M449">
        <v>1.533615170142451E-3</v>
      </c>
      <c r="N449">
        <v>0.13960190275783241</v>
      </c>
      <c r="O449">
        <v>1.9798689675221359E-2</v>
      </c>
      <c r="P449">
        <v>2.6177746450373088E-2</v>
      </c>
      <c r="Q449">
        <v>5.5236692061943621E-3</v>
      </c>
      <c r="R449">
        <v>1.5118439364446229E-3</v>
      </c>
      <c r="S449">
        <v>0.24507601924926134</v>
      </c>
      <c r="T449">
        <v>1.344233107189529</v>
      </c>
      <c r="U449">
        <v>0.14369506392825238</v>
      </c>
      <c r="V449">
        <v>0.18503211976475137</v>
      </c>
      <c r="W449">
        <v>9.1686903562384361E-2</v>
      </c>
      <c r="X449">
        <v>1.5388262732371868E-2</v>
      </c>
      <c r="Y449">
        <v>4.1147408157825574E-3</v>
      </c>
    </row>
    <row r="450" spans="1:25" x14ac:dyDescent="0.25">
      <c r="A450" s="1096"/>
      <c r="B450" s="1455">
        <v>200</v>
      </c>
      <c r="C450" s="1100">
        <v>1.0076942454740476</v>
      </c>
      <c r="D450" s="1100">
        <v>0.99629276507393061</v>
      </c>
      <c r="E450" s="1100">
        <v>1.0129159759175062</v>
      </c>
      <c r="F450" s="1100">
        <v>0.99649111295450288</v>
      </c>
      <c r="G450" s="1100">
        <v>0.98778916912715709</v>
      </c>
      <c r="H450" s="1100">
        <v>0.96902223739261273</v>
      </c>
      <c r="I450" s="1100">
        <v>0.99508771869093471</v>
      </c>
      <c r="K450">
        <v>2.1974726022930673</v>
      </c>
      <c r="L450">
        <v>0</v>
      </c>
      <c r="M450">
        <v>1.4491430233832365E-3</v>
      </c>
      <c r="N450">
        <v>0.13694879037165419</v>
      </c>
      <c r="O450">
        <v>1.9625435436911465E-2</v>
      </c>
      <c r="P450">
        <v>2.6178154188860044E-2</v>
      </c>
      <c r="Q450">
        <v>5.5443691998819126E-3</v>
      </c>
      <c r="R450">
        <v>1.4281240507971024E-3</v>
      </c>
      <c r="S450">
        <v>0.23657868497926593</v>
      </c>
      <c r="T450">
        <v>1.3391704819670345</v>
      </c>
      <c r="U450">
        <v>0.14171192547130171</v>
      </c>
      <c r="V450">
        <v>0.18290454409887852</v>
      </c>
      <c r="W450">
        <v>8.928154039967591E-2</v>
      </c>
      <c r="X450">
        <v>1.5662812266887854E-2</v>
      </c>
      <c r="Y450">
        <v>3.8868828853028934E-3</v>
      </c>
    </row>
    <row r="451" spans="1:25" x14ac:dyDescent="0.25">
      <c r="A451" s="1096"/>
      <c r="B451" s="1455">
        <v>201</v>
      </c>
      <c r="C451" s="1100">
        <v>1.0374230945266643</v>
      </c>
      <c r="D451" s="1100">
        <v>0.98865140948730279</v>
      </c>
      <c r="E451" s="1100">
        <v>0.96364540071626159</v>
      </c>
      <c r="F451" s="1100">
        <v>1.0119300339943522</v>
      </c>
      <c r="G451" s="1100">
        <v>1.0278823923690648</v>
      </c>
      <c r="H451" s="1100">
        <v>0.97324655302212926</v>
      </c>
      <c r="I451" s="1100">
        <v>0.97667017626200048</v>
      </c>
      <c r="K451">
        <v>2.1905282125414391</v>
      </c>
      <c r="L451">
        <v>0</v>
      </c>
      <c r="M451">
        <v>1.5682400199479793E-3</v>
      </c>
      <c r="N451">
        <v>0.12769787677835029</v>
      </c>
      <c r="O451">
        <v>1.9065672163686195E-2</v>
      </c>
      <c r="P451">
        <v>2.5345020698013601E-2</v>
      </c>
      <c r="Q451">
        <v>5.1243054973220689E-3</v>
      </c>
      <c r="R451">
        <v>1.545592344378325E-3</v>
      </c>
      <c r="S451">
        <v>0.22638751346032732</v>
      </c>
      <c r="T451">
        <v>1.3598520852853464</v>
      </c>
      <c r="U451">
        <v>0.13754183048566662</v>
      </c>
      <c r="V451">
        <v>0.18570876542238762</v>
      </c>
      <c r="W451">
        <v>8.5748056256412644E-2</v>
      </c>
      <c r="X451">
        <v>1.387314131247511E-2</v>
      </c>
      <c r="Y451">
        <v>4.2065928570184088E-3</v>
      </c>
    </row>
    <row r="452" spans="1:25" x14ac:dyDescent="0.25">
      <c r="A452" s="1096"/>
      <c r="B452" s="1455">
        <v>202</v>
      </c>
      <c r="C452" s="1100">
        <v>0.9703710269544491</v>
      </c>
      <c r="D452" s="1100">
        <v>1.043234471590524</v>
      </c>
      <c r="E452" s="1100">
        <v>0.99869288818448809</v>
      </c>
      <c r="F452" s="1100">
        <v>1.0041308139796947</v>
      </c>
      <c r="G452" s="1100">
        <v>1.00891047825642</v>
      </c>
      <c r="H452" s="1100">
        <v>0.96369148456231957</v>
      </c>
      <c r="I452" s="1100">
        <v>0.96994580177608314</v>
      </c>
      <c r="K452">
        <v>2.2179387254446441</v>
      </c>
      <c r="L452">
        <v>0</v>
      </c>
      <c r="M452">
        <v>1.5259211160805152E-3</v>
      </c>
      <c r="N452">
        <v>0.13813048996966132</v>
      </c>
      <c r="O452">
        <v>2.0165819646265789E-2</v>
      </c>
      <c r="P452">
        <v>2.6138198554644623E-2</v>
      </c>
      <c r="Q452">
        <v>5.6164202221362248E-3</v>
      </c>
      <c r="R452">
        <v>1.5036660935455273E-3</v>
      </c>
      <c r="S452">
        <v>0.2335028504691592</v>
      </c>
      <c r="T452">
        <v>1.3494128378693606</v>
      </c>
      <c r="U452">
        <v>0.14712879129855236</v>
      </c>
      <c r="V452">
        <v>0.1875437329222778</v>
      </c>
      <c r="W452">
        <v>9.0812901247319194E-2</v>
      </c>
      <c r="X452">
        <v>1.5416454844566309E-2</v>
      </c>
      <c r="Y452">
        <v>4.0924834232364052E-3</v>
      </c>
    </row>
    <row r="453" spans="1:25" x14ac:dyDescent="0.25">
      <c r="A453" s="1096"/>
      <c r="B453" s="1455">
        <v>203</v>
      </c>
      <c r="C453" s="1100">
        <v>1.0256628398359573</v>
      </c>
      <c r="D453" s="1100">
        <v>0.97213142452846013</v>
      </c>
      <c r="E453" s="1100">
        <v>0.99589222407466504</v>
      </c>
      <c r="F453" s="1100">
        <v>0.96358499812550458</v>
      </c>
      <c r="G453" s="1100">
        <v>0.9879497532681647</v>
      </c>
      <c r="H453" s="1100">
        <v>1.0229610569060941</v>
      </c>
      <c r="I453" s="1100">
        <v>0.97856175798758982</v>
      </c>
      <c r="K453">
        <v>2.1536185124097824</v>
      </c>
      <c r="L453">
        <v>0</v>
      </c>
      <c r="M453">
        <v>1.565499143140804E-3</v>
      </c>
      <c r="N453">
        <v>0.14063942761446641</v>
      </c>
      <c r="O453">
        <v>1.9375599708566789E-2</v>
      </c>
      <c r="P453">
        <v>2.5183683509468771E-2</v>
      </c>
      <c r="Q453">
        <v>5.38114162637223E-3</v>
      </c>
      <c r="R453">
        <v>1.5439897721508827E-3</v>
      </c>
      <c r="S453">
        <v>0.23544214070472061</v>
      </c>
      <c r="T453">
        <v>1.2949207353947234</v>
      </c>
      <c r="U453">
        <v>0.13919103382851231</v>
      </c>
      <c r="V453">
        <v>0.18187637517102617</v>
      </c>
      <c r="W453">
        <v>9.2616751819794813E-2</v>
      </c>
      <c r="X453">
        <v>1.4810901219418927E-2</v>
      </c>
      <c r="Y453">
        <v>4.2022311837031029E-3</v>
      </c>
    </row>
    <row r="454" spans="1:25" x14ac:dyDescent="0.25">
      <c r="A454" s="1096"/>
      <c r="B454" s="1455">
        <v>204</v>
      </c>
      <c r="C454" s="1100">
        <v>0.99756220116513272</v>
      </c>
      <c r="D454" s="1100">
        <v>0.97767052511385777</v>
      </c>
      <c r="E454" s="1100">
        <v>1.0147337704456154</v>
      </c>
      <c r="F454" s="1100">
        <v>0.98044202240861666</v>
      </c>
      <c r="G454" s="1100">
        <v>1.0074887196652706</v>
      </c>
      <c r="H454" s="1100">
        <v>0.97315373500143465</v>
      </c>
      <c r="I454" s="1100">
        <v>1.0196632644322037</v>
      </c>
      <c r="K454">
        <v>2.1962253310049151</v>
      </c>
      <c r="L454">
        <v>0</v>
      </c>
      <c r="M454">
        <v>1.4706504957622613E-3</v>
      </c>
      <c r="N454">
        <v>0.13975464885074645</v>
      </c>
      <c r="O454">
        <v>1.9908378277578988E-2</v>
      </c>
      <c r="P454">
        <v>2.6126406010765189E-2</v>
      </c>
      <c r="Q454">
        <v>5.6345110456839965E-3</v>
      </c>
      <c r="R454">
        <v>1.4494101297230087E-3</v>
      </c>
      <c r="S454">
        <v>0.24757469420739764</v>
      </c>
      <c r="T454">
        <v>1.3176057029593626</v>
      </c>
      <c r="U454">
        <v>0.1431554700956475</v>
      </c>
      <c r="V454">
        <v>0.18573094414494237</v>
      </c>
      <c r="W454">
        <v>9.1013457484654808E-2</v>
      </c>
      <c r="X454">
        <v>1.5797541718988915E-2</v>
      </c>
      <c r="Y454">
        <v>3.9448165751851784E-3</v>
      </c>
    </row>
    <row r="455" spans="1:25" x14ac:dyDescent="0.25">
      <c r="A455" s="1096"/>
      <c r="B455" s="1455">
        <v>205</v>
      </c>
      <c r="C455" s="1100">
        <v>0.98084606351151882</v>
      </c>
      <c r="D455" s="1100">
        <v>0.99241528341931984</v>
      </c>
      <c r="E455" s="1100">
        <v>1.019649412941823</v>
      </c>
      <c r="F455" s="1100">
        <v>1.0228465224423064</v>
      </c>
      <c r="G455" s="1100">
        <v>0.998429375428174</v>
      </c>
      <c r="H455" s="1100">
        <v>0.97869602656112187</v>
      </c>
      <c r="I455" s="1100">
        <v>1.0137547234141631</v>
      </c>
      <c r="K455">
        <v>2.2643048355520787</v>
      </c>
      <c r="L455">
        <v>0</v>
      </c>
      <c r="M455">
        <v>1.4840371881433998E-3</v>
      </c>
      <c r="N455">
        <v>0.14314602076972752</v>
      </c>
      <c r="O455">
        <v>2.0184243137903939E-2</v>
      </c>
      <c r="P455">
        <v>2.7062839351829061E-2</v>
      </c>
      <c r="Q455">
        <v>5.7406152424829705E-3</v>
      </c>
      <c r="R455">
        <v>1.4627248579673986E-3</v>
      </c>
      <c r="S455">
        <v>0.24895543170032022</v>
      </c>
      <c r="T455">
        <v>1.3746025325106028</v>
      </c>
      <c r="U455">
        <v>0.1456067759785078</v>
      </c>
      <c r="V455">
        <v>0.18572525024564993</v>
      </c>
      <c r="W455">
        <v>9.2953741221732195E-2</v>
      </c>
      <c r="X455">
        <v>1.6367642847226513E-2</v>
      </c>
      <c r="Y455">
        <v>3.9810548762674201E-3</v>
      </c>
    </row>
    <row r="456" spans="1:25" x14ac:dyDescent="0.25">
      <c r="A456" s="1096"/>
      <c r="B456" s="1455">
        <v>206</v>
      </c>
      <c r="C456" s="1100">
        <v>1.0303443026422463</v>
      </c>
      <c r="D456" s="1100">
        <v>1.0056593202884316</v>
      </c>
      <c r="E456" s="1100">
        <v>0.96767685726368391</v>
      </c>
      <c r="F456" s="1100">
        <v>1.0096625983772356</v>
      </c>
      <c r="G456" s="1100">
        <v>0.9972766864815672</v>
      </c>
      <c r="H456" s="1100">
        <v>1.028650464624834</v>
      </c>
      <c r="I456" s="1100">
        <v>0.96471103096635402</v>
      </c>
      <c r="K456">
        <v>2.2005661740126499</v>
      </c>
      <c r="L456">
        <v>0</v>
      </c>
      <c r="M456">
        <v>1.6488810824648488E-3</v>
      </c>
      <c r="N456">
        <v>0.13602105490437258</v>
      </c>
      <c r="O456">
        <v>1.9127186213933223E-2</v>
      </c>
      <c r="P456">
        <v>2.5368740348116297E-2</v>
      </c>
      <c r="Q456">
        <v>5.1621166028671273E-3</v>
      </c>
      <c r="R456">
        <v>1.6263513784755353E-3</v>
      </c>
      <c r="S456">
        <v>0.2274096991783944</v>
      </c>
      <c r="T456">
        <v>1.3568084639223299</v>
      </c>
      <c r="U456">
        <v>0.13849574416557076</v>
      </c>
      <c r="V456">
        <v>0.18264471843091143</v>
      </c>
      <c r="W456">
        <v>9.1112391705730392E-2</v>
      </c>
      <c r="X456">
        <v>1.4012195918787659E-2</v>
      </c>
      <c r="Y456">
        <v>4.4263923256225805E-3</v>
      </c>
    </row>
    <row r="457" spans="1:25" x14ac:dyDescent="0.25">
      <c r="A457" s="1096"/>
      <c r="B457" s="1455">
        <v>207</v>
      </c>
      <c r="C457" s="1100">
        <v>0.98608926408470543</v>
      </c>
      <c r="D457" s="1100">
        <v>0.96690503585758159</v>
      </c>
      <c r="E457" s="1100">
        <v>1.00044752655905</v>
      </c>
      <c r="F457" s="1100">
        <v>1.0076553027643778</v>
      </c>
      <c r="G457" s="1100">
        <v>1.0011809389356827</v>
      </c>
      <c r="H457" s="1100">
        <v>0.98565526670517034</v>
      </c>
      <c r="I457" s="1100">
        <v>1.0005307989645442</v>
      </c>
      <c r="K457">
        <v>2.2392828396781281</v>
      </c>
      <c r="L457">
        <v>0</v>
      </c>
      <c r="M457">
        <v>1.5560362297666469E-3</v>
      </c>
      <c r="N457">
        <v>0.14165200043713461</v>
      </c>
      <c r="O457">
        <v>2.0179999494467967E-2</v>
      </c>
      <c r="P457">
        <v>2.6378484145328382E-2</v>
      </c>
      <c r="Q457">
        <v>5.6302933800721254E-3</v>
      </c>
      <c r="R457">
        <v>1.5338476944694668E-3</v>
      </c>
      <c r="S457">
        <v>0.24804556313635831</v>
      </c>
      <c r="T457">
        <v>1.3541520613971179</v>
      </c>
      <c r="U457">
        <v>0.14478765865139501</v>
      </c>
      <c r="V457">
        <v>0.18569710203646889</v>
      </c>
      <c r="W457">
        <v>9.3030991116770267E-2</v>
      </c>
      <c r="X457">
        <v>1.5576246626721866E-2</v>
      </c>
      <c r="Y457">
        <v>4.1746277915892986E-3</v>
      </c>
    </row>
    <row r="458" spans="1:25" x14ac:dyDescent="0.25">
      <c r="A458" s="1096"/>
      <c r="B458" s="1455">
        <v>208</v>
      </c>
      <c r="C458" s="1100">
        <v>0.97415958014828186</v>
      </c>
      <c r="D458" s="1100">
        <v>0.9644427083826318</v>
      </c>
      <c r="E458" s="1100">
        <v>1.0042674025247602</v>
      </c>
      <c r="F458" s="1100">
        <v>1.022589399211282</v>
      </c>
      <c r="G458" s="1100">
        <v>1.0397368545752106</v>
      </c>
      <c r="H458" s="1100">
        <v>0.9998649092522679</v>
      </c>
      <c r="I458" s="1100">
        <v>1.012605725392447</v>
      </c>
      <c r="K458">
        <v>2.2823843644447352</v>
      </c>
      <c r="L458">
        <v>0</v>
      </c>
      <c r="M458">
        <v>1.5860734857676491E-3</v>
      </c>
      <c r="N458">
        <v>0.14609211214172219</v>
      </c>
      <c r="O458">
        <v>2.0441058520656946E-2</v>
      </c>
      <c r="P458">
        <v>2.6926816135450629E-2</v>
      </c>
      <c r="Q458">
        <v>5.7250413246665612E-3</v>
      </c>
      <c r="R458">
        <v>1.5637780505117051E-3</v>
      </c>
      <c r="S458">
        <v>0.25566447085472899</v>
      </c>
      <c r="T458">
        <v>1.374227880198021</v>
      </c>
      <c r="U458">
        <v>0.14656977817515809</v>
      </c>
      <c r="V458">
        <v>0.19079548031423091</v>
      </c>
      <c r="W458">
        <v>9.5729887061068053E-2</v>
      </c>
      <c r="X458">
        <v>1.5978046800089837E-2</v>
      </c>
      <c r="Y458">
        <v>4.2560883541970526E-3</v>
      </c>
    </row>
    <row r="459" spans="1:25" x14ac:dyDescent="0.25">
      <c r="A459" s="1096"/>
      <c r="B459" s="1455">
        <v>209</v>
      </c>
      <c r="C459" s="1100">
        <v>1.0033930614744335</v>
      </c>
      <c r="D459" s="1100">
        <v>0.96643130527358434</v>
      </c>
      <c r="E459" s="1100">
        <v>1.0208531410717931</v>
      </c>
      <c r="F459" s="1100">
        <v>0.98131963776361919</v>
      </c>
      <c r="G459" s="1100">
        <v>1.0019191524627065</v>
      </c>
      <c r="H459" s="1100">
        <v>0.9943778781757715</v>
      </c>
      <c r="I459" s="1100">
        <v>1.0141475975602805</v>
      </c>
      <c r="K459">
        <v>2.2017469791819395</v>
      </c>
      <c r="L459">
        <v>0</v>
      </c>
      <c r="M459">
        <v>1.478854197156628E-3</v>
      </c>
      <c r="N459">
        <v>0.14319791605779536</v>
      </c>
      <c r="O459">
        <v>1.9846948479542631E-2</v>
      </c>
      <c r="P459">
        <v>2.6241879407865286E-2</v>
      </c>
      <c r="Q459">
        <v>5.6514430084512127E-3</v>
      </c>
      <c r="R459">
        <v>1.4579512327470422E-3</v>
      </c>
      <c r="S459">
        <v>0.24801863453130502</v>
      </c>
      <c r="T459">
        <v>1.3187969849400074</v>
      </c>
      <c r="U459">
        <v>0.14233765256521069</v>
      </c>
      <c r="V459">
        <v>0.18476127975458734</v>
      </c>
      <c r="W459">
        <v>9.2921990159927109E-2</v>
      </c>
      <c r="X459">
        <v>1.6025090599613819E-2</v>
      </c>
      <c r="Y459">
        <v>3.9680626420427424E-3</v>
      </c>
    </row>
    <row r="460" spans="1:25" x14ac:dyDescent="0.25">
      <c r="A460" s="1096"/>
      <c r="B460" s="1455">
        <v>210</v>
      </c>
      <c r="C460" s="1100">
        <v>0.99460253672611654</v>
      </c>
      <c r="D460" s="1100">
        <v>1.0256922499456198</v>
      </c>
      <c r="E460" s="1100">
        <v>1.0021721901435146</v>
      </c>
      <c r="F460" s="1100">
        <v>1.0333651767119667</v>
      </c>
      <c r="G460" s="1100">
        <v>0.97922574515860195</v>
      </c>
      <c r="H460" s="1100">
        <v>1.0097476653068911</v>
      </c>
      <c r="I460" s="1100">
        <v>0.98739963725055802</v>
      </c>
      <c r="K460">
        <v>2.2598871740862223</v>
      </c>
      <c r="L460">
        <v>0</v>
      </c>
      <c r="M460">
        <v>1.5544647289625867E-3</v>
      </c>
      <c r="N460">
        <v>0.14229723493840571</v>
      </c>
      <c r="O460">
        <v>1.9750231715856013E-2</v>
      </c>
      <c r="P460">
        <v>2.6683248467530118E-2</v>
      </c>
      <c r="Q460">
        <v>5.5199407400797788E-3</v>
      </c>
      <c r="R460">
        <v>1.5328274825257093E-3</v>
      </c>
      <c r="S460">
        <v>0.23754857873758697</v>
      </c>
      <c r="T460">
        <v>1.3887055330984033</v>
      </c>
      <c r="U460">
        <v>0.14355234581796397</v>
      </c>
      <c r="V460">
        <v>0.18270196535552807</v>
      </c>
      <c r="W460">
        <v>9.3359106200337869E-2</v>
      </c>
      <c r="X460">
        <v>1.5618775149975837E-2</v>
      </c>
      <c r="Y460">
        <v>4.1718511109911666E-3</v>
      </c>
    </row>
    <row r="461" spans="1:25" x14ac:dyDescent="0.25">
      <c r="A461" s="1096"/>
      <c r="B461" s="1455">
        <v>211</v>
      </c>
      <c r="C461" s="1100">
        <v>1.0387406185667263</v>
      </c>
      <c r="D461" s="1100">
        <v>0.99438117950358196</v>
      </c>
      <c r="E461" s="1100">
        <v>0.99849316966973767</v>
      </c>
      <c r="F461" s="1100">
        <v>1.0156321016066456</v>
      </c>
      <c r="G461" s="1100">
        <v>1.0303240984627791</v>
      </c>
      <c r="H461" s="1100">
        <v>1.0315991164213625</v>
      </c>
      <c r="I461" s="1100">
        <v>1.0009509911381376</v>
      </c>
      <c r="K461">
        <v>2.225463867390912</v>
      </c>
      <c r="L461">
        <v>0</v>
      </c>
      <c r="M461">
        <v>1.542758670498634E-3</v>
      </c>
      <c r="N461">
        <v>0.1397064016809815</v>
      </c>
      <c r="O461">
        <v>1.9038215129466185E-2</v>
      </c>
      <c r="P461">
        <v>2.6222573611807094E-2</v>
      </c>
      <c r="Q461">
        <v>5.3013037866150269E-3</v>
      </c>
      <c r="R461">
        <v>1.5217392367943923E-3</v>
      </c>
      <c r="S461">
        <v>0.23581527070003669</v>
      </c>
      <c r="T461">
        <v>1.3648686598726356</v>
      </c>
      <c r="U461">
        <v>0.13744437643169916</v>
      </c>
      <c r="V461">
        <v>0.18594025908001421</v>
      </c>
      <c r="W461">
        <v>9.1859888515163732E-2</v>
      </c>
      <c r="X461">
        <v>1.5146265454846104E-2</v>
      </c>
      <c r="Y461">
        <v>4.1416725613497452E-3</v>
      </c>
    </row>
    <row r="462" spans="1:25" x14ac:dyDescent="0.25">
      <c r="A462" s="1096"/>
      <c r="B462" s="1455">
        <v>212</v>
      </c>
      <c r="C462" s="1100">
        <v>0.99424489217965195</v>
      </c>
      <c r="D462" s="1100">
        <v>0.96597151703552575</v>
      </c>
      <c r="E462" s="1100">
        <v>0.98581020490148852</v>
      </c>
      <c r="F462" s="1100">
        <v>1.0047018788995434</v>
      </c>
      <c r="G462" s="1100">
        <v>1.0151597473115688</v>
      </c>
      <c r="H462" s="1100">
        <v>0.99375890252537247</v>
      </c>
      <c r="I462" s="1100">
        <v>1.031464198277521</v>
      </c>
      <c r="K462">
        <v>2.2380421571517441</v>
      </c>
      <c r="L462">
        <v>0</v>
      </c>
      <c r="M462">
        <v>1.6042161009951498E-3</v>
      </c>
      <c r="N462">
        <v>0.1397339121131794</v>
      </c>
      <c r="O462">
        <v>2.0009463232073959E-2</v>
      </c>
      <c r="P462">
        <v>2.6119031417202336E-2</v>
      </c>
      <c r="Q462">
        <v>5.5008662566795831E-3</v>
      </c>
      <c r="R462">
        <v>1.5815270769425004E-3</v>
      </c>
      <c r="S462">
        <v>0.2543016104846868</v>
      </c>
      <c r="T462">
        <v>1.3501618491366796</v>
      </c>
      <c r="U462">
        <v>0.14356613130087967</v>
      </c>
      <c r="V462">
        <v>0.18677099935797448</v>
      </c>
      <c r="W462">
        <v>9.257752025041989E-2</v>
      </c>
      <c r="X462">
        <v>1.5019067272844324E-2</v>
      </c>
      <c r="Y462">
        <v>4.3043953531766883E-3</v>
      </c>
    </row>
    <row r="463" spans="1:25" x14ac:dyDescent="0.25">
      <c r="A463" s="1096"/>
      <c r="B463" s="1455">
        <v>213</v>
      </c>
      <c r="C463" s="1100">
        <v>1.0248240289402493</v>
      </c>
      <c r="D463" s="1100">
        <v>1.0422038113541465</v>
      </c>
      <c r="E463" s="1100">
        <v>0.98085679587269869</v>
      </c>
      <c r="F463" s="1100">
        <v>1.0241650760173073</v>
      </c>
      <c r="G463" s="1100">
        <v>0.98880445591291655</v>
      </c>
      <c r="H463" s="1100">
        <v>0.95190295439251615</v>
      </c>
      <c r="I463" s="1100">
        <v>1.0010507789930863</v>
      </c>
      <c r="K463">
        <v>2.2049258047032989</v>
      </c>
      <c r="L463">
        <v>0</v>
      </c>
      <c r="M463">
        <v>1.4811935393303697E-3</v>
      </c>
      <c r="N463">
        <v>0.12701920473077671</v>
      </c>
      <c r="O463">
        <v>1.9087725694495336E-2</v>
      </c>
      <c r="P463">
        <v>2.5887260801351172E-2</v>
      </c>
      <c r="Q463">
        <v>5.2211643957977734E-3</v>
      </c>
      <c r="R463">
        <v>1.459323321371586E-3</v>
      </c>
      <c r="S463">
        <v>0.22725579548770983</v>
      </c>
      <c r="T463">
        <v>1.37631110660691</v>
      </c>
      <c r="U463">
        <v>0.13927124541465929</v>
      </c>
      <c r="V463">
        <v>0.18200770087676918</v>
      </c>
      <c r="W463">
        <v>8.4405093884830293E-2</v>
      </c>
      <c r="X463">
        <v>1.4509580012987116E-2</v>
      </c>
      <c r="Y463">
        <v>3.971797014969857E-3</v>
      </c>
    </row>
    <row r="464" spans="1:25" x14ac:dyDescent="0.25">
      <c r="A464" s="1096"/>
      <c r="B464" s="1455">
        <v>214</v>
      </c>
      <c r="C464" s="1100">
        <v>1.0132331383249362</v>
      </c>
      <c r="D464" s="1100">
        <v>0.96755548253207679</v>
      </c>
      <c r="E464" s="1100">
        <v>1.0136615919932905</v>
      </c>
      <c r="F464" s="1100">
        <v>0.98360445758695214</v>
      </c>
      <c r="G464" s="1100">
        <v>0.97964655718161786</v>
      </c>
      <c r="H464" s="1100">
        <v>1.0087245881254041</v>
      </c>
      <c r="I464" s="1100">
        <v>0.98445328638664942</v>
      </c>
      <c r="K464">
        <v>2.1906485331676562</v>
      </c>
      <c r="L464">
        <v>0</v>
      </c>
      <c r="M464">
        <v>1.5076234354899814E-3</v>
      </c>
      <c r="N464">
        <v>0.14287909886689409</v>
      </c>
      <c r="O464">
        <v>1.9644699678286952E-2</v>
      </c>
      <c r="P464">
        <v>2.5964324107512142E-2</v>
      </c>
      <c r="Q464">
        <v>5.5539421000325041E-3</v>
      </c>
      <c r="R464">
        <v>1.4866169088297038E-3</v>
      </c>
      <c r="S464">
        <v>0.2393503317510855</v>
      </c>
      <c r="T464">
        <v>1.3218536640018386</v>
      </c>
      <c r="U464">
        <v>0.14093894738468862</v>
      </c>
      <c r="V464">
        <v>0.18166294123188004</v>
      </c>
      <c r="W464">
        <v>9.3106869204136217E-2</v>
      </c>
      <c r="X464">
        <v>1.5668640205259661E-2</v>
      </c>
      <c r="Y464">
        <v>4.0460811627021668E-3</v>
      </c>
    </row>
    <row r="465" spans="1:25" x14ac:dyDescent="0.25">
      <c r="A465" s="1096"/>
      <c r="B465" s="1455">
        <v>215</v>
      </c>
      <c r="C465" s="1100">
        <v>0.9776886612832405</v>
      </c>
      <c r="D465" s="1100">
        <v>1.0165719547276957</v>
      </c>
      <c r="E465" s="1100">
        <v>1.0013952803385717</v>
      </c>
      <c r="F465" s="1100">
        <v>0.98660375902745268</v>
      </c>
      <c r="G465" s="1100">
        <v>0.98391370103604758</v>
      </c>
      <c r="H465" s="1100">
        <v>0.95459680423719173</v>
      </c>
      <c r="I465" s="1100">
        <v>1.0042609714299093</v>
      </c>
      <c r="K465">
        <v>2.1963644814887617</v>
      </c>
      <c r="L465">
        <v>0</v>
      </c>
      <c r="M465">
        <v>1.5003425430898682E-3</v>
      </c>
      <c r="N465">
        <v>0.1369091391620445</v>
      </c>
      <c r="O465">
        <v>2.0130931694432756E-2</v>
      </c>
      <c r="P465">
        <v>2.593032167055271E-2</v>
      </c>
      <c r="Q465">
        <v>5.6219538311746637E-3</v>
      </c>
      <c r="R465">
        <v>1.4782521001088721E-3</v>
      </c>
      <c r="S465">
        <v>0.24234455018216847</v>
      </c>
      <c r="T465">
        <v>1.3258631491644088</v>
      </c>
      <c r="U465">
        <v>0.14603395105844499</v>
      </c>
      <c r="V465">
        <v>0.18426306735540876</v>
      </c>
      <c r="W465">
        <v>8.9865484131978243E-2</v>
      </c>
      <c r="X465">
        <v>1.5400708770305293E-2</v>
      </c>
      <c r="Y465">
        <v>4.0233149108225156E-3</v>
      </c>
    </row>
    <row r="466" spans="1:25" x14ac:dyDescent="0.25">
      <c r="A466" s="1096"/>
      <c r="B466" s="1455">
        <v>216</v>
      </c>
      <c r="C466" s="1100">
        <v>1.0042546368794383</v>
      </c>
      <c r="D466" s="1100">
        <v>0.97367301755234892</v>
      </c>
      <c r="E466" s="1100">
        <v>0.98961956561711484</v>
      </c>
      <c r="F466" s="1100">
        <v>0.95992087634204593</v>
      </c>
      <c r="G466" s="1100">
        <v>0.96882084511626443</v>
      </c>
      <c r="H466" s="1100">
        <v>1.0197739140255691</v>
      </c>
      <c r="I466" s="1100">
        <v>1.0242936652860761</v>
      </c>
      <c r="K466">
        <v>2.1701516265551626</v>
      </c>
      <c r="L466">
        <v>0</v>
      </c>
      <c r="M466">
        <v>1.614177968877729E-3</v>
      </c>
      <c r="N466">
        <v>0.14228268206280226</v>
      </c>
      <c r="O466">
        <v>1.9777821864354995E-2</v>
      </c>
      <c r="P466">
        <v>2.5239205698967482E-2</v>
      </c>
      <c r="Q466">
        <v>5.4581871930006404E-3</v>
      </c>
      <c r="R466">
        <v>1.5919304546090246E-3</v>
      </c>
      <c r="S466">
        <v>0.25118768643903505</v>
      </c>
      <c r="T466">
        <v>1.2899880422104566</v>
      </c>
      <c r="U466">
        <v>0.14214387536740067</v>
      </c>
      <c r="V466">
        <v>0.18094154241189581</v>
      </c>
      <c r="W466">
        <v>9.4050887453480086E-2</v>
      </c>
      <c r="X466">
        <v>1.47712334503259E-2</v>
      </c>
      <c r="Y466">
        <v>4.3327099177124405E-3</v>
      </c>
    </row>
    <row r="467" spans="1:25" x14ac:dyDescent="0.25">
      <c r="A467" s="1096"/>
      <c r="B467" s="1455">
        <v>217</v>
      </c>
      <c r="C467" s="1100">
        <v>0.99384421520698274</v>
      </c>
      <c r="D467" s="1100">
        <v>1.0337811285687357</v>
      </c>
      <c r="E467" s="1100">
        <v>0.98981774600362304</v>
      </c>
      <c r="F467" s="1100">
        <v>1.0089490113312161</v>
      </c>
      <c r="G467" s="1100">
        <v>0.98468050241802219</v>
      </c>
      <c r="H467" s="1100">
        <v>1.0216311191757175</v>
      </c>
      <c r="I467" s="1100">
        <v>0.96503621337481393</v>
      </c>
      <c r="K467">
        <v>2.2216912983697124</v>
      </c>
      <c r="L467">
        <v>0</v>
      </c>
      <c r="M467">
        <v>1.6120017666638317E-3</v>
      </c>
      <c r="N467">
        <v>0.14217963752249604</v>
      </c>
      <c r="O467">
        <v>1.9723469303243511E-2</v>
      </c>
      <c r="P467">
        <v>2.5931669157024006E-2</v>
      </c>
      <c r="Q467">
        <v>5.4442778627982755E-3</v>
      </c>
      <c r="R467">
        <v>1.5898246348835523E-3</v>
      </c>
      <c r="S467">
        <v>0.2322729469686371</v>
      </c>
      <c r="T467">
        <v>1.3558746918175046</v>
      </c>
      <c r="U467">
        <v>0.14363327701349612</v>
      </c>
      <c r="V467">
        <v>0.18335315286699475</v>
      </c>
      <c r="W467">
        <v>9.3971613884838295E-2</v>
      </c>
      <c r="X467">
        <v>1.5001760533854812E-2</v>
      </c>
      <c r="Y467">
        <v>4.3269785706029932E-3</v>
      </c>
    </row>
    <row r="468" spans="1:25" x14ac:dyDescent="0.25">
      <c r="A468" s="1096"/>
      <c r="B468" s="1455">
        <v>218</v>
      </c>
      <c r="C468" s="1100">
        <v>0.96753440180334527</v>
      </c>
      <c r="D468" s="1100">
        <v>1.0300206886377721</v>
      </c>
      <c r="E468" s="1100">
        <v>1.0160819259886975</v>
      </c>
      <c r="F468" s="1100">
        <v>1.0178650261359272</v>
      </c>
      <c r="G468" s="1100">
        <v>1.0039865348572647</v>
      </c>
      <c r="H468" s="1100">
        <v>1.0088133901822267</v>
      </c>
      <c r="I468" s="1100">
        <v>0.99217865049650189</v>
      </c>
      <c r="K468">
        <v>2.2651312845521718</v>
      </c>
      <c r="L468">
        <v>0</v>
      </c>
      <c r="M468">
        <v>1.5495703523898759E-3</v>
      </c>
      <c r="N468">
        <v>0.14793124410559594</v>
      </c>
      <c r="O468">
        <v>2.0292906339451019E-2</v>
      </c>
      <c r="P468">
        <v>2.6891187423678492E-2</v>
      </c>
      <c r="Q468">
        <v>5.7510632409362899E-3</v>
      </c>
      <c r="R468">
        <v>1.5279812573924898E-3</v>
      </c>
      <c r="S468">
        <v>0.2448976110151676</v>
      </c>
      <c r="T468">
        <v>1.3679007243181771</v>
      </c>
      <c r="U468">
        <v>0.14760157036170823</v>
      </c>
      <c r="V468">
        <v>0.18718242827572715</v>
      </c>
      <c r="W468">
        <v>9.6262131331025957E-2</v>
      </c>
      <c r="X468">
        <v>1.6283345951965063E-2</v>
      </c>
      <c r="Y468">
        <v>4.15866128373623E-3</v>
      </c>
    </row>
    <row r="469" spans="1:25" x14ac:dyDescent="0.25">
      <c r="A469" s="1096"/>
      <c r="B469" s="1455">
        <v>219</v>
      </c>
      <c r="C469" s="1100">
        <v>1.0005192575956734</v>
      </c>
      <c r="D469" s="1100">
        <v>1.0086050821858268</v>
      </c>
      <c r="E469" s="1100">
        <v>1.0210296145769191</v>
      </c>
      <c r="F469" s="1100">
        <v>0.98030331072281673</v>
      </c>
      <c r="G469" s="1100">
        <v>0.99310714360906593</v>
      </c>
      <c r="H469" s="1100">
        <v>1.0034676866775951</v>
      </c>
      <c r="I469" s="1100">
        <v>1.0394982554513514</v>
      </c>
      <c r="K469">
        <v>2.2027563356354216</v>
      </c>
      <c r="L469">
        <v>0</v>
      </c>
      <c r="M469">
        <v>1.4821167455156834E-3</v>
      </c>
      <c r="N469">
        <v>0.14360889732463225</v>
      </c>
      <c r="O469">
        <v>1.9717905360908415E-2</v>
      </c>
      <c r="P469">
        <v>2.6252330170974805E-2</v>
      </c>
      <c r="Q469">
        <v>5.6156824406789511E-3</v>
      </c>
      <c r="R469">
        <v>1.4613574314679078E-3</v>
      </c>
      <c r="S469">
        <v>0.2503095834129121</v>
      </c>
      <c r="T469">
        <v>1.3174314948823618</v>
      </c>
      <c r="U469">
        <v>0.14274689815503791</v>
      </c>
      <c r="V469">
        <v>0.18393529227809483</v>
      </c>
      <c r="W469">
        <v>9.3179064601087352E-2</v>
      </c>
      <c r="X469">
        <v>1.6002613130671417E-2</v>
      </c>
      <c r="Y469">
        <v>3.9773331921078309E-3</v>
      </c>
    </row>
    <row r="470" spans="1:25" x14ac:dyDescent="0.25">
      <c r="A470" s="1096"/>
      <c r="B470" s="1455">
        <v>220</v>
      </c>
      <c r="C470" s="1100">
        <v>1.0104495397241149</v>
      </c>
      <c r="D470" s="1100">
        <v>0.98995429157339321</v>
      </c>
      <c r="E470" s="1100">
        <v>0.99167239049219502</v>
      </c>
      <c r="F470" s="1100">
        <v>1.0171976692906202</v>
      </c>
      <c r="G470" s="1100">
        <v>1.0157276126527159</v>
      </c>
      <c r="H470" s="1100">
        <v>0.97672913887079726</v>
      </c>
      <c r="I470" s="1100">
        <v>0.96291653112597231</v>
      </c>
      <c r="K470">
        <v>2.2181236128170969</v>
      </c>
      <c r="L470">
        <v>0</v>
      </c>
      <c r="M470">
        <v>1.5244733203112627E-3</v>
      </c>
      <c r="N470">
        <v>0.13512890359693078</v>
      </c>
      <c r="O470">
        <v>1.9586254623293903E-2</v>
      </c>
      <c r="P470">
        <v>2.608258063441005E-2</v>
      </c>
      <c r="Q470">
        <v>5.4165426432251449E-3</v>
      </c>
      <c r="R470">
        <v>1.5025361977898312E-3</v>
      </c>
      <c r="S470">
        <v>0.22947503403655256</v>
      </c>
      <c r="T470">
        <v>1.3669622621028916</v>
      </c>
      <c r="U470">
        <v>0.14127708467655892</v>
      </c>
      <c r="V470">
        <v>0.18588347731983679</v>
      </c>
      <c r="W470">
        <v>8.9212415720080027E-2</v>
      </c>
      <c r="X470">
        <v>1.5031586366377621E-2</v>
      </c>
      <c r="Y470">
        <v>4.0894082194594368E-3</v>
      </c>
    </row>
    <row r="471" spans="1:25" x14ac:dyDescent="0.25">
      <c r="A471" s="1096"/>
      <c r="B471" s="1455">
        <v>221</v>
      </c>
      <c r="C471" s="1100">
        <v>1.009079643161181</v>
      </c>
      <c r="D471" s="1100">
        <v>1.0100352001199853</v>
      </c>
      <c r="E471" s="1100">
        <v>0.98586817393755766</v>
      </c>
      <c r="F471" s="1100">
        <v>0.99406120398465281</v>
      </c>
      <c r="G471" s="1100">
        <v>1.0426496946030732</v>
      </c>
      <c r="H471" s="1100">
        <v>1.0314984668720701</v>
      </c>
      <c r="I471" s="1100">
        <v>0.9860478897048045</v>
      </c>
      <c r="K471">
        <v>2.20858726922215</v>
      </c>
      <c r="L471">
        <v>0</v>
      </c>
      <c r="M471">
        <v>1.6244425674294717E-3</v>
      </c>
      <c r="N471">
        <v>0.14159481336187579</v>
      </c>
      <c r="O471">
        <v>1.952280765021263E-2</v>
      </c>
      <c r="P471">
        <v>2.5697633480916984E-2</v>
      </c>
      <c r="Q471">
        <v>5.3673934070075533E-3</v>
      </c>
      <c r="R471">
        <v>1.6023080656267039E-3</v>
      </c>
      <c r="S471">
        <v>0.23718636928222375</v>
      </c>
      <c r="T471">
        <v>1.3358625237876867</v>
      </c>
      <c r="U471">
        <v>0.1414556589907183</v>
      </c>
      <c r="V471">
        <v>0.18900153028196154</v>
      </c>
      <c r="W471">
        <v>9.380714953985686E-2</v>
      </c>
      <c r="X471">
        <v>1.4752569587567353E-2</v>
      </c>
      <c r="Y471">
        <v>4.3609543539240118E-3</v>
      </c>
    </row>
    <row r="472" spans="1:25" x14ac:dyDescent="0.25">
      <c r="A472" s="1096"/>
      <c r="B472" s="1455">
        <v>222</v>
      </c>
      <c r="C472" s="1100">
        <v>0.99323101648713497</v>
      </c>
      <c r="D472" s="1100">
        <v>0.96811588435239326</v>
      </c>
      <c r="E472" s="1100">
        <v>1.0253494025359837</v>
      </c>
      <c r="F472" s="1100">
        <v>0.98037800977322631</v>
      </c>
      <c r="G472" s="1100">
        <v>0.98982491077441681</v>
      </c>
      <c r="H472" s="1100">
        <v>1.000574119257289</v>
      </c>
      <c r="I472" s="1100">
        <v>0.97253240080467518</v>
      </c>
      <c r="K472">
        <v>2.1988501398939668</v>
      </c>
      <c r="L472">
        <v>0</v>
      </c>
      <c r="M472">
        <v>1.488719175104799E-3</v>
      </c>
      <c r="N472">
        <v>0.14613431834372392</v>
      </c>
      <c r="O472">
        <v>2.004518602575096E-2</v>
      </c>
      <c r="P472">
        <v>2.6217281560161617E-2</v>
      </c>
      <c r="Q472">
        <v>5.7334187012939913E-3</v>
      </c>
      <c r="R472">
        <v>1.467807082479327E-3</v>
      </c>
      <c r="S472">
        <v>0.24058840670458154</v>
      </c>
      <c r="T472">
        <v>1.3175407381749924</v>
      </c>
      <c r="U472">
        <v>0.14380441084495277</v>
      </c>
      <c r="V472">
        <v>0.18400354080790629</v>
      </c>
      <c r="W472">
        <v>9.4578924207874615E-2</v>
      </c>
      <c r="X472">
        <v>1.6229939599319201E-2</v>
      </c>
      <c r="Y472">
        <v>3.9948870160340299E-3</v>
      </c>
    </row>
    <row r="473" spans="1:25" x14ac:dyDescent="0.25">
      <c r="A473" s="1096"/>
      <c r="B473" s="1455">
        <v>223</v>
      </c>
      <c r="C473" s="1100">
        <v>0.99644905109424431</v>
      </c>
      <c r="D473" s="1100">
        <v>0.98907345695639814</v>
      </c>
      <c r="E473" s="1100">
        <v>1.0077988550936967</v>
      </c>
      <c r="F473" s="1100">
        <v>1.0253885181210509</v>
      </c>
      <c r="G473" s="1100">
        <v>0.97792966302479223</v>
      </c>
      <c r="H473" s="1100">
        <v>0.96882086993764305</v>
      </c>
      <c r="I473" s="1100">
        <v>0.98701595900246675</v>
      </c>
      <c r="K473">
        <v>2.2419711143549086</v>
      </c>
      <c r="L473">
        <v>0</v>
      </c>
      <c r="M473">
        <v>1.4832238360820604E-3</v>
      </c>
      <c r="N473">
        <v>0.13802039371466696</v>
      </c>
      <c r="O473">
        <v>1.987547261678305E-2</v>
      </c>
      <c r="P473">
        <v>2.6648899645147443E-2</v>
      </c>
      <c r="Q473">
        <v>5.586363711255495E-3</v>
      </c>
      <c r="R473">
        <v>1.4617060697318975E-3</v>
      </c>
      <c r="S473">
        <v>0.23812211713029716</v>
      </c>
      <c r="T473">
        <v>1.3779957722259768</v>
      </c>
      <c r="U473">
        <v>0.14329934035300854</v>
      </c>
      <c r="V473">
        <v>0.18244997616861797</v>
      </c>
      <c r="W473">
        <v>9.0251998473657294E-2</v>
      </c>
      <c r="X473">
        <v>1.5764016011314982E-2</v>
      </c>
      <c r="Y473">
        <v>3.978282070533838E-3</v>
      </c>
    </row>
    <row r="474" spans="1:25" x14ac:dyDescent="0.25">
      <c r="A474" s="1096"/>
      <c r="B474" s="1455">
        <v>224</v>
      </c>
      <c r="C474" s="1100">
        <v>1.0361073272626076</v>
      </c>
      <c r="D474" s="1100">
        <v>0.96006912642660225</v>
      </c>
      <c r="E474" s="1100">
        <v>1.0394263256412117</v>
      </c>
      <c r="F474" s="1100">
        <v>1.0043584762146422</v>
      </c>
      <c r="G474" s="1100">
        <v>1.0079702255470966</v>
      </c>
      <c r="H474" s="1100">
        <v>1.0225898465772276</v>
      </c>
      <c r="I474" s="1100">
        <v>0.97961177161081692</v>
      </c>
      <c r="K474">
        <v>2.2170444090403518</v>
      </c>
      <c r="L474">
        <v>0</v>
      </c>
      <c r="M474">
        <v>1.4189406853590671E-3</v>
      </c>
      <c r="N474">
        <v>0.14536616327099466</v>
      </c>
      <c r="O474">
        <v>1.9259595818208703E-2</v>
      </c>
      <c r="P474">
        <v>2.6772738954440604E-2</v>
      </c>
      <c r="Q474">
        <v>5.5858241382279981E-3</v>
      </c>
      <c r="R474">
        <v>1.3994378954648233E-3</v>
      </c>
      <c r="S474">
        <v>0.23507860486191481</v>
      </c>
      <c r="T474">
        <v>1.3498006705776393</v>
      </c>
      <c r="U474">
        <v>0.13788491267411282</v>
      </c>
      <c r="V474">
        <v>0.18359444404625697</v>
      </c>
      <c r="W474">
        <v>9.3317553175740225E-2</v>
      </c>
      <c r="X474">
        <v>1.6594595685832166E-2</v>
      </c>
      <c r="Y474">
        <v>3.8088086268769925E-3</v>
      </c>
    </row>
    <row r="475" spans="1:25" x14ac:dyDescent="0.25">
      <c r="A475" s="1096"/>
      <c r="B475" s="1455">
        <v>225</v>
      </c>
      <c r="C475" s="1100">
        <v>0.99600888106871777</v>
      </c>
      <c r="D475" s="1100">
        <v>0.99137909009955427</v>
      </c>
      <c r="E475" s="1100">
        <v>1.0341357822939692</v>
      </c>
      <c r="F475" s="1100">
        <v>0.96921093626681554</v>
      </c>
      <c r="G475" s="1100">
        <v>1.0036106062433892</v>
      </c>
      <c r="H475" s="1100">
        <v>0.99088025283638748</v>
      </c>
      <c r="I475" s="1100">
        <v>0.98889237043681733</v>
      </c>
      <c r="K475">
        <v>2.1817070961267757</v>
      </c>
      <c r="L475">
        <v>0</v>
      </c>
      <c r="M475">
        <v>1.4359915531868637E-3</v>
      </c>
      <c r="N475">
        <v>0.14472189443042385</v>
      </c>
      <c r="O475">
        <v>1.9890675356942656E-2</v>
      </c>
      <c r="P475">
        <v>2.6186470006248068E-2</v>
      </c>
      <c r="Q475">
        <v>5.7388697944776284E-3</v>
      </c>
      <c r="R475">
        <v>1.4156227886052389E-3</v>
      </c>
      <c r="S475">
        <v>0.24036044171364773</v>
      </c>
      <c r="T475">
        <v>1.3025521774934179</v>
      </c>
      <c r="U475">
        <v>0.14342374210626871</v>
      </c>
      <c r="V475">
        <v>0.18540327092193903</v>
      </c>
      <c r="W475">
        <v>9.3188198120159077E-2</v>
      </c>
      <c r="X475">
        <v>1.6408866377173734E-2</v>
      </c>
      <c r="Y475">
        <v>3.8528585706566138E-3</v>
      </c>
    </row>
    <row r="476" spans="1:25" x14ac:dyDescent="0.25">
      <c r="A476" s="1096"/>
      <c r="B476" s="1455">
        <v>226</v>
      </c>
      <c r="C476" s="1100">
        <v>1.0181885396132451</v>
      </c>
      <c r="D476" s="1100">
        <v>0.99150804532995429</v>
      </c>
      <c r="E476" s="1100">
        <v>0.98119892334514613</v>
      </c>
      <c r="F476" s="1100">
        <v>1.0431108467967491</v>
      </c>
      <c r="G476" s="1100">
        <v>0.99137296136823283</v>
      </c>
      <c r="H476" s="1100">
        <v>1.0058350086218744</v>
      </c>
      <c r="I476" s="1100">
        <v>0.97966780210184801</v>
      </c>
      <c r="K476">
        <v>2.2560186741600221</v>
      </c>
      <c r="L476">
        <v>0</v>
      </c>
      <c r="M476">
        <v>1.5915639657923327E-3</v>
      </c>
      <c r="N476">
        <v>0.13673511281595474</v>
      </c>
      <c r="O476">
        <v>1.9424255375687843E-2</v>
      </c>
      <c r="P476">
        <v>2.6344121752200557E-2</v>
      </c>
      <c r="Q476">
        <v>5.315063971443477E-3</v>
      </c>
      <c r="R476">
        <v>1.5693241427502387E-3</v>
      </c>
      <c r="S476">
        <v>0.23368069125922844</v>
      </c>
      <c r="T476">
        <v>1.401771557831986</v>
      </c>
      <c r="U476">
        <v>0.14017964117222714</v>
      </c>
      <c r="V476">
        <v>0.18267546469466964</v>
      </c>
      <c r="W476">
        <v>9.0842625137131122E-2</v>
      </c>
      <c r="X476">
        <v>1.4801196983531162E-2</v>
      </c>
      <c r="Y476">
        <v>4.2711829890015257E-3</v>
      </c>
    </row>
    <row r="477" spans="1:25" x14ac:dyDescent="0.25">
      <c r="A477" s="1096"/>
      <c r="B477" s="1455">
        <v>227</v>
      </c>
      <c r="C477" s="1100">
        <v>0.96321091842932627</v>
      </c>
      <c r="D477" s="1100">
        <v>0.98653804261660749</v>
      </c>
      <c r="E477" s="1100">
        <v>1.0323733138249545</v>
      </c>
      <c r="F477" s="1100">
        <v>0.98441856179668985</v>
      </c>
      <c r="G477" s="1100">
        <v>1.021724418071438</v>
      </c>
      <c r="H477" s="1100">
        <v>1.0106772085651159</v>
      </c>
      <c r="I477" s="1100">
        <v>1.0408001163005314</v>
      </c>
      <c r="K477">
        <v>2.2500337540621937</v>
      </c>
      <c r="L477">
        <v>0</v>
      </c>
      <c r="M477">
        <v>1.5217680374109393E-3</v>
      </c>
      <c r="N477">
        <v>0.15259710723804185</v>
      </c>
      <c r="O477">
        <v>2.0588975781542732E-2</v>
      </c>
      <c r="P477">
        <v>2.6893261695293082E-2</v>
      </c>
      <c r="Q477">
        <v>5.930020002380086E-3</v>
      </c>
      <c r="R477">
        <v>1.5006053916290134E-3</v>
      </c>
      <c r="S477">
        <v>0.26393991074553169</v>
      </c>
      <c r="T477">
        <v>1.3229861715097839</v>
      </c>
      <c r="U477">
        <v>0.14830318068872861</v>
      </c>
      <c r="V477">
        <v>0.18947816147809038</v>
      </c>
      <c r="W477">
        <v>9.8359464854229736E-2</v>
      </c>
      <c r="X477">
        <v>1.6894509512773329E-2</v>
      </c>
      <c r="Y477">
        <v>4.0841532015797712E-3</v>
      </c>
    </row>
    <row r="478" spans="1:25" x14ac:dyDescent="0.25">
      <c r="A478" s="1096"/>
      <c r="B478" s="1455">
        <v>228</v>
      </c>
      <c r="C478" s="1100">
        <v>0.9739312368165336</v>
      </c>
      <c r="D478" s="1100">
        <v>0.9678958755928726</v>
      </c>
      <c r="E478" s="1100">
        <v>0.9769977506349905</v>
      </c>
      <c r="F478" s="1100">
        <v>1.002952810890047</v>
      </c>
      <c r="G478" s="1100">
        <v>0.98260297222092297</v>
      </c>
      <c r="H478" s="1100">
        <v>0.9962202160201683</v>
      </c>
      <c r="I478" s="1100">
        <v>0.99394690964526866</v>
      </c>
      <c r="K478">
        <v>2.2359609384762758</v>
      </c>
      <c r="L478">
        <v>0</v>
      </c>
      <c r="M478">
        <v>1.67119723578257E-3</v>
      </c>
      <c r="N478">
        <v>0.14174359298513395</v>
      </c>
      <c r="O478">
        <v>2.0412190613107888E-2</v>
      </c>
      <c r="P478">
        <v>2.5863472868272293E-2</v>
      </c>
      <c r="Q478">
        <v>5.5615818835358603E-3</v>
      </c>
      <c r="R478">
        <v>1.6476192698951482E-3</v>
      </c>
      <c r="S478">
        <v>0.25004561293525457</v>
      </c>
      <c r="T478">
        <v>1.3478008996771933</v>
      </c>
      <c r="U478">
        <v>0.14653977491816172</v>
      </c>
      <c r="V478">
        <v>0.18432725521971982</v>
      </c>
      <c r="W478">
        <v>9.4409468293966126E-2</v>
      </c>
      <c r="X478">
        <v>1.479639053270672E-2</v>
      </c>
      <c r="Y478">
        <v>4.4842765151082431E-3</v>
      </c>
    </row>
    <row r="479" spans="1:25" x14ac:dyDescent="0.25">
      <c r="A479" s="1096"/>
      <c r="B479" s="1455">
        <v>229</v>
      </c>
      <c r="C479" s="1100">
        <v>0.97541081556278808</v>
      </c>
      <c r="D479" s="1100">
        <v>1.0122639244535294</v>
      </c>
      <c r="E479" s="1100">
        <v>1.0166659556533839</v>
      </c>
      <c r="F479" s="1100">
        <v>1.0280120362307477</v>
      </c>
      <c r="G479" s="1100">
        <v>0.99128732238159767</v>
      </c>
      <c r="H479" s="1100">
        <v>0.99467492588488948</v>
      </c>
      <c r="I479" s="1100">
        <v>1.0271128346033873</v>
      </c>
      <c r="K479">
        <v>2.278943201214604</v>
      </c>
      <c r="L479">
        <v>0</v>
      </c>
      <c r="M479">
        <v>1.519478324413731E-3</v>
      </c>
      <c r="N479">
        <v>0.14528516589415219</v>
      </c>
      <c r="O479">
        <v>2.0206570890506662E-2</v>
      </c>
      <c r="P479">
        <v>2.7152507430818321E-2</v>
      </c>
      <c r="Q479">
        <v>5.7299280783941744E-3</v>
      </c>
      <c r="R479">
        <v>1.4980075694353229E-3</v>
      </c>
      <c r="S479">
        <v>0.2524621709342898</v>
      </c>
      <c r="T479">
        <v>1.3815383785216768</v>
      </c>
      <c r="U479">
        <v>0.14641107398631178</v>
      </c>
      <c r="V479">
        <v>0.18525231562596489</v>
      </c>
      <c r="W479">
        <v>9.4507879708701212E-2</v>
      </c>
      <c r="X479">
        <v>1.6341598112824592E-2</v>
      </c>
      <c r="Y479">
        <v>4.0770827859404005E-3</v>
      </c>
    </row>
    <row r="480" spans="1:25" x14ac:dyDescent="0.25">
      <c r="A480" s="1096"/>
      <c r="B480" s="1455">
        <v>230</v>
      </c>
      <c r="C480" s="1100">
        <v>1.0035363038534311</v>
      </c>
      <c r="D480" s="1100">
        <v>1.0139292465324741</v>
      </c>
      <c r="E480" s="1100">
        <v>1.010597380721894</v>
      </c>
      <c r="F480" s="1100">
        <v>1.0123341744293186</v>
      </c>
      <c r="G480" s="1100">
        <v>0.98737186607619243</v>
      </c>
      <c r="H480" s="1100">
        <v>0.9684687036400943</v>
      </c>
      <c r="I480" s="1100">
        <v>0.99309212626999177</v>
      </c>
      <c r="K480">
        <v>2.2177270740880966</v>
      </c>
      <c r="L480">
        <v>0</v>
      </c>
      <c r="M480">
        <v>1.4557096186911655E-3</v>
      </c>
      <c r="N480">
        <v>0.13660872912963085</v>
      </c>
      <c r="O480">
        <v>1.9629378632888807E-2</v>
      </c>
      <c r="P480">
        <v>2.6414353993886662E-2</v>
      </c>
      <c r="Q480">
        <v>5.5326574104470035E-3</v>
      </c>
      <c r="R480">
        <v>1.434583333528018E-3</v>
      </c>
      <c r="S480">
        <v>0.23494663226382076</v>
      </c>
      <c r="T480">
        <v>1.3604574176202344</v>
      </c>
      <c r="U480">
        <v>0.14229375004938011</v>
      </c>
      <c r="V480">
        <v>0.18309926143651262</v>
      </c>
      <c r="W480">
        <v>8.9181522095318572E-2</v>
      </c>
      <c r="X480">
        <v>1.5680034817545464E-2</v>
      </c>
      <c r="Y480">
        <v>3.9044629235944644E-3</v>
      </c>
    </row>
    <row r="481" spans="1:25" x14ac:dyDescent="0.25">
      <c r="A481" s="1096"/>
      <c r="B481" s="1455">
        <v>231</v>
      </c>
      <c r="C481" s="1100">
        <v>1.0055267001157042</v>
      </c>
      <c r="D481" s="1100">
        <v>1.0235779653462933</v>
      </c>
      <c r="E481" s="1100">
        <v>0.97766994088101178</v>
      </c>
      <c r="F481" s="1100">
        <v>0.97954259922033926</v>
      </c>
      <c r="G481" s="1100">
        <v>0.96999671389694309</v>
      </c>
      <c r="H481" s="1100">
        <v>0.97191845643528263</v>
      </c>
      <c r="I481" s="1100">
        <v>1.0270164311304031</v>
      </c>
      <c r="K481">
        <v>2.1696726137000226</v>
      </c>
      <c r="L481">
        <v>0</v>
      </c>
      <c r="M481">
        <v>1.5577192393428094E-3</v>
      </c>
      <c r="N481">
        <v>0.13234055078228191</v>
      </c>
      <c r="O481">
        <v>1.9529413680746226E-2</v>
      </c>
      <c r="P481">
        <v>2.5231787987363061E-2</v>
      </c>
      <c r="Q481">
        <v>5.3246992343789212E-3</v>
      </c>
      <c r="R481">
        <v>1.5351927594708776E-3</v>
      </c>
      <c r="S481">
        <v>0.24137737224676578</v>
      </c>
      <c r="T481">
        <v>1.3163422103649094</v>
      </c>
      <c r="U481">
        <v>0.14193676423600238</v>
      </c>
      <c r="V481">
        <v>0.18098952237325658</v>
      </c>
      <c r="W481">
        <v>8.8110650180458411E-2</v>
      </c>
      <c r="X481">
        <v>1.4333880478607496E-2</v>
      </c>
      <c r="Y481">
        <v>4.1782886151225792E-3</v>
      </c>
    </row>
    <row r="482" spans="1:25" x14ac:dyDescent="0.25">
      <c r="A482" s="1096"/>
      <c r="B482" s="1455">
        <v>232</v>
      </c>
      <c r="C482" s="1100">
        <v>0.9906273498212872</v>
      </c>
      <c r="D482" s="1100">
        <v>1.0127175268607482</v>
      </c>
      <c r="E482" s="1100">
        <v>1.0060995808995568</v>
      </c>
      <c r="F482" s="1100">
        <v>1.0127747009713257</v>
      </c>
      <c r="G482" s="1100">
        <v>0.99078083740684564</v>
      </c>
      <c r="H482" s="1100">
        <v>0.97474253304884928</v>
      </c>
      <c r="I482" s="1100">
        <v>1.0168011044184804</v>
      </c>
      <c r="K482">
        <v>2.2349559020044873</v>
      </c>
      <c r="L482">
        <v>0</v>
      </c>
      <c r="M482">
        <v>1.4985568094758386E-3</v>
      </c>
      <c r="N482">
        <v>0.13874589403161122</v>
      </c>
      <c r="O482">
        <v>1.9887570754740479E-2</v>
      </c>
      <c r="P482">
        <v>2.6504103079141139E-2</v>
      </c>
      <c r="Q482">
        <v>5.5802610801276254E-3</v>
      </c>
      <c r="R482">
        <v>1.4769486751295242E-3</v>
      </c>
      <c r="S482">
        <v>0.24431613569696506</v>
      </c>
      <c r="T482">
        <v>1.3610413579449314</v>
      </c>
      <c r="U482">
        <v>0.14413752583500047</v>
      </c>
      <c r="V482">
        <v>0.18425098260914741</v>
      </c>
      <c r="W482">
        <v>9.081758000464582E-2</v>
      </c>
      <c r="X482">
        <v>1.5676331684819328E-2</v>
      </c>
      <c r="Y482">
        <v>4.0197674177026594E-3</v>
      </c>
    </row>
    <row r="483" spans="1:25" x14ac:dyDescent="0.25">
      <c r="A483" s="1096"/>
      <c r="B483" s="1455">
        <v>233</v>
      </c>
      <c r="C483" s="1100">
        <v>0.95800895804303421</v>
      </c>
      <c r="D483" s="1100">
        <v>0.99108964267764799</v>
      </c>
      <c r="E483" s="1100">
        <v>1.0303227976972775</v>
      </c>
      <c r="F483" s="1100">
        <v>0.9639647753870052</v>
      </c>
      <c r="G483" s="1100">
        <v>0.98498603732896206</v>
      </c>
      <c r="H483" s="1100">
        <v>1.0166496973096011</v>
      </c>
      <c r="I483" s="1100">
        <v>1.0041144413045884</v>
      </c>
      <c r="K483">
        <v>2.2131174710292481</v>
      </c>
      <c r="L483">
        <v>0</v>
      </c>
      <c r="M483">
        <v>1.5440998536776524E-3</v>
      </c>
      <c r="N483">
        <v>0.15389514106022917</v>
      </c>
      <c r="O483">
        <v>2.067847462654504E-2</v>
      </c>
      <c r="P483">
        <v>2.6315689316665961E-2</v>
      </c>
      <c r="Q483">
        <v>5.9437441371371106E-3</v>
      </c>
      <c r="R483">
        <v>1.5227527960237613E-3</v>
      </c>
      <c r="S483">
        <v>0.25591825562820619</v>
      </c>
      <c r="T483">
        <v>1.2954933108661406</v>
      </c>
      <c r="U483">
        <v>0.14910351147534884</v>
      </c>
      <c r="V483">
        <v>0.1856583007151823</v>
      </c>
      <c r="W483">
        <v>9.9314154076508412E-2</v>
      </c>
      <c r="X483">
        <v>1.6673805049485756E-2</v>
      </c>
      <c r="Y483">
        <v>4.1444311354523781E-3</v>
      </c>
    </row>
    <row r="484" spans="1:25" x14ac:dyDescent="0.25">
      <c r="A484" s="1096"/>
      <c r="B484" s="1455">
        <v>234</v>
      </c>
      <c r="C484" s="1100">
        <v>0.99883759352846924</v>
      </c>
      <c r="D484" s="1100">
        <v>0.97359741606702443</v>
      </c>
      <c r="E484" s="1100">
        <v>1.0383336661509033</v>
      </c>
      <c r="F484" s="1100">
        <v>1.0230715535457986</v>
      </c>
      <c r="G484" s="1100">
        <v>1.0094302412897926</v>
      </c>
      <c r="H484" s="1100">
        <v>0.98933374576756949</v>
      </c>
      <c r="I484" s="1100">
        <v>1.025811762245695</v>
      </c>
      <c r="K484">
        <v>2.2670642833723864</v>
      </c>
      <c r="L484">
        <v>0</v>
      </c>
      <c r="M484">
        <v>1.4228812601804971E-3</v>
      </c>
      <c r="N484">
        <v>0.1452227499677427</v>
      </c>
      <c r="O484">
        <v>1.9916133946385865E-2</v>
      </c>
      <c r="P484">
        <v>2.7429707547669824E-2</v>
      </c>
      <c r="Q484">
        <v>5.7700321813602294E-3</v>
      </c>
      <c r="R484">
        <v>1.4026669086644084E-3</v>
      </c>
      <c r="S484">
        <v>0.25080165795471521</v>
      </c>
      <c r="T484">
        <v>1.3749472734707919</v>
      </c>
      <c r="U484">
        <v>0.1430272939690822</v>
      </c>
      <c r="V484">
        <v>0.18589621844520857</v>
      </c>
      <c r="W484">
        <v>9.3284226974575737E-2</v>
      </c>
      <c r="X484">
        <v>1.6971606330005985E-2</v>
      </c>
      <c r="Y484">
        <v>3.8175969363623496E-3</v>
      </c>
    </row>
    <row r="485" spans="1:25" x14ac:dyDescent="0.25">
      <c r="A485" s="1096"/>
      <c r="B485" s="1455">
        <v>235</v>
      </c>
      <c r="C485" s="1100">
        <v>0.99886543952877616</v>
      </c>
      <c r="D485" s="1100">
        <v>1.002643963831642</v>
      </c>
      <c r="E485" s="1100">
        <v>0.97522325382584663</v>
      </c>
      <c r="F485" s="1100">
        <v>1.0274883780172273</v>
      </c>
      <c r="G485" s="1100">
        <v>1.0140033851114685</v>
      </c>
      <c r="H485" s="1100">
        <v>0.96082819976409628</v>
      </c>
      <c r="I485" s="1100">
        <v>1.0221549129915624</v>
      </c>
      <c r="K485">
        <v>2.2434877398473629</v>
      </c>
      <c r="L485">
        <v>0</v>
      </c>
      <c r="M485">
        <v>1.5651716736274504E-3</v>
      </c>
      <c r="N485">
        <v>0.13197033459107499</v>
      </c>
      <c r="O485">
        <v>1.9747705590264775E-2</v>
      </c>
      <c r="P485">
        <v>2.6159354351110217E-2</v>
      </c>
      <c r="Q485">
        <v>5.3708172506252054E-3</v>
      </c>
      <c r="R485">
        <v>1.5422761692391661E-3</v>
      </c>
      <c r="S485">
        <v>0.24341954269887117</v>
      </c>
      <c r="T485">
        <v>1.3807706517755971</v>
      </c>
      <c r="U485">
        <v>0.14287769792602631</v>
      </c>
      <c r="V485">
        <v>0.186355413805811</v>
      </c>
      <c r="W485">
        <v>8.7994435320803935E-2</v>
      </c>
      <c r="X485">
        <v>1.4647114720097502E-2</v>
      </c>
      <c r="Y485">
        <v>4.1975673214664595E-3</v>
      </c>
    </row>
    <row r="486" spans="1:25" x14ac:dyDescent="0.25">
      <c r="A486" s="1096"/>
      <c r="B486" s="1455">
        <v>236</v>
      </c>
      <c r="C486" s="1100">
        <v>1.0212574418283369</v>
      </c>
      <c r="D486" s="1100">
        <v>1.0067465159713651</v>
      </c>
      <c r="E486" s="1100">
        <v>0.97905154015970031</v>
      </c>
      <c r="F486" s="1100">
        <v>1.0171287477678492</v>
      </c>
      <c r="G486" s="1100">
        <v>1.0191702739945376</v>
      </c>
      <c r="H486" s="1100">
        <v>1.0235074918459866</v>
      </c>
      <c r="I486" s="1100">
        <v>1.0063648707796695</v>
      </c>
      <c r="K486">
        <v>2.2303432804995937</v>
      </c>
      <c r="L486">
        <v>0</v>
      </c>
      <c r="M486">
        <v>1.6164137585913669E-3</v>
      </c>
      <c r="N486">
        <v>0.13800443902608184</v>
      </c>
      <c r="O486">
        <v>1.9299705185615745E-2</v>
      </c>
      <c r="P486">
        <v>2.5936393405212078E-2</v>
      </c>
      <c r="Q486">
        <v>5.2694703890299802E-3</v>
      </c>
      <c r="R486">
        <v>1.5942166968846252E-3</v>
      </c>
      <c r="S486">
        <v>0.2388919488765637</v>
      </c>
      <c r="T486">
        <v>1.3668533092732276</v>
      </c>
      <c r="U486">
        <v>0.13975357252331694</v>
      </c>
      <c r="V486">
        <v>0.18564092374525773</v>
      </c>
      <c r="W486">
        <v>9.1804875595002097E-2</v>
      </c>
      <c r="X486">
        <v>1.4571907226462863E-2</v>
      </c>
      <c r="Y486">
        <v>4.3389323155270639E-3</v>
      </c>
    </row>
    <row r="487" spans="1:25" x14ac:dyDescent="0.25">
      <c r="A487" s="1096"/>
      <c r="B487" s="1455">
        <v>237</v>
      </c>
      <c r="C487" s="1100">
        <v>1.0131609197864633</v>
      </c>
      <c r="D487" s="1100">
        <v>1.013569056326399</v>
      </c>
      <c r="E487" s="1100">
        <v>0.98696245378391601</v>
      </c>
      <c r="F487" s="1100">
        <v>1.044897795725876</v>
      </c>
      <c r="G487" s="1100">
        <v>0.99860459885335573</v>
      </c>
      <c r="H487" s="1100">
        <v>0.99695325916081556</v>
      </c>
      <c r="I487" s="1100">
        <v>0.98755030147630463</v>
      </c>
      <c r="K487">
        <v>2.2593237035775116</v>
      </c>
      <c r="L487">
        <v>0</v>
      </c>
      <c r="M487">
        <v>1.5589787216159193E-3</v>
      </c>
      <c r="N487">
        <v>0.13627383356796624</v>
      </c>
      <c r="O487">
        <v>1.9429901137615491E-2</v>
      </c>
      <c r="P487">
        <v>2.6513932438933269E-2</v>
      </c>
      <c r="Q487">
        <v>5.3477741392340978E-3</v>
      </c>
      <c r="R487">
        <v>1.537000154922334E-3</v>
      </c>
      <c r="S487">
        <v>0.23350170388337246</v>
      </c>
      <c r="T487">
        <v>1.4041804201174304</v>
      </c>
      <c r="U487">
        <v>0.14088831994291448</v>
      </c>
      <c r="V487">
        <v>0.18378682111882705</v>
      </c>
      <c r="W487">
        <v>9.0222646326358111E-2</v>
      </c>
      <c r="X487">
        <v>1.5017121721820487E-2</v>
      </c>
      <c r="Y487">
        <v>4.1832077497336931E-3</v>
      </c>
    </row>
    <row r="488" spans="1:25" x14ac:dyDescent="0.25">
      <c r="A488" s="1096"/>
      <c r="B488" s="1455">
        <v>238</v>
      </c>
      <c r="C488" s="1100">
        <v>0.98155377498339713</v>
      </c>
      <c r="D488" s="1100">
        <v>1.0066134094970569</v>
      </c>
      <c r="E488" s="1100">
        <v>1.0195813603957553</v>
      </c>
      <c r="F488" s="1100">
        <v>0.98741262381565242</v>
      </c>
      <c r="G488" s="1100">
        <v>0.97682748254509777</v>
      </c>
      <c r="H488" s="1100">
        <v>0.95589994102169251</v>
      </c>
      <c r="I488" s="1100">
        <v>0.99131116262284602</v>
      </c>
      <c r="K488">
        <v>2.1969819212012855</v>
      </c>
      <c r="L488">
        <v>0</v>
      </c>
      <c r="M488">
        <v>1.444110416711573E-3</v>
      </c>
      <c r="N488">
        <v>0.13921781180309414</v>
      </c>
      <c r="O488">
        <v>2.0106711615804618E-2</v>
      </c>
      <c r="P488">
        <v>2.6238326730597582E-2</v>
      </c>
      <c r="Q488">
        <v>5.7181774932567033E-3</v>
      </c>
      <c r="R488">
        <v>1.4228768992940921E-3</v>
      </c>
      <c r="S488">
        <v>0.23970007488169823</v>
      </c>
      <c r="T488">
        <v>1.3269828122595297</v>
      </c>
      <c r="U488">
        <v>0.14550163173021918</v>
      </c>
      <c r="V488">
        <v>0.18323988169692465</v>
      </c>
      <c r="W488">
        <v>9.0406507833906816E-2</v>
      </c>
      <c r="X488">
        <v>1.6018616805035094E-2</v>
      </c>
      <c r="Y488">
        <v>3.8726018686347273E-3</v>
      </c>
    </row>
    <row r="489" spans="1:25" x14ac:dyDescent="0.25">
      <c r="A489" s="1096"/>
      <c r="B489" s="1455">
        <v>239</v>
      </c>
      <c r="C489" s="1100">
        <v>0.9995751113748379</v>
      </c>
      <c r="D489" s="1100">
        <v>0.99912219994720974</v>
      </c>
      <c r="E489" s="1100">
        <v>0.99122617051251771</v>
      </c>
      <c r="F489" s="1100">
        <v>1.0197348821858261</v>
      </c>
      <c r="G489" s="1100">
        <v>0.9687391419596374</v>
      </c>
      <c r="H489" s="1100">
        <v>1.0130432637595901</v>
      </c>
      <c r="I489" s="1100">
        <v>1.0411728543093615</v>
      </c>
      <c r="K489">
        <v>2.2529564853215485</v>
      </c>
      <c r="L489">
        <v>0</v>
      </c>
      <c r="M489">
        <v>1.5965905563336874E-3</v>
      </c>
      <c r="N489">
        <v>0.1414045430973386</v>
      </c>
      <c r="O489">
        <v>1.9758942975043447E-2</v>
      </c>
      <c r="P489">
        <v>2.6392344333296163E-2</v>
      </c>
      <c r="Q489">
        <v>5.4618372958471868E-3</v>
      </c>
      <c r="R489">
        <v>1.5744392399557961E-3</v>
      </c>
      <c r="S489">
        <v>0.25269417252711268</v>
      </c>
      <c r="T489">
        <v>1.3703712589076762</v>
      </c>
      <c r="U489">
        <v>0.14281301886387471</v>
      </c>
      <c r="V489">
        <v>0.18121021196259052</v>
      </c>
      <c r="W489">
        <v>9.3380537378191214E-2</v>
      </c>
      <c r="X489">
        <v>1.5206664699549991E-2</v>
      </c>
      <c r="Y489">
        <v>4.2851045974037138E-3</v>
      </c>
    </row>
    <row r="490" spans="1:25" x14ac:dyDescent="0.25">
      <c r="A490" s="1096"/>
      <c r="B490" s="1455">
        <v>240</v>
      </c>
      <c r="C490" s="1100">
        <v>0.98400236536569941</v>
      </c>
      <c r="D490" s="1100">
        <v>0.98326541690452429</v>
      </c>
      <c r="E490" s="1100">
        <v>1.0294064912204213</v>
      </c>
      <c r="F490" s="1100">
        <v>0.99466526190408133</v>
      </c>
      <c r="G490" s="1100">
        <v>1.0059577788315845</v>
      </c>
      <c r="H490" s="1100">
        <v>1.0080251728940139</v>
      </c>
      <c r="I490" s="1100">
        <v>0.9717465608753767</v>
      </c>
      <c r="K490">
        <v>2.2274908382793308</v>
      </c>
      <c r="L490">
        <v>0</v>
      </c>
      <c r="M490">
        <v>1.4960129278238374E-3</v>
      </c>
      <c r="N490">
        <v>0.1486733501135109</v>
      </c>
      <c r="O490">
        <v>2.0166780672783133E-2</v>
      </c>
      <c r="P490">
        <v>2.662599619714039E-2</v>
      </c>
      <c r="Q490">
        <v>5.7914152387947082E-3</v>
      </c>
      <c r="R490">
        <v>1.4751537135318305E-3</v>
      </c>
      <c r="S490">
        <v>0.24138871509970566</v>
      </c>
      <c r="T490">
        <v>1.3367503300672838</v>
      </c>
      <c r="U490">
        <v>0.14516263940976831</v>
      </c>
      <c r="V490">
        <v>0.18639124530580484</v>
      </c>
      <c r="W490">
        <v>9.5995392882622821E-2</v>
      </c>
      <c r="X490">
        <v>1.6550950382263781E-2</v>
      </c>
      <c r="Y490">
        <v>4.0148821239426695E-3</v>
      </c>
    </row>
    <row r="491" spans="1:25" x14ac:dyDescent="0.25">
      <c r="A491" s="1096"/>
      <c r="B491" s="1455">
        <v>241</v>
      </c>
      <c r="C491" s="1100">
        <v>1.0037698390456793</v>
      </c>
      <c r="D491" s="1100">
        <v>1.0270961664502776</v>
      </c>
      <c r="E491" s="1100">
        <v>0.9674689510865413</v>
      </c>
      <c r="F491" s="1100">
        <v>1.0067627231089555</v>
      </c>
      <c r="G491" s="1100">
        <v>0.99067776113071282</v>
      </c>
      <c r="H491" s="1100">
        <v>1.0018252386897193</v>
      </c>
      <c r="I491" s="1100">
        <v>0.99069215170908032</v>
      </c>
      <c r="K491">
        <v>2.208341144356162</v>
      </c>
      <c r="L491">
        <v>0</v>
      </c>
      <c r="M491">
        <v>1.6414694029119584E-3</v>
      </c>
      <c r="N491">
        <v>0.13527421668665759</v>
      </c>
      <c r="O491">
        <v>1.9542549697570293E-2</v>
      </c>
      <c r="P491">
        <v>2.5474706130331596E-2</v>
      </c>
      <c r="Q491">
        <v>5.2730943045544137E-3</v>
      </c>
      <c r="R491">
        <v>1.618440417736377E-3</v>
      </c>
      <c r="S491">
        <v>0.23512365382862513</v>
      </c>
      <c r="T491">
        <v>1.3529113590052848</v>
      </c>
      <c r="U491">
        <v>0.14216189733779824</v>
      </c>
      <c r="V491">
        <v>0.18342210177982252</v>
      </c>
      <c r="W491">
        <v>9.0623618118166258E-2</v>
      </c>
      <c r="X491">
        <v>1.4152115154187826E-2</v>
      </c>
      <c r="Y491">
        <v>4.4048612983380985E-3</v>
      </c>
    </row>
    <row r="492" spans="1:25" x14ac:dyDescent="0.25">
      <c r="A492" s="1096"/>
      <c r="B492" s="1455">
        <v>242</v>
      </c>
      <c r="C492" s="1100">
        <v>0.98515978460896036</v>
      </c>
      <c r="D492" s="1100">
        <v>0.97144753322628408</v>
      </c>
      <c r="E492" s="1100">
        <v>1.0073435189606017</v>
      </c>
      <c r="F492" s="1100">
        <v>0.97251824185191316</v>
      </c>
      <c r="G492" s="1100">
        <v>1.0169076873748</v>
      </c>
      <c r="H492" s="1100">
        <v>1.0226623336471319</v>
      </c>
      <c r="I492" s="1100">
        <v>1.0227711626322737</v>
      </c>
      <c r="K492">
        <v>2.2123761966030036</v>
      </c>
      <c r="L492">
        <v>0</v>
      </c>
      <c r="M492">
        <v>1.5913752190021089E-3</v>
      </c>
      <c r="N492">
        <v>0.14799549883098104</v>
      </c>
      <c r="O492">
        <v>2.0182624999874613E-2</v>
      </c>
      <c r="P492">
        <v>2.6007754481054683E-2</v>
      </c>
      <c r="Q492">
        <v>5.6701095592605905E-3</v>
      </c>
      <c r="R492">
        <v>1.5695039336226136E-3</v>
      </c>
      <c r="S492">
        <v>0.25635406036654323</v>
      </c>
      <c r="T492">
        <v>1.306943860471701</v>
      </c>
      <c r="U492">
        <v>0.14494038874537318</v>
      </c>
      <c r="V492">
        <v>0.18753772831367785</v>
      </c>
      <c r="W492">
        <v>9.680079056226748E-2</v>
      </c>
      <c r="X492">
        <v>1.5693579237159201E-2</v>
      </c>
      <c r="Y492">
        <v>4.2716723204880881E-3</v>
      </c>
    </row>
    <row r="493" spans="1:25" x14ac:dyDescent="0.25">
      <c r="A493" s="1096"/>
      <c r="B493" s="1455">
        <v>243</v>
      </c>
      <c r="C493" s="1100">
        <v>0.99429686980707899</v>
      </c>
      <c r="D493" s="1100">
        <v>1.0130316427457804</v>
      </c>
      <c r="E493" s="1100">
        <v>1.0393895781576119</v>
      </c>
      <c r="F493" s="1100">
        <v>1.021211660915698</v>
      </c>
      <c r="G493" s="1100">
        <v>0.99886480866316507</v>
      </c>
      <c r="H493" s="1100">
        <v>1.0343250088103015</v>
      </c>
      <c r="I493" s="1100">
        <v>1.0015173965760853</v>
      </c>
      <c r="K493">
        <v>2.2684227453060881</v>
      </c>
      <c r="L493">
        <v>0</v>
      </c>
      <c r="M493">
        <v>1.4781253108406846E-3</v>
      </c>
      <c r="N493">
        <v>0.15143662655460063</v>
      </c>
      <c r="O493">
        <v>1.9833749463585428E-2</v>
      </c>
      <c r="P493">
        <v>2.7327100452325327E-2</v>
      </c>
      <c r="Q493">
        <v>5.7521369181467432E-3</v>
      </c>
      <c r="R493">
        <v>1.458039553801752E-3</v>
      </c>
      <c r="S493">
        <v>0.24477337236794852</v>
      </c>
      <c r="T493">
        <v>1.3724503009649967</v>
      </c>
      <c r="U493">
        <v>0.14368292567136448</v>
      </c>
      <c r="V493">
        <v>0.18497444896883308</v>
      </c>
      <c r="W493">
        <v>9.7216534886844022E-2</v>
      </c>
      <c r="X493">
        <v>1.7027331791644406E-2</v>
      </c>
      <c r="Y493">
        <v>3.968303022838634E-3</v>
      </c>
    </row>
    <row r="494" spans="1:25" x14ac:dyDescent="0.25">
      <c r="A494" s="1096"/>
      <c r="B494" s="1455">
        <v>244</v>
      </c>
      <c r="C494" s="1100">
        <v>1.027518508032343</v>
      </c>
      <c r="D494" s="1100">
        <v>1.0166963647276681</v>
      </c>
      <c r="E494" s="1100">
        <v>0.98201736889443758</v>
      </c>
      <c r="F494" s="1100">
        <v>1.0446786292144714</v>
      </c>
      <c r="G494" s="1100">
        <v>1.0049243564474273</v>
      </c>
      <c r="H494" s="1100">
        <v>1.0137496043555339</v>
      </c>
      <c r="I494" s="1100">
        <v>0.9999863585450911</v>
      </c>
      <c r="K494">
        <v>2.256459242957761</v>
      </c>
      <c r="L494">
        <v>0</v>
      </c>
      <c r="M494">
        <v>1.5780999924209377E-3</v>
      </c>
      <c r="N494">
        <v>0.13592954217035463</v>
      </c>
      <c r="O494">
        <v>1.9142437539609782E-2</v>
      </c>
      <c r="P494">
        <v>2.6390206755778765E-2</v>
      </c>
      <c r="Q494">
        <v>5.2423052724431662E-3</v>
      </c>
      <c r="R494">
        <v>1.5562204720761276E-3</v>
      </c>
      <c r="S494">
        <v>0.23404969801827161</v>
      </c>
      <c r="T494">
        <v>1.4038794200992033</v>
      </c>
      <c r="U494">
        <v>0.13890862478441027</v>
      </c>
      <c r="V494">
        <v>0.18367912253996779</v>
      </c>
      <c r="W494">
        <v>9.0262866870214453E-2</v>
      </c>
      <c r="X494">
        <v>1.47613793107994E-2</v>
      </c>
      <c r="Y494">
        <v>4.2355191170504727E-3</v>
      </c>
    </row>
    <row r="495" spans="1:25" x14ac:dyDescent="0.25">
      <c r="A495" s="1096"/>
      <c r="B495" s="1455">
        <v>245</v>
      </c>
      <c r="C495" s="1100">
        <v>1.0057833668701941</v>
      </c>
      <c r="D495" s="1100">
        <v>0.99228893248529737</v>
      </c>
      <c r="E495" s="1100">
        <v>0.99367045423500511</v>
      </c>
      <c r="F495" s="1100">
        <v>1.0222428148906333</v>
      </c>
      <c r="G495" s="1100">
        <v>1.0212314138205056</v>
      </c>
      <c r="H495" s="1100">
        <v>0.97625100075215876</v>
      </c>
      <c r="I495" s="1100">
        <v>1.0009216005018868</v>
      </c>
      <c r="K495">
        <v>2.238032505325652</v>
      </c>
      <c r="L495">
        <v>0</v>
      </c>
      <c r="M495">
        <v>1.5236821425815515E-3</v>
      </c>
      <c r="N495">
        <v>0.1358760029302841</v>
      </c>
      <c r="O495">
        <v>1.9668169107505865E-2</v>
      </c>
      <c r="P495">
        <v>2.6368856471829464E-2</v>
      </c>
      <c r="Q495">
        <v>5.4501756014723934E-3</v>
      </c>
      <c r="R495">
        <v>1.5017456665214958E-3</v>
      </c>
      <c r="S495">
        <v>0.23933246147727327</v>
      </c>
      <c r="T495">
        <v>1.3737451127207052</v>
      </c>
      <c r="U495">
        <v>0.14193708578929218</v>
      </c>
      <c r="V495">
        <v>0.18677966895538747</v>
      </c>
      <c r="W495">
        <v>8.9598568764373762E-2</v>
      </c>
      <c r="X495">
        <v>1.5211083329640739E-2</v>
      </c>
      <c r="Y495">
        <v>4.0872566539455922E-3</v>
      </c>
    </row>
    <row r="496" spans="1:25" x14ac:dyDescent="0.25">
      <c r="A496" s="1096"/>
      <c r="B496" s="1455">
        <v>246</v>
      </c>
      <c r="C496" s="1100">
        <v>1.0115508665176223</v>
      </c>
      <c r="D496" s="1100">
        <v>1.0376403008726178</v>
      </c>
      <c r="E496" s="1100">
        <v>0.98724116993047961</v>
      </c>
      <c r="F496" s="1100">
        <v>1.0347178078701966</v>
      </c>
      <c r="G496" s="1100">
        <v>1.023721654671272</v>
      </c>
      <c r="H496" s="1100">
        <v>0.95691611410376387</v>
      </c>
      <c r="I496" s="1100">
        <v>0.98533975338297719</v>
      </c>
      <c r="K496">
        <v>2.2322911732657942</v>
      </c>
      <c r="L496">
        <v>0</v>
      </c>
      <c r="M496">
        <v>1.4901734332666125E-3</v>
      </c>
      <c r="N496">
        <v>0.1302912462704941</v>
      </c>
      <c r="O496">
        <v>1.9360766558494901E-2</v>
      </c>
      <c r="P496">
        <v>2.6296918128255017E-2</v>
      </c>
      <c r="Q496">
        <v>5.3302497617054101E-3</v>
      </c>
      <c r="R496">
        <v>1.4682858946438503E-3</v>
      </c>
      <c r="S496">
        <v>0.22755393288910447</v>
      </c>
      <c r="T496">
        <v>1.3905004748203247</v>
      </c>
      <c r="U496">
        <v>0.14111320045286488</v>
      </c>
      <c r="V496">
        <v>0.18671946088404856</v>
      </c>
      <c r="W496">
        <v>8.6247327438270655E-2</v>
      </c>
      <c r="X496">
        <v>1.4903293415947406E-2</v>
      </c>
      <c r="Y496">
        <v>3.9961901849054739E-3</v>
      </c>
    </row>
    <row r="497" spans="1:25" x14ac:dyDescent="0.25">
      <c r="A497" s="1096"/>
      <c r="B497" s="1455">
        <v>247</v>
      </c>
      <c r="C497" s="1100">
        <v>0.96300384292369579</v>
      </c>
      <c r="D497" s="1100">
        <v>1.0014564219447732</v>
      </c>
      <c r="E497" s="1100">
        <v>1.0133279321535518</v>
      </c>
      <c r="F497" s="1100">
        <v>0.99183814253080704</v>
      </c>
      <c r="G497" s="1100">
        <v>0.99174724955071136</v>
      </c>
      <c r="H497" s="1100">
        <v>0.96803103921058475</v>
      </c>
      <c r="I497" s="1100">
        <v>1.010723634101059</v>
      </c>
      <c r="K497">
        <v>2.2271236900736211</v>
      </c>
      <c r="L497">
        <v>0</v>
      </c>
      <c r="M497">
        <v>1.5118258480395204E-3</v>
      </c>
      <c r="N497">
        <v>0.14304812767855044</v>
      </c>
      <c r="O497">
        <v>2.0513124194631839E-2</v>
      </c>
      <c r="P497">
        <v>2.6429299508312552E-2</v>
      </c>
      <c r="Q497">
        <v>5.7975324508422865E-3</v>
      </c>
      <c r="R497">
        <v>1.4898752447775434E-3</v>
      </c>
      <c r="S497">
        <v>0.25071612075511379</v>
      </c>
      <c r="T497">
        <v>1.3329181863544501</v>
      </c>
      <c r="U497">
        <v>0.14828937935510295</v>
      </c>
      <c r="V497">
        <v>0.18608493875622401</v>
      </c>
      <c r="W497">
        <v>9.3235308424267735E-2</v>
      </c>
      <c r="X497">
        <v>1.6058673920344425E-2</v>
      </c>
      <c r="Y497">
        <v>4.0549492790420286E-3</v>
      </c>
    </row>
    <row r="498" spans="1:25" x14ac:dyDescent="0.25">
      <c r="A498" s="1096"/>
      <c r="B498" s="1455">
        <v>248</v>
      </c>
      <c r="C498" s="1100">
        <v>0.96908545076214958</v>
      </c>
      <c r="D498" s="1100">
        <v>0.99081854273012759</v>
      </c>
      <c r="E498" s="1100">
        <v>0.99111207735724316</v>
      </c>
      <c r="F498" s="1100">
        <v>0.98292435394897792</v>
      </c>
      <c r="G498" s="1100">
        <v>1.019186617212529</v>
      </c>
      <c r="H498" s="1100">
        <v>1.0081281867108094</v>
      </c>
      <c r="I498" s="1100">
        <v>1.0238953587981161</v>
      </c>
      <c r="K498">
        <v>2.2269938626361285</v>
      </c>
      <c r="L498">
        <v>0</v>
      </c>
      <c r="M498">
        <v>1.6422327465800892E-3</v>
      </c>
      <c r="N498">
        <v>0.14538678232509195</v>
      </c>
      <c r="O498">
        <v>2.0417985425469763E-2</v>
      </c>
      <c r="P498">
        <v>2.5941131239508863E-2</v>
      </c>
      <c r="Q498">
        <v>5.6433617381281284E-3</v>
      </c>
      <c r="R498">
        <v>1.619337099233772E-3</v>
      </c>
      <c r="S498">
        <v>0.25696933243124565</v>
      </c>
      <c r="T498">
        <v>1.3209032541685348</v>
      </c>
      <c r="U498">
        <v>0.14730597473455717</v>
      </c>
      <c r="V498">
        <v>0.18877962075360025</v>
      </c>
      <c r="W498">
        <v>9.6016879376580058E-2</v>
      </c>
      <c r="X498">
        <v>1.5245134320974256E-2</v>
      </c>
      <c r="Y498">
        <v>4.4073017697830296E-3</v>
      </c>
    </row>
    <row r="499" spans="1:25" x14ac:dyDescent="0.25">
      <c r="A499" s="1096"/>
      <c r="B499" s="1455">
        <v>249</v>
      </c>
      <c r="C499" s="1100">
        <v>1.0140884676036361</v>
      </c>
      <c r="D499" s="1100">
        <v>0.98270393153664726</v>
      </c>
      <c r="E499" s="1100">
        <v>1.004534748622413</v>
      </c>
      <c r="F499" s="1100">
        <v>0.99803341719226524</v>
      </c>
      <c r="G499" s="1100">
        <v>0.95550250918626511</v>
      </c>
      <c r="H499" s="1100">
        <v>1.009191149919197</v>
      </c>
      <c r="I499" s="1100">
        <v>0.9625196709678866</v>
      </c>
      <c r="K499">
        <v>2.1968475589873355</v>
      </c>
      <c r="L499">
        <v>0</v>
      </c>
      <c r="M499">
        <v>1.5306520978626819E-3</v>
      </c>
      <c r="N499">
        <v>0.14111976423599459</v>
      </c>
      <c r="O499">
        <v>1.9555509717425937E-2</v>
      </c>
      <c r="P499">
        <v>2.5913839818490363E-2</v>
      </c>
      <c r="Q499">
        <v>5.4784891917875628E-3</v>
      </c>
      <c r="R499">
        <v>1.5093345604118783E-3</v>
      </c>
      <c r="S499">
        <v>0.23197562503759001</v>
      </c>
      <c r="T499">
        <v>1.3412282669425097</v>
      </c>
      <c r="U499">
        <v>0.14079932280901658</v>
      </c>
      <c r="V499">
        <v>0.17887633562276092</v>
      </c>
      <c r="W499">
        <v>9.2457011685084106E-2</v>
      </c>
      <c r="X499">
        <v>1.5356800342686551E-2</v>
      </c>
      <c r="Y499">
        <v>4.1079111214370129E-3</v>
      </c>
    </row>
    <row r="500" spans="1:25" x14ac:dyDescent="0.25">
      <c r="A500" s="1096"/>
      <c r="B500" s="1455">
        <v>250</v>
      </c>
      <c r="C500" s="1100">
        <v>1.012426359947898</v>
      </c>
      <c r="D500" s="1100">
        <v>0.96543112881883675</v>
      </c>
      <c r="E500" s="1100">
        <v>1.0175801353897342</v>
      </c>
      <c r="F500" s="1100">
        <v>1.0186987469354449</v>
      </c>
      <c r="G500" s="1100">
        <v>0.99788141555889254</v>
      </c>
      <c r="H500" s="1100">
        <v>0.99306260496845056</v>
      </c>
      <c r="I500" s="1100">
        <v>1.005896943824244</v>
      </c>
      <c r="K500">
        <v>2.242902125755351</v>
      </c>
      <c r="L500">
        <v>0</v>
      </c>
      <c r="M500">
        <v>1.4740571411920235E-3</v>
      </c>
      <c r="N500">
        <v>0.14132824406077699</v>
      </c>
      <c r="O500">
        <v>1.9672305733933738E-2</v>
      </c>
      <c r="P500">
        <v>2.6783621253078992E-2</v>
      </c>
      <c r="Q500">
        <v>5.5835079811895772E-3</v>
      </c>
      <c r="R500">
        <v>1.4531943857257522E-3</v>
      </c>
      <c r="S500">
        <v>0.24380222038105395</v>
      </c>
      <c r="T500">
        <v>1.3690241389644411</v>
      </c>
      <c r="U500">
        <v>0.14106019063665859</v>
      </c>
      <c r="V500">
        <v>0.18377424328201511</v>
      </c>
      <c r="W500">
        <v>9.188463689592187E-2</v>
      </c>
      <c r="X500">
        <v>1.6054763249199508E-2</v>
      </c>
      <c r="Y500">
        <v>3.9551160725449898E-3</v>
      </c>
    </row>
    <row r="501" spans="1:25" x14ac:dyDescent="0.25">
      <c r="A501" s="1096"/>
      <c r="B501" s="1455">
        <v>251</v>
      </c>
      <c r="C501" s="1100">
        <v>1.0172159345294631</v>
      </c>
      <c r="D501" s="1100">
        <v>1.006214318169927</v>
      </c>
      <c r="E501" s="1100">
        <v>1.0065458957975038</v>
      </c>
      <c r="F501" s="1100">
        <v>0.98478871489733022</v>
      </c>
      <c r="G501" s="1100">
        <v>0.98264730399496258</v>
      </c>
      <c r="H501" s="1100">
        <v>1.0198451044084569</v>
      </c>
      <c r="I501" s="1100">
        <v>1.0137409710383642</v>
      </c>
      <c r="K501">
        <v>2.191769318984885</v>
      </c>
      <c r="L501">
        <v>0</v>
      </c>
      <c r="M501">
        <v>1.5276636064105724E-3</v>
      </c>
      <c r="N501">
        <v>0.14172318525888802</v>
      </c>
      <c r="O501">
        <v>1.9395481039623019E-2</v>
      </c>
      <c r="P501">
        <v>2.5874032814800531E-2</v>
      </c>
      <c r="Q501">
        <v>5.444618969541056E-3</v>
      </c>
      <c r="R501">
        <v>1.5066099518008472E-3</v>
      </c>
      <c r="S501">
        <v>0.24158021247536779</v>
      </c>
      <c r="T501">
        <v>1.3234324852151935</v>
      </c>
      <c r="U501">
        <v>0.14037098608943957</v>
      </c>
      <c r="V501">
        <v>0.18176653464510567</v>
      </c>
      <c r="W501">
        <v>9.2741915192649044E-2</v>
      </c>
      <c r="X501">
        <v>1.5360425303919669E-2</v>
      </c>
      <c r="Y501">
        <v>4.1004956349647735E-3</v>
      </c>
    </row>
    <row r="502" spans="1:25" x14ac:dyDescent="0.25">
      <c r="A502" s="1096"/>
      <c r="B502" s="1455">
        <v>252</v>
      </c>
      <c r="C502" s="1100">
        <v>0.98820127352958675</v>
      </c>
      <c r="D502" s="1100">
        <v>1.0242280393047685</v>
      </c>
      <c r="E502" s="1100">
        <v>0.97487484912742384</v>
      </c>
      <c r="F502" s="1100">
        <v>0.99617528001331979</v>
      </c>
      <c r="G502" s="1100">
        <v>1.0050296395854934</v>
      </c>
      <c r="H502" s="1100">
        <v>0.98293750235190169</v>
      </c>
      <c r="I502" s="1100">
        <v>0.97757714735706158</v>
      </c>
      <c r="K502">
        <v>2.199563064456278</v>
      </c>
      <c r="L502">
        <v>0</v>
      </c>
      <c r="M502">
        <v>1.6120606184219547E-3</v>
      </c>
      <c r="N502">
        <v>0.13582594034990608</v>
      </c>
      <c r="O502">
        <v>1.9867282629832388E-2</v>
      </c>
      <c r="P502">
        <v>2.5486066427506456E-2</v>
      </c>
      <c r="Q502">
        <v>5.4014204627169564E-3</v>
      </c>
      <c r="R502">
        <v>1.5890096359596961E-3</v>
      </c>
      <c r="S502">
        <v>0.23455965188958144</v>
      </c>
      <c r="T502">
        <v>1.3386907798015175</v>
      </c>
      <c r="U502">
        <v>0.14441875300024171</v>
      </c>
      <c r="V502">
        <v>0.18598136206986324</v>
      </c>
      <c r="W502">
        <v>9.0584384009228455E-2</v>
      </c>
      <c r="X502">
        <v>1.444571438614823E-2</v>
      </c>
      <c r="Y502">
        <v>4.3247604121965768E-3</v>
      </c>
    </row>
    <row r="503" spans="1:25" x14ac:dyDescent="0.25">
      <c r="A503" s="1096"/>
      <c r="B503" s="1455">
        <v>253</v>
      </c>
      <c r="C503" s="1100">
        <v>1.007390717148547</v>
      </c>
      <c r="D503" s="1100">
        <v>0.98744455920236673</v>
      </c>
      <c r="E503" s="1100">
        <v>1.0127810388232239</v>
      </c>
      <c r="F503" s="1100">
        <v>0.98001451535531725</v>
      </c>
      <c r="G503" s="1100">
        <v>0.98303007807099474</v>
      </c>
      <c r="H503" s="1100">
        <v>0.99316361999840941</v>
      </c>
      <c r="I503" s="1100">
        <v>0.97416448752537865</v>
      </c>
      <c r="K503">
        <v>2.1788336442575678</v>
      </c>
      <c r="L503">
        <v>0</v>
      </c>
      <c r="M503">
        <v>1.4890294232765174E-3</v>
      </c>
      <c r="N503">
        <v>0.140711207458526</v>
      </c>
      <c r="O503">
        <v>1.9669830394421762E-2</v>
      </c>
      <c r="P503">
        <v>2.583660982488422E-2</v>
      </c>
      <c r="Q503">
        <v>5.5561628558181957E-3</v>
      </c>
      <c r="R503">
        <v>1.4679569042991894E-3</v>
      </c>
      <c r="S503">
        <v>0.23459093728913091</v>
      </c>
      <c r="T503">
        <v>1.3170275654531118</v>
      </c>
      <c r="U503">
        <v>0.14175431448637665</v>
      </c>
      <c r="V503">
        <v>0.18238423185494243</v>
      </c>
      <c r="W503">
        <v>9.1741670293877656E-2</v>
      </c>
      <c r="X503">
        <v>1.5586892083814707E-2</v>
      </c>
      <c r="Y503">
        <v>3.9952947816389453E-3</v>
      </c>
    </row>
    <row r="504" spans="1:25" x14ac:dyDescent="0.25">
      <c r="A504" s="1096"/>
      <c r="B504" s="1455">
        <v>254</v>
      </c>
      <c r="C504" s="1100">
        <v>0.99617646558310224</v>
      </c>
      <c r="D504" s="1100">
        <v>1.0082157074847671</v>
      </c>
      <c r="E504" s="1100">
        <v>0.9832916305040923</v>
      </c>
      <c r="F504" s="1100">
        <v>0.96393143539990089</v>
      </c>
      <c r="G504" s="1100">
        <v>1.0103426168706273</v>
      </c>
      <c r="H504" s="1100">
        <v>1.0015297290188068</v>
      </c>
      <c r="I504" s="1100">
        <v>0.98188358474276471</v>
      </c>
      <c r="K504">
        <v>2.1620381473985937</v>
      </c>
      <c r="L504">
        <v>0</v>
      </c>
      <c r="M504">
        <v>1.606854499074739E-3</v>
      </c>
      <c r="N504">
        <v>0.13891702415961887</v>
      </c>
      <c r="O504">
        <v>1.9781917928050601E-2</v>
      </c>
      <c r="P504">
        <v>2.508623028520298E-2</v>
      </c>
      <c r="Q504">
        <v>5.4244425502766027E-3</v>
      </c>
      <c r="R504">
        <v>1.5843044918811776E-3</v>
      </c>
      <c r="S504">
        <v>0.23707631400598259</v>
      </c>
      <c r="T504">
        <v>1.2953697175867076</v>
      </c>
      <c r="U504">
        <v>0.14328195196911089</v>
      </c>
      <c r="V504">
        <v>0.18610865233812662</v>
      </c>
      <c r="W504">
        <v>9.2175878168327174E-2</v>
      </c>
      <c r="X504">
        <v>1.4526613853317534E-2</v>
      </c>
      <c r="Y504">
        <v>4.3119545610651785E-3</v>
      </c>
    </row>
    <row r="505" spans="1:25" x14ac:dyDescent="0.25">
      <c r="A505" s="1096"/>
      <c r="B505" s="1455">
        <v>255</v>
      </c>
      <c r="C505" s="1100">
        <v>0.98534246091620603</v>
      </c>
      <c r="D505" s="1100">
        <v>1.0209249164170955</v>
      </c>
      <c r="E505" s="1100">
        <v>1.0268035580617469</v>
      </c>
      <c r="F505" s="1100">
        <v>1.0215147968148919</v>
      </c>
      <c r="G505" s="1100">
        <v>1.0032241906569319</v>
      </c>
      <c r="H505" s="1100">
        <v>0.96224761701284889</v>
      </c>
      <c r="I505" s="1100">
        <v>1.0083859279271921</v>
      </c>
      <c r="K505">
        <v>2.2493185179966861</v>
      </c>
      <c r="L505">
        <v>0</v>
      </c>
      <c r="M505">
        <v>1.422078635469624E-3</v>
      </c>
      <c r="N505">
        <v>0.14012669399674965</v>
      </c>
      <c r="O505">
        <v>1.9971863095381528E-2</v>
      </c>
      <c r="P505">
        <v>2.7074435924723535E-2</v>
      </c>
      <c r="Q505">
        <v>5.7206830527801195E-3</v>
      </c>
      <c r="R505">
        <v>1.4013069975058045E-3</v>
      </c>
      <c r="S505">
        <v>0.24175307205386856</v>
      </c>
      <c r="T505">
        <v>1.3728281137836349</v>
      </c>
      <c r="U505">
        <v>0.14495910607606954</v>
      </c>
      <c r="V505">
        <v>0.18599779215747711</v>
      </c>
      <c r="W505">
        <v>9.0614001236211911E-2</v>
      </c>
      <c r="X505">
        <v>1.6479632551269718E-2</v>
      </c>
      <c r="Y505">
        <v>3.8138957064832212E-3</v>
      </c>
    </row>
    <row r="506" spans="1:25" x14ac:dyDescent="0.25">
      <c r="A506" s="1096"/>
      <c r="B506" s="1455">
        <v>256</v>
      </c>
      <c r="C506" s="1100">
        <v>0.98534404065308923</v>
      </c>
      <c r="D506" s="1100">
        <v>1.022782387720311</v>
      </c>
      <c r="E506" s="1100">
        <v>1.0090823074975919</v>
      </c>
      <c r="F506" s="1100">
        <v>0.99977501603196695</v>
      </c>
      <c r="G506" s="1100">
        <v>1.0158328339077189</v>
      </c>
      <c r="H506" s="1100">
        <v>0.98411147118709008</v>
      </c>
      <c r="I506" s="1100">
        <v>0.99943460876202972</v>
      </c>
      <c r="K506">
        <v>2.2216147047901287</v>
      </c>
      <c r="L506">
        <v>0</v>
      </c>
      <c r="M506">
        <v>1.5083945637481163E-3</v>
      </c>
      <c r="N506">
        <v>0.14093985446861995</v>
      </c>
      <c r="O506">
        <v>1.9952636093866865E-2</v>
      </c>
      <c r="P506">
        <v>2.6331646474122498E-2</v>
      </c>
      <c r="Q506">
        <v>5.6152578029397375E-3</v>
      </c>
      <c r="R506">
        <v>1.4868516401467231E-3</v>
      </c>
      <c r="S506">
        <v>0.24102367981818967</v>
      </c>
      <c r="T506">
        <v>1.3435766599788257</v>
      </c>
      <c r="U506">
        <v>0.14491735333619898</v>
      </c>
      <c r="V506">
        <v>0.18740654187696296</v>
      </c>
      <c r="W506">
        <v>9.2091234904973895E-2</v>
      </c>
      <c r="X506">
        <v>1.5734662935060175E-2</v>
      </c>
      <c r="Y506">
        <v>4.0467200239679355E-3</v>
      </c>
    </row>
    <row r="507" spans="1:25" x14ac:dyDescent="0.25">
      <c r="A507" s="1096"/>
      <c r="B507" s="1455">
        <v>257</v>
      </c>
      <c r="C507" s="1100">
        <v>1.014414300618157</v>
      </c>
      <c r="D507" s="1100">
        <v>0.9774416207236003</v>
      </c>
      <c r="E507" s="1100">
        <v>0.98164762501003111</v>
      </c>
      <c r="F507" s="1100">
        <v>1.0190250492636861</v>
      </c>
      <c r="G507" s="1100">
        <v>1.0171798795463491</v>
      </c>
      <c r="H507" s="1100">
        <v>1.0079205065371364</v>
      </c>
      <c r="I507" s="1100">
        <v>0.96781840523345153</v>
      </c>
      <c r="K507">
        <v>2.2290374450554595</v>
      </c>
      <c r="L507">
        <v>0</v>
      </c>
      <c r="M507">
        <v>1.6043481810375771E-3</v>
      </c>
      <c r="N507">
        <v>0.13802471553187459</v>
      </c>
      <c r="O507">
        <v>1.9558185456946479E-2</v>
      </c>
      <c r="P507">
        <v>2.5964855574910739E-2</v>
      </c>
      <c r="Q507">
        <v>5.3541506162676751E-3</v>
      </c>
      <c r="R507">
        <v>1.5819761031861546E-3</v>
      </c>
      <c r="S507">
        <v>0.23353852388321802</v>
      </c>
      <c r="T507">
        <v>1.3694047001028844</v>
      </c>
      <c r="U507">
        <v>0.14070221014871478</v>
      </c>
      <c r="V507">
        <v>0.1858098040161735</v>
      </c>
      <c r="W507">
        <v>9.16745843703754E-2</v>
      </c>
      <c r="X507">
        <v>1.4722469977355431E-2</v>
      </c>
      <c r="Y507">
        <v>4.3056174545904533E-3</v>
      </c>
    </row>
    <row r="508" spans="1:25" x14ac:dyDescent="0.25">
      <c r="A508" s="1096"/>
      <c r="B508" s="1455">
        <v>258</v>
      </c>
      <c r="C508" s="1100">
        <v>1.0037398480958961</v>
      </c>
      <c r="D508" s="1100">
        <v>0.98761686212029609</v>
      </c>
      <c r="E508" s="1100">
        <v>0.97310931315897864</v>
      </c>
      <c r="F508" s="1100">
        <v>0.99349417205242918</v>
      </c>
      <c r="G508" s="1100">
        <v>1.0192058766199772</v>
      </c>
      <c r="H508" s="1100">
        <v>0.96861860127730304</v>
      </c>
      <c r="I508" s="1100">
        <v>1.0086576738690325</v>
      </c>
      <c r="K508">
        <v>2.1955975340439111</v>
      </c>
      <c r="L508">
        <v>0</v>
      </c>
      <c r="M508">
        <v>1.5823198687030398E-3</v>
      </c>
      <c r="N508">
        <v>0.13258106449459836</v>
      </c>
      <c r="O508">
        <v>1.9715888016865937E-2</v>
      </c>
      <c r="P508">
        <v>2.5475051893561761E-2</v>
      </c>
      <c r="Q508">
        <v>5.3506175595866524E-3</v>
      </c>
      <c r="R508">
        <v>1.5593596799849021E-3</v>
      </c>
      <c r="S508">
        <v>0.2414738455078268</v>
      </c>
      <c r="T508">
        <v>1.3350860330753025</v>
      </c>
      <c r="U508">
        <v>0.14217901999553009</v>
      </c>
      <c r="V508">
        <v>0.1866534717137229</v>
      </c>
      <c r="W508">
        <v>8.8515090384393882E-2</v>
      </c>
      <c r="X508">
        <v>1.434634858510073E-2</v>
      </c>
      <c r="Y508">
        <v>4.244063006138549E-3</v>
      </c>
    </row>
    <row r="509" spans="1:25" x14ac:dyDescent="0.25">
      <c r="A509" s="1096"/>
      <c r="B509" s="1455">
        <v>259</v>
      </c>
      <c r="C509" s="1100">
        <v>0.98258727595671524</v>
      </c>
      <c r="D509" s="1100">
        <v>1.011471048722427</v>
      </c>
      <c r="E509" s="1100">
        <v>0.99299618414750934</v>
      </c>
      <c r="F509" s="1100">
        <v>1.0267697627207137</v>
      </c>
      <c r="G509" s="1100">
        <v>0.99945376797809071</v>
      </c>
      <c r="H509" s="1100">
        <v>0.99176188664380127</v>
      </c>
      <c r="I509" s="1100">
        <v>1.0049331995160617</v>
      </c>
      <c r="K509">
        <v>2.2608662092961764</v>
      </c>
      <c r="L509">
        <v>0</v>
      </c>
      <c r="M509">
        <v>1.5799779897421996E-3</v>
      </c>
      <c r="N509">
        <v>0.14064149876840204</v>
      </c>
      <c r="O509">
        <v>2.0047426314083575E-2</v>
      </c>
      <c r="P509">
        <v>2.6544343899349739E-2</v>
      </c>
      <c r="Q509">
        <v>5.5514924036581866E-3</v>
      </c>
      <c r="R509">
        <v>1.5575867778651348E-3</v>
      </c>
      <c r="S509">
        <v>0.24488026792732159</v>
      </c>
      <c r="T509">
        <v>1.379827667993708</v>
      </c>
      <c r="U509">
        <v>0.14528623845842351</v>
      </c>
      <c r="V509">
        <v>0.18570964930153572</v>
      </c>
      <c r="W509">
        <v>9.2778374168034805E-2</v>
      </c>
      <c r="X509">
        <v>1.5382403522531273E-2</v>
      </c>
      <c r="Y509">
        <v>4.2392377510055701E-3</v>
      </c>
    </row>
    <row r="510" spans="1:25" x14ac:dyDescent="0.25">
      <c r="A510" s="1096"/>
      <c r="B510" s="1455">
        <v>260</v>
      </c>
      <c r="C510" s="1100">
        <v>1.0399947234284033</v>
      </c>
      <c r="D510" s="1100">
        <v>0.98919988130798409</v>
      </c>
      <c r="E510" s="1100">
        <v>1.0106112138419263</v>
      </c>
      <c r="F510" s="1100">
        <v>1.0332903393997031</v>
      </c>
      <c r="G510" s="1100">
        <v>0.99434251821157782</v>
      </c>
      <c r="H510" s="1100">
        <v>1.0115564542631053</v>
      </c>
      <c r="I510" s="1100">
        <v>0.95199060274384539</v>
      </c>
      <c r="K510">
        <v>2.2303890813047493</v>
      </c>
      <c r="L510">
        <v>0</v>
      </c>
      <c r="M510">
        <v>1.4751220240563862E-3</v>
      </c>
      <c r="N510">
        <v>0.13852307432995706</v>
      </c>
      <c r="O510">
        <v>1.904442591527435E-2</v>
      </c>
      <c r="P510">
        <v>2.6554073358466733E-2</v>
      </c>
      <c r="Q510">
        <v>5.3678592012828576E-3</v>
      </c>
      <c r="R510">
        <v>1.4546258972814538E-3</v>
      </c>
      <c r="S510">
        <v>0.22320430917540976</v>
      </c>
      <c r="T510">
        <v>1.3886200512187872</v>
      </c>
      <c r="U510">
        <v>0.13730548114291166</v>
      </c>
      <c r="V510">
        <v>0.18181447984747073</v>
      </c>
      <c r="W510">
        <v>9.0430516199694694E-2</v>
      </c>
      <c r="X510">
        <v>1.5586294867166983E-2</v>
      </c>
      <c r="Y510">
        <v>3.9590121751019516E-3</v>
      </c>
    </row>
    <row r="511" spans="1:25" x14ac:dyDescent="0.25">
      <c r="A511" s="1096"/>
      <c r="B511" s="1455">
        <v>261</v>
      </c>
      <c r="C511" s="1100">
        <v>1.0401171039133295</v>
      </c>
      <c r="D511" s="1100">
        <v>1.0036501497047501</v>
      </c>
      <c r="E511" s="1100">
        <v>1.005926140935405</v>
      </c>
      <c r="F511" s="1100">
        <v>0.99685205560714507</v>
      </c>
      <c r="G511" s="1100">
        <v>1.0155983915940989</v>
      </c>
      <c r="H511" s="1100">
        <v>0.99798076190155149</v>
      </c>
      <c r="I511" s="1100">
        <v>0.98716337307326785</v>
      </c>
      <c r="K511">
        <v>2.1834674443736612</v>
      </c>
      <c r="L511">
        <v>0</v>
      </c>
      <c r="M511">
        <v>1.4647018977055966E-3</v>
      </c>
      <c r="N511">
        <v>0.13558655565990332</v>
      </c>
      <c r="O511">
        <v>1.8978712363656561E-2</v>
      </c>
      <c r="P511">
        <v>2.5898660092843289E-2</v>
      </c>
      <c r="Q511">
        <v>5.3243189253863645E-3</v>
      </c>
      <c r="R511">
        <v>1.4440737110890509E-3</v>
      </c>
      <c r="S511">
        <v>0.22869208579013073</v>
      </c>
      <c r="T511">
        <v>1.3396430346739323</v>
      </c>
      <c r="U511">
        <v>0.13727894196090007</v>
      </c>
      <c r="V511">
        <v>0.18420639488282192</v>
      </c>
      <c r="W511">
        <v>8.8758707701957637E-2</v>
      </c>
      <c r="X511">
        <v>1.5190367905930712E-2</v>
      </c>
      <c r="Y511">
        <v>3.9302926028134746E-3</v>
      </c>
    </row>
    <row r="512" spans="1:25" x14ac:dyDescent="0.25">
      <c r="A512" s="1096"/>
      <c r="B512" s="1455">
        <v>262</v>
      </c>
      <c r="C512" s="1100">
        <v>1.0247351773521269</v>
      </c>
      <c r="D512" s="1100">
        <v>1.009703998184043</v>
      </c>
      <c r="E512" s="1100">
        <v>1.0194493272780856</v>
      </c>
      <c r="F512" s="1100">
        <v>1.0045940758739462</v>
      </c>
      <c r="G512" s="1100">
        <v>1.0222934315485144</v>
      </c>
      <c r="H512" s="1100">
        <v>0.98428536096571839</v>
      </c>
      <c r="I512" s="1100">
        <v>1.0101537538961736</v>
      </c>
      <c r="K512">
        <v>2.2083242636950176</v>
      </c>
      <c r="L512">
        <v>0</v>
      </c>
      <c r="M512">
        <v>1.4237634618380101E-3</v>
      </c>
      <c r="N512">
        <v>0.13726067024824584</v>
      </c>
      <c r="O512">
        <v>1.9246367923942971E-2</v>
      </c>
      <c r="P512">
        <v>2.6452916897161484E-2</v>
      </c>
      <c r="Q512">
        <v>5.4727844804670078E-3</v>
      </c>
      <c r="R512">
        <v>1.4034328338201221E-3</v>
      </c>
      <c r="S512">
        <v>0.23584182748661545</v>
      </c>
      <c r="T512">
        <v>1.3500726811163097</v>
      </c>
      <c r="U512">
        <v>0.13937002862682213</v>
      </c>
      <c r="V512">
        <v>0.18583118108831823</v>
      </c>
      <c r="W512">
        <v>8.9142450035904125E-2</v>
      </c>
      <c r="X512">
        <v>1.5834004887098432E-2</v>
      </c>
      <c r="Y512">
        <v>3.8196815321490415E-3</v>
      </c>
    </row>
    <row r="513" spans="1:25" x14ac:dyDescent="0.25">
      <c r="A513" s="1096"/>
      <c r="B513" s="1455">
        <v>263</v>
      </c>
      <c r="C513" s="1100">
        <v>0.9927648234774461</v>
      </c>
      <c r="D513" s="1100">
        <v>0.98142225459858468</v>
      </c>
      <c r="E513" s="1100">
        <v>0.98473599256986832</v>
      </c>
      <c r="F513" s="1100">
        <v>1.0046706288378371</v>
      </c>
      <c r="G513" s="1100">
        <v>1.0279981792175439</v>
      </c>
      <c r="H513" s="1100">
        <v>0.99397930398786749</v>
      </c>
      <c r="I513" s="1100">
        <v>1.0229551696481531</v>
      </c>
      <c r="K513">
        <v>2.2352767425503104</v>
      </c>
      <c r="L513">
        <v>0</v>
      </c>
      <c r="M513">
        <v>1.6049278112846806E-3</v>
      </c>
      <c r="N513">
        <v>0.13934289665346519</v>
      </c>
      <c r="O513">
        <v>1.9968780932810053E-2</v>
      </c>
      <c r="P513">
        <v>2.6070696508382448E-2</v>
      </c>
      <c r="Q513">
        <v>5.483709170198736E-3</v>
      </c>
      <c r="R513">
        <v>1.582233754465214E-3</v>
      </c>
      <c r="S513">
        <v>0.25058272760473926</v>
      </c>
      <c r="T513">
        <v>1.3501184828326906</v>
      </c>
      <c r="U513">
        <v>0.14377768228463556</v>
      </c>
      <c r="V513">
        <v>0.18831027691904378</v>
      </c>
      <c r="W513">
        <v>9.2378112439703702E-2</v>
      </c>
      <c r="X513">
        <v>1.4959752565023649E-2</v>
      </c>
      <c r="Y513">
        <v>4.3063186964373322E-3</v>
      </c>
    </row>
    <row r="514" spans="1:25" x14ac:dyDescent="0.25">
      <c r="A514" s="1096"/>
      <c r="B514" s="1455">
        <v>264</v>
      </c>
      <c r="C514" s="1100">
        <v>1.0049581923132882</v>
      </c>
      <c r="D514" s="1100">
        <v>1.0296004408372226</v>
      </c>
      <c r="E514" s="1100">
        <v>1.0024196278741342</v>
      </c>
      <c r="F514" s="1100">
        <v>1.0387451587978678</v>
      </c>
      <c r="G514" s="1100">
        <v>0.95996335209008155</v>
      </c>
      <c r="H514" s="1100">
        <v>0.98341511428025075</v>
      </c>
      <c r="I514" s="1100">
        <v>0.99473168800933531</v>
      </c>
      <c r="K514">
        <v>2.2503541686213779</v>
      </c>
      <c r="L514">
        <v>0</v>
      </c>
      <c r="M514">
        <v>1.4963049510195573E-3</v>
      </c>
      <c r="N514">
        <v>0.13702383719614469</v>
      </c>
      <c r="O514">
        <v>1.9530519722501801E-2</v>
      </c>
      <c r="P514">
        <v>2.6684575141235921E-2</v>
      </c>
      <c r="Q514">
        <v>5.4598900956526189E-3</v>
      </c>
      <c r="R514">
        <v>1.4749195592319879E-3</v>
      </c>
      <c r="S514">
        <v>0.2343280919355259</v>
      </c>
      <c r="T514">
        <v>1.3959359363910764</v>
      </c>
      <c r="U514">
        <v>0.14207366861626813</v>
      </c>
      <c r="V514">
        <v>0.17991020431382962</v>
      </c>
      <c r="W514">
        <v>8.9886112127441964E-2</v>
      </c>
      <c r="X514">
        <v>1.552847364035693E-2</v>
      </c>
      <c r="Y514">
        <v>4.0142448331274413E-3</v>
      </c>
    </row>
    <row r="515" spans="1:25" x14ac:dyDescent="0.25">
      <c r="A515" s="1096"/>
      <c r="B515" s="1455">
        <v>265</v>
      </c>
      <c r="C515" s="1100">
        <v>1.0060358450905769</v>
      </c>
      <c r="D515" s="1100">
        <v>0.97972023297568034</v>
      </c>
      <c r="E515" s="1100">
        <v>1.0256627136140239</v>
      </c>
      <c r="F515" s="1100">
        <v>0.99119383019207907</v>
      </c>
      <c r="G515" s="1100">
        <v>1.0310285686040552</v>
      </c>
      <c r="H515" s="1100">
        <v>1.0204076083014237</v>
      </c>
      <c r="I515" s="1100">
        <v>1.0321240799304465</v>
      </c>
      <c r="K515">
        <v>2.2283090741613538</v>
      </c>
      <c r="L515">
        <v>0</v>
      </c>
      <c r="M515">
        <v>1.4940056295721796E-3</v>
      </c>
      <c r="N515">
        <v>0.14683251708452577</v>
      </c>
      <c r="O515">
        <v>1.9738438134933502E-2</v>
      </c>
      <c r="P515">
        <v>2.6615871808065173E-2</v>
      </c>
      <c r="Q515">
        <v>5.647434672910661E-3</v>
      </c>
      <c r="R515">
        <v>1.4734271860734813E-3</v>
      </c>
      <c r="S515">
        <v>0.25221892748714492</v>
      </c>
      <c r="T515">
        <v>1.3320769022814203</v>
      </c>
      <c r="U515">
        <v>0.14197478746606551</v>
      </c>
      <c r="V515">
        <v>0.18790052359175849</v>
      </c>
      <c r="W515">
        <v>9.5013459526054986E-2</v>
      </c>
      <c r="X515">
        <v>1.6300607466622673E-2</v>
      </c>
      <c r="Y515">
        <v>4.0101830853506654E-3</v>
      </c>
    </row>
    <row r="516" spans="1:25" x14ac:dyDescent="0.25">
      <c r="A516" s="1096"/>
      <c r="B516" s="1455">
        <v>266</v>
      </c>
      <c r="C516" s="1100">
        <v>0.99993654817574895</v>
      </c>
      <c r="D516" s="1100">
        <v>1.0115866026300815</v>
      </c>
      <c r="E516" s="1100">
        <v>0.98809646863946643</v>
      </c>
      <c r="F516" s="1100">
        <v>1.0257637016900698</v>
      </c>
      <c r="G516" s="1100">
        <v>0.95073259761676931</v>
      </c>
      <c r="H516" s="1100">
        <v>0.97581588496092064</v>
      </c>
      <c r="I516" s="1100">
        <v>1.0049055257420418</v>
      </c>
      <c r="K516">
        <v>2.2349891762912231</v>
      </c>
      <c r="L516">
        <v>0</v>
      </c>
      <c r="M516">
        <v>1.5431449637361159E-3</v>
      </c>
      <c r="N516">
        <v>0.13531120783382869</v>
      </c>
      <c r="O516">
        <v>1.9696052313275075E-2</v>
      </c>
      <c r="P516">
        <v>2.622983550380888E-2</v>
      </c>
      <c r="Q516">
        <v>5.4272538645968194E-3</v>
      </c>
      <c r="R516">
        <v>1.5209183747229777E-3</v>
      </c>
      <c r="S516">
        <v>0.23929350008958164</v>
      </c>
      <c r="T516">
        <v>1.3784687036854779</v>
      </c>
      <c r="U516">
        <v>0.14275420351372081</v>
      </c>
      <c r="V516">
        <v>0.1791505860248998</v>
      </c>
      <c r="W516">
        <v>8.9524364330452008E-2</v>
      </c>
      <c r="X516">
        <v>1.5016257275208294E-2</v>
      </c>
      <c r="Y516">
        <v>4.1394384453884653E-3</v>
      </c>
    </row>
    <row r="517" spans="1:25" x14ac:dyDescent="0.25">
      <c r="A517" s="1096"/>
      <c r="B517" s="1455">
        <v>267</v>
      </c>
      <c r="C517" s="1100">
        <v>1.0183859079861819</v>
      </c>
      <c r="D517" s="1100">
        <v>0.98159127261465573</v>
      </c>
      <c r="E517" s="1100">
        <v>0.97945155193990374</v>
      </c>
      <c r="F517" s="1100">
        <v>0.95547295292629264</v>
      </c>
      <c r="G517" s="1100">
        <v>0.99138547874600713</v>
      </c>
      <c r="H517" s="1100">
        <v>1.0248038381632822</v>
      </c>
      <c r="I517" s="1100">
        <v>0.98379952927588787</v>
      </c>
      <c r="K517">
        <v>2.1443187793145784</v>
      </c>
      <c r="L517">
        <v>0</v>
      </c>
      <c r="M517">
        <v>1.6307358111948683E-3</v>
      </c>
      <c r="N517">
        <v>0.13939828496464721</v>
      </c>
      <c r="O517">
        <v>1.9462413067719862E-2</v>
      </c>
      <c r="P517">
        <v>2.4774666881116594E-2</v>
      </c>
      <c r="Q517">
        <v>5.3160569441397564E-3</v>
      </c>
      <c r="R517">
        <v>1.6083704023244323E-3</v>
      </c>
      <c r="S517">
        <v>0.23726319379431246</v>
      </c>
      <c r="T517">
        <v>1.2839985231430306</v>
      </c>
      <c r="U517">
        <v>0.14014853575870029</v>
      </c>
      <c r="V517">
        <v>0.18266413870172279</v>
      </c>
      <c r="W517">
        <v>9.2709696804040523E-2</v>
      </c>
      <c r="X517">
        <v>1.4228180628051626E-2</v>
      </c>
      <c r="Y517">
        <v>4.3774540359664714E-3</v>
      </c>
    </row>
    <row r="518" spans="1:25" x14ac:dyDescent="0.25">
      <c r="A518" s="1096"/>
      <c r="B518" s="1455">
        <v>268</v>
      </c>
      <c r="C518" s="1100">
        <v>0.98045362201602071</v>
      </c>
      <c r="D518" s="1100">
        <v>0.98657709951600725</v>
      </c>
      <c r="E518" s="1100">
        <v>1.0349157078626561</v>
      </c>
      <c r="F518" s="1100">
        <v>0.99751630285490711</v>
      </c>
      <c r="G518" s="1100">
        <v>0.9961463846513503</v>
      </c>
      <c r="H518" s="1100">
        <v>0.98198436480099682</v>
      </c>
      <c r="I518" s="1100">
        <v>1.0261223404328659</v>
      </c>
      <c r="K518">
        <v>2.2385885072652667</v>
      </c>
      <c r="L518">
        <v>0</v>
      </c>
      <c r="M518">
        <v>1.444870998495074E-3</v>
      </c>
      <c r="N518">
        <v>0.14594041080555029</v>
      </c>
      <c r="O518">
        <v>2.0228345366747797E-2</v>
      </c>
      <c r="P518">
        <v>2.6947403298361587E-2</v>
      </c>
      <c r="Q518">
        <v>5.8407855344292624E-3</v>
      </c>
      <c r="R518">
        <v>1.4241906202437312E-3</v>
      </c>
      <c r="S518">
        <v>0.25324075826818987</v>
      </c>
      <c r="T518">
        <v>1.3405944379056733</v>
      </c>
      <c r="U518">
        <v>0.14570105368879296</v>
      </c>
      <c r="V518">
        <v>0.18550584500832751</v>
      </c>
      <c r="W518">
        <v>9.3930431915133658E-2</v>
      </c>
      <c r="X518">
        <v>1.6803538468319335E-2</v>
      </c>
      <c r="Y518">
        <v>3.8761773839916503E-3</v>
      </c>
    </row>
    <row r="519" spans="1:25" x14ac:dyDescent="0.25">
      <c r="A519" s="1096"/>
      <c r="B519" s="1455">
        <v>269</v>
      </c>
      <c r="C519" s="1100">
        <v>1.0156816720870538</v>
      </c>
      <c r="D519" s="1100">
        <v>1.016929642893265</v>
      </c>
      <c r="E519" s="1100">
        <v>0.96016296560302061</v>
      </c>
      <c r="F519" s="1100">
        <v>1.0012564894273224</v>
      </c>
      <c r="G519" s="1100">
        <v>1.0077235347830689</v>
      </c>
      <c r="H519" s="1100">
        <v>0.98951050109017324</v>
      </c>
      <c r="I519" s="1100">
        <v>1.0281604029606315</v>
      </c>
      <c r="K519">
        <v>2.1997572007000596</v>
      </c>
      <c r="L519">
        <v>0</v>
      </c>
      <c r="M519">
        <v>1.6301668105043645E-3</v>
      </c>
      <c r="N519">
        <v>0.13137891177007563</v>
      </c>
      <c r="O519">
        <v>1.9351219151733139E-2</v>
      </c>
      <c r="P519">
        <v>2.5309389845586405E-2</v>
      </c>
      <c r="Q519">
        <v>5.1824894576224367E-3</v>
      </c>
      <c r="R519">
        <v>1.6070117662021718E-3</v>
      </c>
      <c r="S519">
        <v>0.24129663289129588</v>
      </c>
      <c r="T519">
        <v>1.3455061358547262</v>
      </c>
      <c r="U519">
        <v>0.14047817134174306</v>
      </c>
      <c r="V519">
        <v>0.18465043974809472</v>
      </c>
      <c r="W519">
        <v>8.8408232697663541E-2</v>
      </c>
      <c r="X519">
        <v>1.3844976709501378E-2</v>
      </c>
      <c r="Y519">
        <v>4.3737562763159574E-3</v>
      </c>
    </row>
    <row r="520" spans="1:25" x14ac:dyDescent="0.25">
      <c r="A520" s="1096"/>
      <c r="B520" s="1455">
        <v>270</v>
      </c>
      <c r="C520" s="1100">
        <v>0.97317195367334686</v>
      </c>
      <c r="D520" s="1100">
        <v>0.99821757227551322</v>
      </c>
      <c r="E520" s="1100">
        <v>1.0122992675876876</v>
      </c>
      <c r="F520" s="1100">
        <v>1.0146534040864217</v>
      </c>
      <c r="G520" s="1100">
        <v>1.0120392533823694</v>
      </c>
      <c r="H520" s="1100">
        <v>1.0039796802534453</v>
      </c>
      <c r="I520" s="1100">
        <v>0.96214942466068509</v>
      </c>
      <c r="K520">
        <v>2.2530437738129017</v>
      </c>
      <c r="L520">
        <v>0</v>
      </c>
      <c r="M520">
        <v>1.5560152847276121E-3</v>
      </c>
      <c r="N520">
        <v>0.14685031352837818</v>
      </c>
      <c r="O520">
        <v>2.0312603940331849E-2</v>
      </c>
      <c r="P520">
        <v>2.6676859260440354E-2</v>
      </c>
      <c r="Q520">
        <v>5.7349692043697081E-3</v>
      </c>
      <c r="R520">
        <v>1.5342320228532525E-3</v>
      </c>
      <c r="S520">
        <v>0.23940008483229755</v>
      </c>
      <c r="T520">
        <v>1.3635773645512899</v>
      </c>
      <c r="U520">
        <v>0.14673755101107558</v>
      </c>
      <c r="V520">
        <v>0.18773385143572688</v>
      </c>
      <c r="W520">
        <v>9.5771427955961969E-2</v>
      </c>
      <c r="X520">
        <v>1.6094857548147178E-2</v>
      </c>
      <c r="Y520">
        <v>4.1756738067561467E-3</v>
      </c>
    </row>
    <row r="521" spans="1:25" x14ac:dyDescent="0.25">
      <c r="A521" s="1096"/>
      <c r="B521" s="1455">
        <v>271</v>
      </c>
      <c r="C521" s="1100">
        <v>0.99470951361155791</v>
      </c>
      <c r="D521" s="1100">
        <v>1.0042196024563841</v>
      </c>
      <c r="E521" s="1100">
        <v>1.025624068684349</v>
      </c>
      <c r="F521" s="1100">
        <v>1.0077774974089047</v>
      </c>
      <c r="G521" s="1100">
        <v>0.99846187094487071</v>
      </c>
      <c r="H521" s="1100">
        <v>1.0279331488577446</v>
      </c>
      <c r="I521" s="1100">
        <v>1.0169349132621357</v>
      </c>
      <c r="K521">
        <v>2.2496908070992565</v>
      </c>
      <c r="L521">
        <v>0</v>
      </c>
      <c r="M521">
        <v>1.5140342322943518E-3</v>
      </c>
      <c r="N521">
        <v>0.14879882355558255</v>
      </c>
      <c r="O521">
        <v>1.9854985755076889E-2</v>
      </c>
      <c r="P521">
        <v>2.6859202683743966E-2</v>
      </c>
      <c r="Q521">
        <v>5.6805629594035125E-3</v>
      </c>
      <c r="R521">
        <v>1.4933325899990127E-3</v>
      </c>
      <c r="S521">
        <v>0.24888128572642038</v>
      </c>
      <c r="T521">
        <v>1.3543638018260367</v>
      </c>
      <c r="U521">
        <v>0.14359130380952048</v>
      </c>
      <c r="V521">
        <v>0.18489121322964094</v>
      </c>
      <c r="W521">
        <v>9.6287998854943338E-2</v>
      </c>
      <c r="X521">
        <v>1.6437971308163709E-2</v>
      </c>
      <c r="Y521">
        <v>4.0643590330213218E-3</v>
      </c>
    </row>
    <row r="522" spans="1:25" x14ac:dyDescent="0.25">
      <c r="A522" s="1096"/>
      <c r="B522" s="1455">
        <v>272</v>
      </c>
      <c r="C522" s="1100">
        <v>0.97833640567884128</v>
      </c>
      <c r="D522" s="1100">
        <v>0.97191254952009332</v>
      </c>
      <c r="E522" s="1100">
        <v>0.98020276062282541</v>
      </c>
      <c r="F522" s="1100">
        <v>1.0021433305312903</v>
      </c>
      <c r="G522" s="1100">
        <v>1.0298970750037015</v>
      </c>
      <c r="H522" s="1100">
        <v>0.98049390465066233</v>
      </c>
      <c r="I522" s="1100">
        <v>1.0116446738507667</v>
      </c>
      <c r="K522">
        <v>2.2362688040383434</v>
      </c>
      <c r="L522">
        <v>0</v>
      </c>
      <c r="M522">
        <v>1.6251150481713435E-3</v>
      </c>
      <c r="N522">
        <v>0.13914642478945294</v>
      </c>
      <c r="O522">
        <v>2.0303827384674952E-2</v>
      </c>
      <c r="P522">
        <v>2.5991520770678813E-2</v>
      </c>
      <c r="Q522">
        <v>5.5501213473908061E-3</v>
      </c>
      <c r="R522">
        <v>1.6018194862600736E-3</v>
      </c>
      <c r="S522">
        <v>0.25153977070089978</v>
      </c>
      <c r="T522">
        <v>1.3467167019811022</v>
      </c>
      <c r="U522">
        <v>0.14588746460332613</v>
      </c>
      <c r="V522">
        <v>0.18940208810372575</v>
      </c>
      <c r="W522">
        <v>9.2500218889835617E-2</v>
      </c>
      <c r="X522">
        <v>1.4894336427216444E-2</v>
      </c>
      <c r="Y522">
        <v>4.3596246019481895E-3</v>
      </c>
    </row>
    <row r="523" spans="1:25" x14ac:dyDescent="0.25">
      <c r="A523" s="1096"/>
      <c r="B523" s="1455">
        <v>273</v>
      </c>
      <c r="C523" s="1100">
        <v>0.98279696377832892</v>
      </c>
      <c r="D523" s="1100">
        <v>1.0206486299650808</v>
      </c>
      <c r="E523" s="1100">
        <v>0.99804789020981965</v>
      </c>
      <c r="F523" s="1100">
        <v>1.0133305151698486</v>
      </c>
      <c r="G523" s="1100">
        <v>0.99250841220175179</v>
      </c>
      <c r="H523" s="1100">
        <v>1.0362727280205368</v>
      </c>
      <c r="I523" s="1100">
        <v>1.0357293290036156</v>
      </c>
      <c r="K523">
        <v>2.263333246216197</v>
      </c>
      <c r="L523">
        <v>0</v>
      </c>
      <c r="M523">
        <v>1.6301001925445755E-3</v>
      </c>
      <c r="N523">
        <v>0.14742642679659071</v>
      </c>
      <c r="O523">
        <v>2.0006553712677018E-2</v>
      </c>
      <c r="P523">
        <v>2.6525568886694856E-2</v>
      </c>
      <c r="Q523">
        <v>5.5684480978188044E-3</v>
      </c>
      <c r="R523">
        <v>1.607990932550997E-3</v>
      </c>
      <c r="S523">
        <v>0.25498165111527021</v>
      </c>
      <c r="T523">
        <v>1.3617749455530708</v>
      </c>
      <c r="U523">
        <v>0.1452670663005601</v>
      </c>
      <c r="V523">
        <v>0.18491617854723016</v>
      </c>
      <c r="W523">
        <v>9.6961659443779449E-2</v>
      </c>
      <c r="X523">
        <v>1.5550435778161993E-2</v>
      </c>
      <c r="Y523">
        <v>4.3764212443353585E-3</v>
      </c>
    </row>
    <row r="524" spans="1:25" x14ac:dyDescent="0.25">
      <c r="A524" s="1096"/>
      <c r="B524" s="1455">
        <v>274</v>
      </c>
      <c r="C524" s="1100">
        <v>0.97903904456603918</v>
      </c>
      <c r="D524" s="1100">
        <v>1.0236735943525075</v>
      </c>
      <c r="E524" s="1100">
        <v>1.0173611892381162</v>
      </c>
      <c r="F524" s="1100">
        <v>0.99906413497346191</v>
      </c>
      <c r="G524" s="1100">
        <v>0.97108607299369221</v>
      </c>
      <c r="H524" s="1100">
        <v>1.0095528401626219</v>
      </c>
      <c r="I524" s="1100">
        <v>0.97610632562339872</v>
      </c>
      <c r="K524">
        <v>2.2245450065951209</v>
      </c>
      <c r="L524">
        <v>0</v>
      </c>
      <c r="M524">
        <v>1.5304921336619882E-3</v>
      </c>
      <c r="N524">
        <v>0.14667654317717591</v>
      </c>
      <c r="O524">
        <v>2.0082549179529143E-2</v>
      </c>
      <c r="P524">
        <v>2.6399104353818641E-2</v>
      </c>
      <c r="Q524">
        <v>5.6987033900856307E-3</v>
      </c>
      <c r="R524">
        <v>1.509184460636247E-3</v>
      </c>
      <c r="S524">
        <v>0.2388966453691119</v>
      </c>
      <c r="T524">
        <v>1.3426368517302429</v>
      </c>
      <c r="U524">
        <v>0.14587012714130923</v>
      </c>
      <c r="V524">
        <v>0.18274413255497141</v>
      </c>
      <c r="W524">
        <v>9.5374077052062189E-2</v>
      </c>
      <c r="X524">
        <v>1.6080077720510781E-2</v>
      </c>
      <c r="Y524">
        <v>4.1075025993281243E-3</v>
      </c>
    </row>
    <row r="525" spans="1:25" x14ac:dyDescent="0.25">
      <c r="A525" s="1096"/>
      <c r="B525" s="1455">
        <v>275</v>
      </c>
      <c r="C525" s="1100">
        <v>1.0087373422683028</v>
      </c>
      <c r="D525" s="1100">
        <v>1.0188817013572409</v>
      </c>
      <c r="E525" s="1100">
        <v>1.0014684875278297</v>
      </c>
      <c r="F525" s="1100">
        <v>0.96773629840569342</v>
      </c>
      <c r="G525" s="1100">
        <v>1.0071201211790757</v>
      </c>
      <c r="H525" s="1100">
        <v>1.0199415459553616</v>
      </c>
      <c r="I525" s="1100">
        <v>1.0063283160758887</v>
      </c>
      <c r="K525">
        <v>2.1720519602006858</v>
      </c>
      <c r="L525">
        <v>0</v>
      </c>
      <c r="M525">
        <v>1.5526923252114219E-3</v>
      </c>
      <c r="N525">
        <v>0.14185317456492863</v>
      </c>
      <c r="O525">
        <v>1.950161241375626E-2</v>
      </c>
      <c r="P525">
        <v>2.5506473443607253E-2</v>
      </c>
      <c r="Q525">
        <v>5.4466046575724313E-3</v>
      </c>
      <c r="R525">
        <v>1.5312957580789594E-3</v>
      </c>
      <c r="S525">
        <v>0.24030471976702358</v>
      </c>
      <c r="T525">
        <v>1.3005079271965621</v>
      </c>
      <c r="U525">
        <v>0.14153922999922966</v>
      </c>
      <c r="V525">
        <v>0.18501859582302083</v>
      </c>
      <c r="W525">
        <v>9.3106641876327501E-2</v>
      </c>
      <c r="X525">
        <v>1.5120694763806938E-2</v>
      </c>
      <c r="Y525">
        <v>4.1676822619799419E-3</v>
      </c>
    </row>
    <row r="526" spans="1:25" x14ac:dyDescent="0.25">
      <c r="A526" s="1096"/>
      <c r="B526" s="1455">
        <v>276</v>
      </c>
      <c r="C526" s="1100">
        <v>0.983140349879149</v>
      </c>
      <c r="D526" s="1100">
        <v>0.97376197803161824</v>
      </c>
      <c r="E526" s="1100">
        <v>0.99916304609010587</v>
      </c>
      <c r="F526" s="1100">
        <v>0.99995832204253221</v>
      </c>
      <c r="G526" s="1100">
        <v>1.0372118553847123</v>
      </c>
      <c r="H526" s="1100">
        <v>0.99319397493538408</v>
      </c>
      <c r="I526" s="1100">
        <v>1.0299695671771121</v>
      </c>
      <c r="K526">
        <v>2.2434085450150625</v>
      </c>
      <c r="L526">
        <v>0</v>
      </c>
      <c r="M526">
        <v>1.5743865386556187E-3</v>
      </c>
      <c r="N526">
        <v>0.14278305556640447</v>
      </c>
      <c r="O526">
        <v>2.0208265600230195E-2</v>
      </c>
      <c r="P526">
        <v>2.6382148068521554E-2</v>
      </c>
      <c r="Q526">
        <v>5.6309040000307323E-3</v>
      </c>
      <c r="R526">
        <v>1.5521067396606467E-3</v>
      </c>
      <c r="S526">
        <v>0.25582563752961385</v>
      </c>
      <c r="T526">
        <v>1.3438063237474707</v>
      </c>
      <c r="U526">
        <v>0.14521893908118805</v>
      </c>
      <c r="V526">
        <v>0.18994920781036717</v>
      </c>
      <c r="W526">
        <v>9.3845447490431527E-2</v>
      </c>
      <c r="X526">
        <v>1.555657302629236E-2</v>
      </c>
      <c r="Y526">
        <v>4.2243228935070617E-3</v>
      </c>
    </row>
    <row r="527" spans="1:25" x14ac:dyDescent="0.25">
      <c r="A527" s="1096"/>
      <c r="B527" s="1455">
        <v>277</v>
      </c>
      <c r="C527" s="1100">
        <v>0.99618606817886979</v>
      </c>
      <c r="D527" s="1100">
        <v>1.00608411616982</v>
      </c>
      <c r="E527" s="1100">
        <v>0.994840711886531</v>
      </c>
      <c r="F527" s="1100">
        <v>1.0016959259991949</v>
      </c>
      <c r="G527" s="1100">
        <v>1.0341614091278457</v>
      </c>
      <c r="H527" s="1100">
        <v>1.0028861221524348</v>
      </c>
      <c r="I527" s="1100">
        <v>0.99355714975006348</v>
      </c>
      <c r="K527">
        <v>2.2227958311879124</v>
      </c>
      <c r="L527">
        <v>0</v>
      </c>
      <c r="M527">
        <v>1.5717231355778052E-3</v>
      </c>
      <c r="N527">
        <v>0.14071131507172308</v>
      </c>
      <c r="O527">
        <v>1.9798159958911776E-2</v>
      </c>
      <c r="P527">
        <v>2.6076698887265711E-2</v>
      </c>
      <c r="Q527">
        <v>5.492674802655537E-3</v>
      </c>
      <c r="R527">
        <v>1.5496959809120523E-3</v>
      </c>
      <c r="S527">
        <v>0.24034123470945748</v>
      </c>
      <c r="T527">
        <v>1.3461348133176789</v>
      </c>
      <c r="U527">
        <v>0.14330721584068395</v>
      </c>
      <c r="V527">
        <v>0.1888104443130966</v>
      </c>
      <c r="W527">
        <v>9.272223465443627E-2</v>
      </c>
      <c r="X527">
        <v>1.5205305183770631E-2</v>
      </c>
      <c r="Y527">
        <v>4.2177616028997948E-3</v>
      </c>
    </row>
    <row r="528" spans="1:25" x14ac:dyDescent="0.25">
      <c r="A528" s="1096"/>
      <c r="B528" s="1455">
        <v>278</v>
      </c>
      <c r="C528" s="1100">
        <v>1.0077239910304385</v>
      </c>
      <c r="D528" s="1100">
        <v>1.0081500010468558</v>
      </c>
      <c r="E528" s="1100">
        <v>0.98873990365118636</v>
      </c>
      <c r="F528" s="1100">
        <v>1.0115368279829113</v>
      </c>
      <c r="G528" s="1100">
        <v>0.99414463251531815</v>
      </c>
      <c r="H528" s="1100">
        <v>0.98670640096665663</v>
      </c>
      <c r="I528" s="1100">
        <v>1.0461772708121913</v>
      </c>
      <c r="K528">
        <v>2.2292359364410181</v>
      </c>
      <c r="L528">
        <v>0</v>
      </c>
      <c r="M528">
        <v>1.5474056494719814E-3</v>
      </c>
      <c r="N528">
        <v>0.13597098260251816</v>
      </c>
      <c r="O528">
        <v>1.9558880754437031E-2</v>
      </c>
      <c r="P528">
        <v>2.615415399503131E-2</v>
      </c>
      <c r="Q528">
        <v>5.3929655132551289E-3</v>
      </c>
      <c r="R528">
        <v>1.5253636894974659E-3</v>
      </c>
      <c r="S528">
        <v>0.24852600174297015</v>
      </c>
      <c r="T528">
        <v>1.3593508446054356</v>
      </c>
      <c r="U528">
        <v>0.14165250151113898</v>
      </c>
      <c r="V528">
        <v>0.18360002774833778</v>
      </c>
      <c r="W528">
        <v>8.9926170604329767E-2</v>
      </c>
      <c r="X528">
        <v>1.4973912196730841E-2</v>
      </c>
      <c r="Y528">
        <v>4.1515371268069992E-3</v>
      </c>
    </row>
    <row r="529" spans="1:25" x14ac:dyDescent="0.25">
      <c r="A529" s="1096"/>
      <c r="B529" s="1455">
        <v>279</v>
      </c>
      <c r="C529" s="1100">
        <v>0.9966382996966765</v>
      </c>
      <c r="D529" s="1100">
        <v>1.0106820609311324</v>
      </c>
      <c r="E529" s="1100">
        <v>1.0179329682372757</v>
      </c>
      <c r="F529" s="1100">
        <v>0.99065390159246014</v>
      </c>
      <c r="G529" s="1100">
        <v>1.0141326095421033</v>
      </c>
      <c r="H529" s="1100">
        <v>1.0133708318989114</v>
      </c>
      <c r="I529" s="1100">
        <v>1.0404489847565805</v>
      </c>
      <c r="K529">
        <v>2.2245949264877809</v>
      </c>
      <c r="L529">
        <v>0</v>
      </c>
      <c r="M529">
        <v>1.5115994526802229E-3</v>
      </c>
      <c r="N529">
        <v>0.14512380274813935</v>
      </c>
      <c r="O529">
        <v>1.978378921637975E-2</v>
      </c>
      <c r="P529">
        <v>2.6452856571092729E-2</v>
      </c>
      <c r="Q529">
        <v>5.6171222582642403E-3</v>
      </c>
      <c r="R529">
        <v>1.4906340936936277E-3</v>
      </c>
      <c r="S529">
        <v>0.25205938710148185</v>
      </c>
      <c r="T529">
        <v>1.3313355022012741</v>
      </c>
      <c r="U529">
        <v>0.14329558669921699</v>
      </c>
      <c r="V529">
        <v>0.1865399592503279</v>
      </c>
      <c r="W529">
        <v>9.4332812354374629E-2</v>
      </c>
      <c r="X529">
        <v>1.6018058830577154E-2</v>
      </c>
      <c r="Y529">
        <v>4.0570146156371318E-3</v>
      </c>
    </row>
    <row r="530" spans="1:25" x14ac:dyDescent="0.25">
      <c r="A530" s="1096"/>
      <c r="B530" s="1455">
        <v>280</v>
      </c>
      <c r="C530" s="1100">
        <v>0.97770663491949306</v>
      </c>
      <c r="D530" s="1100">
        <v>1.0118629128542791</v>
      </c>
      <c r="E530" s="1100">
        <v>1.0028749095589469</v>
      </c>
      <c r="F530" s="1100">
        <v>1.0065285974358533</v>
      </c>
      <c r="G530" s="1100">
        <v>1.0232527718565434</v>
      </c>
      <c r="H530" s="1100">
        <v>0.99626791591924013</v>
      </c>
      <c r="I530" s="1100">
        <v>0.97154888564566189</v>
      </c>
      <c r="K530">
        <v>2.2349315550404856</v>
      </c>
      <c r="L530">
        <v>0</v>
      </c>
      <c r="M530">
        <v>1.5626036952407236E-3</v>
      </c>
      <c r="N530">
        <v>0.14331886052274476</v>
      </c>
      <c r="O530">
        <v>2.0152078081178422E-2</v>
      </c>
      <c r="P530">
        <v>2.6330691402420458E-2</v>
      </c>
      <c r="Q530">
        <v>5.6362259745135193E-3</v>
      </c>
      <c r="R530">
        <v>1.5405588690277636E-3</v>
      </c>
      <c r="S530">
        <v>0.23831339859296888</v>
      </c>
      <c r="T530">
        <v>1.352641900125944</v>
      </c>
      <c r="U530">
        <v>0.14603475186161743</v>
      </c>
      <c r="V530">
        <v>0.1887100010123493</v>
      </c>
      <c r="W530">
        <v>9.3990193795378749E-2</v>
      </c>
      <c r="X530">
        <v>1.5632605101182247E-2</v>
      </c>
      <c r="Y530">
        <v>4.1928933963988838E-3</v>
      </c>
    </row>
    <row r="531" spans="1:25" x14ac:dyDescent="0.25">
      <c r="A531" s="1096"/>
      <c r="B531" s="1455">
        <v>281</v>
      </c>
      <c r="C531" s="1100">
        <v>0.98373785919060186</v>
      </c>
      <c r="D531" s="1100">
        <v>0.99305732534038704</v>
      </c>
      <c r="E531" s="1100">
        <v>0.98426647224930064</v>
      </c>
      <c r="F531" s="1100">
        <v>0.99373759816650875</v>
      </c>
      <c r="G531" s="1100">
        <v>0.97770709964922253</v>
      </c>
      <c r="H531" s="1100">
        <v>1.0273955505056069</v>
      </c>
      <c r="I531" s="1100">
        <v>1.0053550809981551</v>
      </c>
      <c r="K531">
        <v>2.2254065650046724</v>
      </c>
      <c r="L531">
        <v>0</v>
      </c>
      <c r="M531">
        <v>1.6713935776241362E-3</v>
      </c>
      <c r="N531">
        <v>0.14497524718097243</v>
      </c>
      <c r="O531">
        <v>2.0099537290773777E-2</v>
      </c>
      <c r="P531">
        <v>2.5801357572444495E-2</v>
      </c>
      <c r="Q531">
        <v>5.516989854037097E-3</v>
      </c>
      <c r="R531">
        <v>1.6485283765216242E-3</v>
      </c>
      <c r="S531">
        <v>0.24980420784128896</v>
      </c>
      <c r="T531">
        <v>1.3354256333056842</v>
      </c>
      <c r="U531">
        <v>0.14509591730407503</v>
      </c>
      <c r="V531">
        <v>0.18317313797750365</v>
      </c>
      <c r="W531">
        <v>9.6139264418646883E-2</v>
      </c>
      <c r="X531">
        <v>1.4911386656689458E-2</v>
      </c>
      <c r="Y531">
        <v>4.486750803658594E-3</v>
      </c>
    </row>
    <row r="532" spans="1:25" x14ac:dyDescent="0.25">
      <c r="A532" s="1096"/>
      <c r="B532" s="1455">
        <v>282</v>
      </c>
      <c r="C532" s="1100">
        <v>0.98125157958006604</v>
      </c>
      <c r="D532" s="1100">
        <v>0.99038751629050636</v>
      </c>
      <c r="E532" s="1100">
        <v>1.0100140445841301</v>
      </c>
      <c r="F532" s="1100">
        <v>0.97610733338597955</v>
      </c>
      <c r="G532" s="1100">
        <v>0.99666971643676172</v>
      </c>
      <c r="H532" s="1100">
        <v>0.9972523824275501</v>
      </c>
      <c r="I532" s="1100">
        <v>1.038793768062348</v>
      </c>
      <c r="K532">
        <v>2.2104344220157355</v>
      </c>
      <c r="L532">
        <v>0</v>
      </c>
      <c r="M532">
        <v>1.5428292004466522E-3</v>
      </c>
      <c r="N532">
        <v>0.14459101011050327</v>
      </c>
      <c r="O532">
        <v>2.017882146125476E-2</v>
      </c>
      <c r="P532">
        <v>2.6111051937746065E-2</v>
      </c>
      <c r="Q532">
        <v>5.6842061355720707E-3</v>
      </c>
      <c r="R532">
        <v>1.5210848347027015E-3</v>
      </c>
      <c r="S532">
        <v>0.25676103884539925</v>
      </c>
      <c r="T532">
        <v>1.3117717938180209</v>
      </c>
      <c r="U532">
        <v>0.14552394288356255</v>
      </c>
      <c r="V532">
        <v>0.18549245380687104</v>
      </c>
      <c r="W532">
        <v>9.4425017353584412E-2</v>
      </c>
      <c r="X532">
        <v>1.5776938534385745E-2</v>
      </c>
      <c r="Y532">
        <v>4.1398914945797545E-3</v>
      </c>
    </row>
    <row r="533" spans="1:25" x14ac:dyDescent="0.25">
      <c r="A533" s="1096"/>
      <c r="B533" s="1455">
        <v>283</v>
      </c>
      <c r="C533" s="1100">
        <v>0.99235229592017715</v>
      </c>
      <c r="D533" s="1100">
        <v>1.0012600908493408</v>
      </c>
      <c r="E533" s="1100">
        <v>0.95583948532627216</v>
      </c>
      <c r="F533" s="1100">
        <v>0.99102230034952443</v>
      </c>
      <c r="G533" s="1100">
        <v>0.97893548801552621</v>
      </c>
      <c r="H533" s="1100">
        <v>1.0057709371297625</v>
      </c>
      <c r="I533" s="1100">
        <v>1.0294628681689362</v>
      </c>
      <c r="K533">
        <v>2.2063301174150953</v>
      </c>
      <c r="L533">
        <v>0</v>
      </c>
      <c r="M533">
        <v>1.7169391919830165E-3</v>
      </c>
      <c r="N533">
        <v>0.13660270642138359</v>
      </c>
      <c r="O533">
        <v>1.9871227721386098E-2</v>
      </c>
      <c r="P533">
        <v>2.5183589817144993E-2</v>
      </c>
      <c r="Q533">
        <v>5.298131945088479E-3</v>
      </c>
      <c r="R533">
        <v>1.6929459016599606E-3</v>
      </c>
      <c r="S533">
        <v>0.2505194482703233</v>
      </c>
      <c r="T533">
        <v>1.3317504021125219</v>
      </c>
      <c r="U533">
        <v>0.14377073504918556</v>
      </c>
      <c r="V533">
        <v>0.18276469223672645</v>
      </c>
      <c r="W533">
        <v>9.2167990069184969E-2</v>
      </c>
      <c r="X533">
        <v>1.3817546397620705E-2</v>
      </c>
      <c r="Y533">
        <v>4.607640664851918E-3</v>
      </c>
    </row>
    <row r="534" spans="1:25" x14ac:dyDescent="0.25">
      <c r="A534" s="1096"/>
      <c r="B534" s="1455">
        <v>284</v>
      </c>
      <c r="C534" s="1100">
        <v>1.0371326040182745</v>
      </c>
      <c r="D534" s="1100">
        <v>0.99944938052906784</v>
      </c>
      <c r="E534" s="1100">
        <v>0.99046813050676519</v>
      </c>
      <c r="F534" s="1100">
        <v>0.99141748381750594</v>
      </c>
      <c r="G534" s="1100">
        <v>1.0021518853375626</v>
      </c>
      <c r="H534" s="1100">
        <v>0.97675713336281178</v>
      </c>
      <c r="I534" s="1100">
        <v>1.0183047780016721</v>
      </c>
      <c r="K534">
        <v>2.1745196911495794</v>
      </c>
      <c r="L534">
        <v>0</v>
      </c>
      <c r="M534">
        <v>1.4858806625507649E-3</v>
      </c>
      <c r="N534">
        <v>0.1312294758306102</v>
      </c>
      <c r="O534">
        <v>1.9041588363152007E-2</v>
      </c>
      <c r="P534">
        <v>2.5577983406904477E-2</v>
      </c>
      <c r="Q534">
        <v>5.2595140903203431E-3</v>
      </c>
      <c r="R534">
        <v>1.4644994999607761E-3</v>
      </c>
      <c r="S534">
        <v>0.23529527639334571</v>
      </c>
      <c r="T534">
        <v>1.3323158615763979</v>
      </c>
      <c r="U534">
        <v>0.13763967690093856</v>
      </c>
      <c r="V534">
        <v>0.18283761425013745</v>
      </c>
      <c r="W534">
        <v>8.6700476907208418E-2</v>
      </c>
      <c r="X534">
        <v>1.4657719726388591E-2</v>
      </c>
      <c r="Y534">
        <v>3.9858848667628181E-3</v>
      </c>
    </row>
    <row r="535" spans="1:25" x14ac:dyDescent="0.25">
      <c r="A535" s="1096"/>
      <c r="B535" s="1455">
        <v>285</v>
      </c>
      <c r="C535" s="1100">
        <v>0.97929275182832409</v>
      </c>
      <c r="D535" s="1100">
        <v>1.0005806575678795</v>
      </c>
      <c r="E535" s="1100">
        <v>1.031081223057172</v>
      </c>
      <c r="F535" s="1100">
        <v>0.9590388198670623</v>
      </c>
      <c r="G535" s="1100">
        <v>0.97729585918128981</v>
      </c>
      <c r="H535" s="1100">
        <v>1.0138418142786139</v>
      </c>
      <c r="I535" s="1100">
        <v>0.97537565376924784</v>
      </c>
      <c r="K535">
        <v>2.1789878885459215</v>
      </c>
      <c r="L535">
        <v>0</v>
      </c>
      <c r="M535">
        <v>1.5008394327191605E-3</v>
      </c>
      <c r="N535">
        <v>0.14992007289354248</v>
      </c>
      <c r="O535">
        <v>2.0187166621007554E-2</v>
      </c>
      <c r="P535">
        <v>2.5964808397920182E-2</v>
      </c>
      <c r="Q535">
        <v>5.80687536735589E-3</v>
      </c>
      <c r="R535">
        <v>1.4800329816428886E-3</v>
      </c>
      <c r="S535">
        <v>0.2418214029247775</v>
      </c>
      <c r="T535">
        <v>1.2888748486258095</v>
      </c>
      <c r="U535">
        <v>0.14586471064151357</v>
      </c>
      <c r="V535">
        <v>0.18344330557896754</v>
      </c>
      <c r="W535">
        <v>9.6706336798540751E-2</v>
      </c>
      <c r="X535">
        <v>1.6391005264269228E-2</v>
      </c>
      <c r="Y535">
        <v>4.0281618832906678E-3</v>
      </c>
    </row>
    <row r="536" spans="1:25" x14ac:dyDescent="0.25">
      <c r="A536" s="1096"/>
      <c r="B536" s="1455">
        <v>286</v>
      </c>
      <c r="C536" s="1100">
        <v>1.027325511349626</v>
      </c>
      <c r="D536" s="1100">
        <v>0.98863299488163581</v>
      </c>
      <c r="E536" s="1100">
        <v>1.0311191828600548</v>
      </c>
      <c r="F536" s="1100">
        <v>0.97826741063222566</v>
      </c>
      <c r="G536" s="1100">
        <v>0.99947864980519385</v>
      </c>
      <c r="H536" s="1100">
        <v>0.99924191845566002</v>
      </c>
      <c r="I536" s="1100">
        <v>0.9856473436793951</v>
      </c>
      <c r="K536">
        <v>2.1731874414655858</v>
      </c>
      <c r="L536">
        <v>0</v>
      </c>
      <c r="M536">
        <v>1.4136845987945321E-3</v>
      </c>
      <c r="N536">
        <v>0.14120125564086261</v>
      </c>
      <c r="O536">
        <v>1.9294258757878362E-2</v>
      </c>
      <c r="P536">
        <v>2.6106272279456801E-2</v>
      </c>
      <c r="Q536">
        <v>5.5502369632369512E-3</v>
      </c>
      <c r="R536">
        <v>1.3938000445837516E-3</v>
      </c>
      <c r="S536">
        <v>0.23321444158534957</v>
      </c>
      <c r="T536">
        <v>1.3147166883392571</v>
      </c>
      <c r="U536">
        <v>0.13904486952315381</v>
      </c>
      <c r="V536">
        <v>0.1831168454320217</v>
      </c>
      <c r="W536">
        <v>9.1080235609039537E-2</v>
      </c>
      <c r="X536">
        <v>1.6088757634244194E-2</v>
      </c>
      <c r="Y536">
        <v>3.7934642552957584E-3</v>
      </c>
    </row>
    <row r="537" spans="1:25" x14ac:dyDescent="0.25">
      <c r="A537" s="1096"/>
      <c r="B537" s="1455">
        <v>287</v>
      </c>
      <c r="C537" s="1100">
        <v>1.0188861389321811</v>
      </c>
      <c r="D537" s="1100">
        <v>0.97723709436259665</v>
      </c>
      <c r="E537" s="1100">
        <v>1.0021829110116955</v>
      </c>
      <c r="F537" s="1100">
        <v>0.99281872330730248</v>
      </c>
      <c r="G537" s="1100">
        <v>1.0089481355783367</v>
      </c>
      <c r="H537" s="1100">
        <v>1.0175982855944765</v>
      </c>
      <c r="I537" s="1100">
        <v>0.98439348168014773</v>
      </c>
      <c r="K537">
        <v>2.2010037436666154</v>
      </c>
      <c r="L537">
        <v>0</v>
      </c>
      <c r="M537">
        <v>1.5455476428487128E-3</v>
      </c>
      <c r="N537">
        <v>0.14150094606923677</v>
      </c>
      <c r="O537">
        <v>1.9485879820640553E-2</v>
      </c>
      <c r="P537">
        <v>2.591691208171212E-2</v>
      </c>
      <c r="Q537">
        <v>5.4461163370070368E-3</v>
      </c>
      <c r="R537">
        <v>1.5242004876568184E-3</v>
      </c>
      <c r="S537">
        <v>0.23742703589659495</v>
      </c>
      <c r="T537">
        <v>1.3342165030550002</v>
      </c>
      <c r="U537">
        <v>0.14013101811788295</v>
      </c>
      <c r="V537">
        <v>0.18464003976753807</v>
      </c>
      <c r="W537">
        <v>9.2836082350778365E-2</v>
      </c>
      <c r="X537">
        <v>1.5276186050570652E-2</v>
      </c>
      <c r="Y537">
        <v>4.148371274846142E-3</v>
      </c>
    </row>
    <row r="538" spans="1:25" x14ac:dyDescent="0.25">
      <c r="A538" s="1096"/>
      <c r="B538" s="1455">
        <v>288</v>
      </c>
      <c r="C538" s="1100">
        <v>1.0108227990517236</v>
      </c>
      <c r="D538" s="1100">
        <v>0.98906986325373403</v>
      </c>
      <c r="E538" s="1100">
        <v>0.99274694948595499</v>
      </c>
      <c r="F538" s="1100">
        <v>0.99433554974230898</v>
      </c>
      <c r="G538" s="1100">
        <v>0.99893190094053708</v>
      </c>
      <c r="H538" s="1100">
        <v>0.99544863223332891</v>
      </c>
      <c r="I538" s="1100">
        <v>0.96913815436855444</v>
      </c>
      <c r="K538">
        <v>2.1924818809309286</v>
      </c>
      <c r="L538">
        <v>0</v>
      </c>
      <c r="M538">
        <v>1.5499678395883298E-3</v>
      </c>
      <c r="N538">
        <v>0.13787358440252973</v>
      </c>
      <c r="O538">
        <v>1.9583537324478983E-2</v>
      </c>
      <c r="P538">
        <v>2.5700091793600815E-2</v>
      </c>
      <c r="Q538">
        <v>5.421669398336001E-3</v>
      </c>
      <c r="R538">
        <v>1.528083280071479E-3</v>
      </c>
      <c r="S538">
        <v>0.23242532065372917</v>
      </c>
      <c r="T538">
        <v>1.3362404961629233</v>
      </c>
      <c r="U538">
        <v>0.14122736076427</v>
      </c>
      <c r="V538">
        <v>0.18396415935897442</v>
      </c>
      <c r="W538">
        <v>9.0965986626160081E-2</v>
      </c>
      <c r="X538">
        <v>1.4942620049606229E-2</v>
      </c>
      <c r="Y538">
        <v>4.1589389558366711E-3</v>
      </c>
    </row>
    <row r="539" spans="1:25" x14ac:dyDescent="0.25">
      <c r="A539" s="1096"/>
      <c r="B539" s="1455">
        <v>289</v>
      </c>
      <c r="C539" s="1100">
        <v>1.0209064902196743</v>
      </c>
      <c r="D539" s="1100">
        <v>0.98496764532837744</v>
      </c>
      <c r="E539" s="1100">
        <v>0.98129542854004081</v>
      </c>
      <c r="F539" s="1100">
        <v>1.0125177530803713</v>
      </c>
      <c r="G539" s="1100">
        <v>1.0212121618168908</v>
      </c>
      <c r="H539" s="1100">
        <v>1.0143522954971587</v>
      </c>
      <c r="I539" s="1100">
        <v>0.99918783502200748</v>
      </c>
      <c r="K539">
        <v>2.22433409733295</v>
      </c>
      <c r="L539">
        <v>0</v>
      </c>
      <c r="M539">
        <v>1.6027805589308294E-3</v>
      </c>
      <c r="N539">
        <v>0.13775535692816648</v>
      </c>
      <c r="O539">
        <v>1.9400828753333044E-2</v>
      </c>
      <c r="P539">
        <v>2.5905008244358003E-2</v>
      </c>
      <c r="Q539">
        <v>5.3091741166219871E-3</v>
      </c>
      <c r="R539">
        <v>1.5805720589324103E-3</v>
      </c>
      <c r="S539">
        <v>0.23916024805919678</v>
      </c>
      <c r="T539">
        <v>1.3606595242414481</v>
      </c>
      <c r="U539">
        <v>0.13980665909462303</v>
      </c>
      <c r="V539">
        <v>0.18589354447264797</v>
      </c>
      <c r="W539">
        <v>9.1515116444111325E-2</v>
      </c>
      <c r="X539">
        <v>1.4649049369465313E-2</v>
      </c>
      <c r="Y539">
        <v>4.3017961089748249E-3</v>
      </c>
    </row>
    <row r="540" spans="1:25" x14ac:dyDescent="0.25">
      <c r="A540" s="1096"/>
      <c r="B540" s="1455">
        <v>290</v>
      </c>
      <c r="C540" s="1100">
        <v>1.0068818029659843</v>
      </c>
      <c r="D540" s="1100">
        <v>1.0253147200722252</v>
      </c>
      <c r="E540" s="1100">
        <v>1.0082892587643262</v>
      </c>
      <c r="F540" s="1100">
        <v>1.0320001864551576</v>
      </c>
      <c r="G540" s="1100">
        <v>0.9736321302249985</v>
      </c>
      <c r="H540" s="1100">
        <v>0.97993655613554798</v>
      </c>
      <c r="I540" s="1100">
        <v>0.97084667334996444</v>
      </c>
      <c r="K540">
        <v>2.2365740811701125</v>
      </c>
      <c r="L540">
        <v>0</v>
      </c>
      <c r="M540">
        <v>1.4714894066081548E-3</v>
      </c>
      <c r="N540">
        <v>0.13715425873033191</v>
      </c>
      <c r="O540">
        <v>1.9514728371990361E-2</v>
      </c>
      <c r="P540">
        <v>2.6613099456168889E-2</v>
      </c>
      <c r="Q540">
        <v>5.4876624121234854E-3</v>
      </c>
      <c r="R540">
        <v>1.4503840274984179E-3</v>
      </c>
      <c r="S540">
        <v>0.22851314183744298</v>
      </c>
      <c r="T540">
        <v>1.3868819333272311</v>
      </c>
      <c r="U540">
        <v>0.14181567465977024</v>
      </c>
      <c r="V540">
        <v>0.18134769641236972</v>
      </c>
      <c r="W540">
        <v>8.9659658425457478E-2</v>
      </c>
      <c r="X540">
        <v>1.5659865712449813E-2</v>
      </c>
      <c r="Y540">
        <v>3.9474672038845252E-3</v>
      </c>
    </row>
    <row r="541" spans="1:25" x14ac:dyDescent="0.25">
      <c r="A541" s="1096"/>
      <c r="B541" s="1455">
        <v>291</v>
      </c>
      <c r="C541" s="1100">
        <v>0.97798414987775162</v>
      </c>
      <c r="D541" s="1100">
        <v>1.0314091072549756</v>
      </c>
      <c r="E541" s="1100">
        <v>0.95316411761287456</v>
      </c>
      <c r="F541" s="1100">
        <v>0.99219065340915835</v>
      </c>
      <c r="G541" s="1100">
        <v>0.95384646837096887</v>
      </c>
      <c r="H541" s="1100">
        <v>0.97198272568620692</v>
      </c>
      <c r="I541" s="1100">
        <v>1.0078959967637433</v>
      </c>
      <c r="K541">
        <v>2.1934172498600559</v>
      </c>
      <c r="L541">
        <v>0</v>
      </c>
      <c r="M541">
        <v>1.6819247564234386E-3</v>
      </c>
      <c r="N541">
        <v>0.13267064010312726</v>
      </c>
      <c r="O541">
        <v>2.0030313662123444E-2</v>
      </c>
      <c r="P541">
        <v>2.5047586026456219E-2</v>
      </c>
      <c r="Q541">
        <v>5.325837829141475E-3</v>
      </c>
      <c r="R541">
        <v>1.6576037247495485E-3</v>
      </c>
      <c r="S541">
        <v>0.24245066776399105</v>
      </c>
      <c r="T541">
        <v>1.333318895165688</v>
      </c>
      <c r="U541">
        <v>0.14587670566169081</v>
      </c>
      <c r="V541">
        <v>0.18080379812337727</v>
      </c>
      <c r="W541">
        <v>8.9662651628727927E-2</v>
      </c>
      <c r="X541">
        <v>1.3743024017556008E-2</v>
      </c>
      <c r="Y541">
        <v>4.5114509098472646E-3</v>
      </c>
    </row>
    <row r="542" spans="1:25" x14ac:dyDescent="0.25">
      <c r="A542" s="1096"/>
      <c r="B542" s="1455">
        <v>292</v>
      </c>
      <c r="C542" s="1100">
        <v>0.9999839167342055</v>
      </c>
      <c r="D542" s="1100">
        <v>0.96744624275340241</v>
      </c>
      <c r="E542" s="1100">
        <v>1.0085381900352806</v>
      </c>
      <c r="F542" s="1100">
        <v>1.0140983962677117</v>
      </c>
      <c r="G542" s="1100">
        <v>1.0207793605688678</v>
      </c>
      <c r="H542" s="1100">
        <v>0.99931559924993019</v>
      </c>
      <c r="I542" s="1100">
        <v>1.0091754444433212</v>
      </c>
      <c r="K542">
        <v>2.2485779708445812</v>
      </c>
      <c r="L542">
        <v>0</v>
      </c>
      <c r="M542">
        <v>1.5295844439695879E-3</v>
      </c>
      <c r="N542">
        <v>0.14271662654694112</v>
      </c>
      <c r="O542">
        <v>1.9902245874092832E-2</v>
      </c>
      <c r="P542">
        <v>2.6645060382023442E-2</v>
      </c>
      <c r="Q542">
        <v>5.5980288003152807E-3</v>
      </c>
      <c r="R542">
        <v>1.5080712561778163E-3</v>
      </c>
      <c r="S542">
        <v>0.2478189998729666</v>
      </c>
      <c r="T542">
        <v>1.362824566371065</v>
      </c>
      <c r="U542">
        <v>0.14279449265814201</v>
      </c>
      <c r="V542">
        <v>0.18708362489922825</v>
      </c>
      <c r="W542">
        <v>9.3282145202417718E-2</v>
      </c>
      <c r="X542">
        <v>1.5829220601419895E-2</v>
      </c>
      <c r="Y542">
        <v>4.1044728237600251E-3</v>
      </c>
    </row>
    <row r="543" spans="1:25" x14ac:dyDescent="0.25">
      <c r="A543" s="1096"/>
      <c r="B543" s="1455">
        <v>293</v>
      </c>
      <c r="C543" s="1100">
        <v>0.99430098214217555</v>
      </c>
      <c r="D543" s="1100">
        <v>0.99934608136993597</v>
      </c>
      <c r="E543" s="1100">
        <v>1.0208634465504587</v>
      </c>
      <c r="F543" s="1100">
        <v>0.97528624799037444</v>
      </c>
      <c r="G543" s="1100">
        <v>1.0363160146167725</v>
      </c>
      <c r="H543" s="1100">
        <v>1.0158945043237135</v>
      </c>
      <c r="I543" s="1100">
        <v>0.99395002526943355</v>
      </c>
      <c r="K543">
        <v>2.1999400586374889</v>
      </c>
      <c r="L543">
        <v>0</v>
      </c>
      <c r="M543">
        <v>1.5134446534251305E-3</v>
      </c>
      <c r="N543">
        <v>0.14659637888297464</v>
      </c>
      <c r="O543">
        <v>1.9881412034027376E-2</v>
      </c>
      <c r="P543">
        <v>2.6138777412156498E-2</v>
      </c>
      <c r="Q543">
        <v>5.661314521222374E-3</v>
      </c>
      <c r="R543">
        <v>1.4925058476042794E-3</v>
      </c>
      <c r="S543">
        <v>0.24294181568342296</v>
      </c>
      <c r="T543">
        <v>1.310688723571104</v>
      </c>
      <c r="U543">
        <v>0.14363923936267212</v>
      </c>
      <c r="V543">
        <v>0.18919000667889627</v>
      </c>
      <c r="W543">
        <v>9.5126699997250971E-2</v>
      </c>
      <c r="X543">
        <v>1.6034520386824461E-2</v>
      </c>
      <c r="Y543">
        <v>4.0621089127584149E-3</v>
      </c>
    </row>
    <row r="544" spans="1:25" x14ac:dyDescent="0.25">
      <c r="A544" s="1096"/>
      <c r="B544" s="1455">
        <v>294</v>
      </c>
      <c r="C544" s="1100">
        <v>1.0246328842319661</v>
      </c>
      <c r="D544" s="1100">
        <v>0.95904670636029088</v>
      </c>
      <c r="E544" s="1100">
        <v>0.96279026454007466</v>
      </c>
      <c r="F544" s="1100">
        <v>1.0085276770308342</v>
      </c>
      <c r="G544" s="1100">
        <v>1.0071448330339554</v>
      </c>
      <c r="H544" s="1100">
        <v>1.0127102824219407</v>
      </c>
      <c r="I544" s="1100">
        <v>1.0379403939045539</v>
      </c>
      <c r="K544">
        <v>2.2242913276840204</v>
      </c>
      <c r="L544">
        <v>0</v>
      </c>
      <c r="M544">
        <v>1.6662229455771404E-3</v>
      </c>
      <c r="N544">
        <v>0.13540263249111947</v>
      </c>
      <c r="O544">
        <v>1.9432684966546293E-2</v>
      </c>
      <c r="P544">
        <v>2.558979525763639E-2</v>
      </c>
      <c r="Q544">
        <v>5.2183677611850471E-3</v>
      </c>
      <c r="R544">
        <v>1.6430979388264895E-3</v>
      </c>
      <c r="S544">
        <v>0.25058132467628969</v>
      </c>
      <c r="T544">
        <v>1.355279254717735</v>
      </c>
      <c r="U544">
        <v>0.13925681743902868</v>
      </c>
      <c r="V544">
        <v>0.18407716162984072</v>
      </c>
      <c r="W544">
        <v>9.096932499385188E-2</v>
      </c>
      <c r="X544">
        <v>1.4035117815141362E-2</v>
      </c>
      <c r="Y544">
        <v>4.4719709423957409E-3</v>
      </c>
    </row>
    <row r="545" spans="1:25" x14ac:dyDescent="0.25">
      <c r="A545" s="1096"/>
      <c r="B545" s="1455">
        <v>295</v>
      </c>
      <c r="C545" s="1100">
        <v>0.97413722254484725</v>
      </c>
      <c r="D545" s="1100">
        <v>0.98556242897249169</v>
      </c>
      <c r="E545" s="1100">
        <v>0.96579722526911893</v>
      </c>
      <c r="F545" s="1100">
        <v>0.97417831797139209</v>
      </c>
      <c r="G545" s="1100">
        <v>1.0105698323316363</v>
      </c>
      <c r="H545" s="1100">
        <v>0.96307468341258251</v>
      </c>
      <c r="I545" s="1100">
        <v>1.009728051634442</v>
      </c>
      <c r="K545">
        <v>2.186833455706795</v>
      </c>
      <c r="L545">
        <v>0</v>
      </c>
      <c r="M545">
        <v>1.6464811059781698E-3</v>
      </c>
      <c r="N545">
        <v>0.1349246856897712</v>
      </c>
      <c r="O545">
        <v>2.0319653704139212E-2</v>
      </c>
      <c r="P545">
        <v>2.5153217546657988E-2</v>
      </c>
      <c r="Q545">
        <v>5.4733997790432391E-3</v>
      </c>
      <c r="R545">
        <v>1.6224523790656564E-3</v>
      </c>
      <c r="S545">
        <v>0.24881824910047037</v>
      </c>
      <c r="T545">
        <v>1.3091222737249248</v>
      </c>
      <c r="U545">
        <v>0.146482439695484</v>
      </c>
      <c r="V545">
        <v>0.18746628711578495</v>
      </c>
      <c r="W545">
        <v>9.0481720232253524E-2</v>
      </c>
      <c r="X545">
        <v>1.4199777310644117E-2</v>
      </c>
      <c r="Y545">
        <v>4.4157805345336996E-3</v>
      </c>
    </row>
    <row r="546" spans="1:25" x14ac:dyDescent="0.25">
      <c r="A546" s="1096"/>
      <c r="B546" s="1455">
        <v>296</v>
      </c>
      <c r="C546" s="1100">
        <v>0.98320084502567884</v>
      </c>
      <c r="D546" s="1100">
        <v>0.98668147413736551</v>
      </c>
      <c r="E546" s="1100">
        <v>1.026976330649809</v>
      </c>
      <c r="F546" s="1100">
        <v>0.97869522772282658</v>
      </c>
      <c r="G546" s="1100">
        <v>0.98269036593028736</v>
      </c>
      <c r="H546" s="1100">
        <v>0.96346370019214211</v>
      </c>
      <c r="I546" s="1100">
        <v>1.0104338860738293</v>
      </c>
      <c r="K546">
        <v>2.1971421381090068</v>
      </c>
      <c r="L546">
        <v>0</v>
      </c>
      <c r="M546">
        <v>1.4372108901310847E-3</v>
      </c>
      <c r="N546">
        <v>0.14169422046687286</v>
      </c>
      <c r="O546">
        <v>2.0166271894078745E-2</v>
      </c>
      <c r="P546">
        <v>2.6324871361872563E-2</v>
      </c>
      <c r="Q546">
        <v>5.7773574367367573E-3</v>
      </c>
      <c r="R546">
        <v>1.4162447193259758E-3</v>
      </c>
      <c r="S546">
        <v>0.24706522248511745</v>
      </c>
      <c r="T546">
        <v>1.3152826590468076</v>
      </c>
      <c r="U546">
        <v>0.14527526337272539</v>
      </c>
      <c r="V546">
        <v>0.18380823226828122</v>
      </c>
      <c r="W546">
        <v>9.1618442888913326E-2</v>
      </c>
      <c r="X546">
        <v>1.6296011797346518E-2</v>
      </c>
      <c r="Y546">
        <v>3.854551261059054E-3</v>
      </c>
    </row>
    <row r="547" spans="1:25" x14ac:dyDescent="0.25">
      <c r="A547" s="1096"/>
      <c r="B547" s="1455">
        <v>297</v>
      </c>
      <c r="C547" s="1100">
        <v>0.99348141813155277</v>
      </c>
      <c r="D547" s="1100">
        <v>1.0110582860825681</v>
      </c>
      <c r="E547" s="1100">
        <v>0.95910090990390517</v>
      </c>
      <c r="F547" s="1100">
        <v>0.95805178483288544</v>
      </c>
      <c r="G547" s="1100">
        <v>1.039967922503314</v>
      </c>
      <c r="H547" s="1100">
        <v>1.005511614401859</v>
      </c>
      <c r="I547" s="1100">
        <v>1.0111416487581548</v>
      </c>
      <c r="K547">
        <v>2.161787468915116</v>
      </c>
      <c r="L547">
        <v>0</v>
      </c>
      <c r="M547">
        <v>1.6994189177266508E-3</v>
      </c>
      <c r="N547">
        <v>0.13655134003621822</v>
      </c>
      <c r="O547">
        <v>1.9808196112420101E-2</v>
      </c>
      <c r="P547">
        <v>2.4671360493757805E-2</v>
      </c>
      <c r="Q547">
        <v>5.2990846476654837E-3</v>
      </c>
      <c r="R547">
        <v>1.6756643389398342E-3</v>
      </c>
      <c r="S547">
        <v>0.24459776742128495</v>
      </c>
      <c r="T547">
        <v>1.2874461775729582</v>
      </c>
      <c r="U547">
        <v>0.14361484013939976</v>
      </c>
      <c r="V547">
        <v>0.18959910732595148</v>
      </c>
      <c r="W547">
        <v>9.1948800406685918E-2</v>
      </c>
      <c r="X547">
        <v>1.3713943389566585E-2</v>
      </c>
      <c r="Y547">
        <v>4.5606059479933536E-3</v>
      </c>
    </row>
    <row r="548" spans="1:25" x14ac:dyDescent="0.25">
      <c r="A548" s="1096"/>
      <c r="B548" s="1455">
        <v>298</v>
      </c>
      <c r="C548" s="1100">
        <v>1.0006635342897048</v>
      </c>
      <c r="D548" s="1100">
        <v>0.98986275476691654</v>
      </c>
      <c r="E548" s="1100">
        <v>0.99676924291589319</v>
      </c>
      <c r="F548" s="1100">
        <v>0.97437470213107535</v>
      </c>
      <c r="G548" s="1100">
        <v>1.0196083805717442</v>
      </c>
      <c r="H548" s="1100">
        <v>0.97200892096600511</v>
      </c>
      <c r="I548" s="1100">
        <v>1.0157631865439265</v>
      </c>
      <c r="K548">
        <v>2.1793738131081128</v>
      </c>
      <c r="L548">
        <v>0</v>
      </c>
      <c r="M548">
        <v>1.5158768173570993E-3</v>
      </c>
      <c r="N548">
        <v>0.13644321658225578</v>
      </c>
      <c r="O548">
        <v>1.9781387057329604E-2</v>
      </c>
      <c r="P548">
        <v>2.5631237597865137E-2</v>
      </c>
      <c r="Q548">
        <v>5.4986951821834095E-3</v>
      </c>
      <c r="R548">
        <v>1.4939574690763016E-3</v>
      </c>
      <c r="S548">
        <v>0.24410231268255911</v>
      </c>
      <c r="T548">
        <v>1.3094218502288313</v>
      </c>
      <c r="U548">
        <v>0.14267042232790142</v>
      </c>
      <c r="V548">
        <v>0.1869006366743243</v>
      </c>
      <c r="W548">
        <v>8.9806417223298671E-2</v>
      </c>
      <c r="X548">
        <v>1.5073497151965407E-2</v>
      </c>
      <c r="Y548">
        <v>4.0660597478783698E-3</v>
      </c>
    </row>
    <row r="549" spans="1:25" x14ac:dyDescent="0.25">
      <c r="A549" s="1096"/>
      <c r="B549" s="1455">
        <v>299</v>
      </c>
      <c r="C549" s="1100">
        <v>0.9675326014657637</v>
      </c>
      <c r="D549" s="1100">
        <v>1.0162283196781619</v>
      </c>
      <c r="E549" s="1100">
        <v>1.0076009708816263</v>
      </c>
      <c r="F549" s="1100">
        <v>0.99964232689715937</v>
      </c>
      <c r="G549" s="1100">
        <v>0.97927073921904928</v>
      </c>
      <c r="H549" s="1100">
        <v>0.98502875120474753</v>
      </c>
      <c r="I549" s="1100">
        <v>1.0166671573375072</v>
      </c>
      <c r="K549">
        <v>2.2360178926188645</v>
      </c>
      <c r="L549">
        <v>0</v>
      </c>
      <c r="M549">
        <v>1.5445155371343145E-3</v>
      </c>
      <c r="N549">
        <v>0.14367279276900799</v>
      </c>
      <c r="O549">
        <v>2.0347751732817467E-2</v>
      </c>
      <c r="P549">
        <v>2.6426234029900599E-2</v>
      </c>
      <c r="Q549">
        <v>5.7179737242651968E-3</v>
      </c>
      <c r="R549">
        <v>1.5224772746482923E-3</v>
      </c>
      <c r="S549">
        <v>0.25055839389847578</v>
      </c>
      <c r="T549">
        <v>1.3433957169604998</v>
      </c>
      <c r="U549">
        <v>0.14758162708363251</v>
      </c>
      <c r="V549">
        <v>0.18438092587749294</v>
      </c>
      <c r="W549">
        <v>9.3959104289042028E-2</v>
      </c>
      <c r="X549">
        <v>1.5855729259121855E-2</v>
      </c>
      <c r="Y549">
        <v>4.1436812570939492E-3</v>
      </c>
    </row>
    <row r="550" spans="1:25" x14ac:dyDescent="0.25">
      <c r="A550" s="1096"/>
      <c r="B550" s="1455">
        <v>300</v>
      </c>
      <c r="C550" s="1100">
        <v>0.98604936389038489</v>
      </c>
      <c r="D550" s="1100">
        <v>0.99393828945811691</v>
      </c>
      <c r="E550" s="1100">
        <v>0.98536621347232067</v>
      </c>
      <c r="F550" s="1100">
        <v>1.0180057215097706</v>
      </c>
      <c r="G550" s="1100">
        <v>0.99106217975436284</v>
      </c>
      <c r="H550" s="1100">
        <v>0.96794737246274043</v>
      </c>
      <c r="I550" s="1100">
        <v>1.011424153236312</v>
      </c>
      <c r="K550">
        <v>2.2406410608234699</v>
      </c>
      <c r="L550">
        <v>0</v>
      </c>
      <c r="M550">
        <v>1.5671134723693873E-3</v>
      </c>
      <c r="N550">
        <v>0.13626679396432578</v>
      </c>
      <c r="O550">
        <v>2.0049204279354933E-2</v>
      </c>
      <c r="P550">
        <v>2.6221834281880824E-2</v>
      </c>
      <c r="Q550">
        <v>5.5093125536798864E-3</v>
      </c>
      <c r="R550">
        <v>1.5443581665867303E-3</v>
      </c>
      <c r="S550">
        <v>0.24573054826485652</v>
      </c>
      <c r="T550">
        <v>1.3680395510133827</v>
      </c>
      <c r="U550">
        <v>0.14475834385680694</v>
      </c>
      <c r="V550">
        <v>0.18454243028917613</v>
      </c>
      <c r="W550">
        <v>9.0304559913251065E-2</v>
      </c>
      <c r="X550">
        <v>1.5038003880617597E-2</v>
      </c>
      <c r="Y550">
        <v>4.2032338319162865E-3</v>
      </c>
    </row>
    <row r="551" spans="1:25" x14ac:dyDescent="0.25">
      <c r="A551" s="1096"/>
      <c r="B551" s="1455">
        <v>301</v>
      </c>
      <c r="C551" s="1100">
        <v>0.98066326002346071</v>
      </c>
      <c r="D551" s="1100">
        <v>0.99450306156666113</v>
      </c>
      <c r="E551" s="1100">
        <v>0.97511254973979633</v>
      </c>
      <c r="F551" s="1100">
        <v>0.97933604329946411</v>
      </c>
      <c r="G551" s="1100">
        <v>1.0196935769086128</v>
      </c>
      <c r="H551" s="1100">
        <v>1.0040231276187686</v>
      </c>
      <c r="I551" s="1100">
        <v>1.0136871475324252</v>
      </c>
      <c r="K551">
        <v>2.2048905084582251</v>
      </c>
      <c r="L551">
        <v>0</v>
      </c>
      <c r="M551">
        <v>1.6692650941297215E-3</v>
      </c>
      <c r="N551">
        <v>0.14078987166514628</v>
      </c>
      <c r="O551">
        <v>2.0150282836641456E-2</v>
      </c>
      <c r="P551">
        <v>2.5444088061469531E-2</v>
      </c>
      <c r="Q551">
        <v>5.4796886053393116E-3</v>
      </c>
      <c r="R551">
        <v>1.6458974154599389E-3</v>
      </c>
      <c r="S551">
        <v>0.25047183694849734</v>
      </c>
      <c r="T551">
        <v>1.3160619419561854</v>
      </c>
      <c r="U551">
        <v>0.14552940494765279</v>
      </c>
      <c r="V551">
        <v>0.188100487790063</v>
      </c>
      <c r="W551">
        <v>9.3881375954338514E-2</v>
      </c>
      <c r="X551">
        <v>1.4525307176616495E-2</v>
      </c>
      <c r="Y551">
        <v>4.4795901949447664E-3</v>
      </c>
    </row>
    <row r="552" spans="1:25" x14ac:dyDescent="0.25">
      <c r="A552" s="1096"/>
      <c r="B552" s="1455">
        <v>302</v>
      </c>
      <c r="C552" s="1100">
        <v>1.0318328612814183</v>
      </c>
      <c r="D552" s="1100">
        <v>1.00092657836738</v>
      </c>
      <c r="E552" s="1100">
        <v>1.0242555104399143</v>
      </c>
      <c r="F552" s="1100">
        <v>0.98339542253358636</v>
      </c>
      <c r="G552" s="1100">
        <v>0.99552304696703764</v>
      </c>
      <c r="H552" s="1100">
        <v>1.0049478442181792</v>
      </c>
      <c r="I552" s="1100">
        <v>0.97180681866924201</v>
      </c>
      <c r="K552">
        <v>2.1714256887853098</v>
      </c>
      <c r="L552">
        <v>0</v>
      </c>
      <c r="M552">
        <v>1.4320318004468523E-3</v>
      </c>
      <c r="N552">
        <v>0.14011555246653873</v>
      </c>
      <c r="O552">
        <v>1.9153646487166647E-2</v>
      </c>
      <c r="P552">
        <v>2.5979579559313591E-2</v>
      </c>
      <c r="Q552">
        <v>5.4724775914054618E-3</v>
      </c>
      <c r="R552">
        <v>1.412003545260349E-3</v>
      </c>
      <c r="S552">
        <v>0.22790784087738516</v>
      </c>
      <c r="T552">
        <v>1.3215935859848518</v>
      </c>
      <c r="U552">
        <v>0.13842210163312871</v>
      </c>
      <c r="V552">
        <v>0.18241121505075714</v>
      </c>
      <c r="W552">
        <v>9.0741382168169293E-2</v>
      </c>
      <c r="X552">
        <v>1.5805327038423786E-2</v>
      </c>
      <c r="Y552">
        <v>3.8430081833550731E-3</v>
      </c>
    </row>
    <row r="553" spans="1:25" x14ac:dyDescent="0.25">
      <c r="A553" s="1096"/>
      <c r="B553" s="1455">
        <v>303</v>
      </c>
      <c r="C553" s="1100">
        <v>0.99085349569741776</v>
      </c>
      <c r="D553" s="1100">
        <v>0.99255463521624976</v>
      </c>
      <c r="E553" s="1100">
        <v>1.008397762487941</v>
      </c>
      <c r="F553" s="1100">
        <v>0.96573955917244192</v>
      </c>
      <c r="G553" s="1100">
        <v>1.0133086578596981</v>
      </c>
      <c r="H553" s="1100">
        <v>0.97819136044286747</v>
      </c>
      <c r="I553" s="1100">
        <v>1.0228270875910395</v>
      </c>
      <c r="K553">
        <v>2.179858276448559</v>
      </c>
      <c r="L553">
        <v>0</v>
      </c>
      <c r="M553">
        <v>1.502992407332922E-3</v>
      </c>
      <c r="N553">
        <v>0.14013284821011926</v>
      </c>
      <c r="O553">
        <v>1.9972648466572544E-2</v>
      </c>
      <c r="P553">
        <v>2.5773414639844391E-2</v>
      </c>
      <c r="Q553">
        <v>5.6170421513529701E-3</v>
      </c>
      <c r="R553">
        <v>1.4813967244857802E-3</v>
      </c>
      <c r="S553">
        <v>0.24849854964626225</v>
      </c>
      <c r="T553">
        <v>1.2978359463370956</v>
      </c>
      <c r="U553">
        <v>0.14410997482813007</v>
      </c>
      <c r="V553">
        <v>0.18678579402390355</v>
      </c>
      <c r="W553">
        <v>9.1600935394748964E-2</v>
      </c>
      <c r="X553">
        <v>1.5520844891626719E-2</v>
      </c>
      <c r="Y553">
        <v>4.0318735417513114E-3</v>
      </c>
    </row>
    <row r="554" spans="1:25" x14ac:dyDescent="0.25">
      <c r="A554" s="1096"/>
      <c r="B554" s="1455">
        <v>304</v>
      </c>
      <c r="C554" s="1100">
        <v>1.0201787971446472</v>
      </c>
      <c r="D554" s="1100">
        <v>0.96398585836499451</v>
      </c>
      <c r="E554" s="1100">
        <v>1.0107599036595345</v>
      </c>
      <c r="F554" s="1100">
        <v>1.0046515468543613</v>
      </c>
      <c r="G554" s="1100">
        <v>1.0001489690261014</v>
      </c>
      <c r="H554" s="1100">
        <v>1.037942101041454</v>
      </c>
      <c r="I554" s="1100">
        <v>1.0300687350371815</v>
      </c>
      <c r="K554">
        <v>2.2376191378635011</v>
      </c>
      <c r="L554">
        <v>0</v>
      </c>
      <c r="M554">
        <v>1.5513099203278572E-3</v>
      </c>
      <c r="N554">
        <v>0.14579519773290109</v>
      </c>
      <c r="O554">
        <v>1.9525030439030307E-2</v>
      </c>
      <c r="P554">
        <v>2.6478753150639005E-2</v>
      </c>
      <c r="Q554">
        <v>5.5041400682532913E-3</v>
      </c>
      <c r="R554">
        <v>1.5303031436523472E-3</v>
      </c>
      <c r="S554">
        <v>0.25155912368972322</v>
      </c>
      <c r="T554">
        <v>1.3501331723134249</v>
      </c>
      <c r="U554">
        <v>0.139972835332906</v>
      </c>
      <c r="V554">
        <v>0.18357911611863026</v>
      </c>
      <c r="W554">
        <v>9.5169557432100677E-2</v>
      </c>
      <c r="X554">
        <v>1.5758237669841083E-2</v>
      </c>
      <c r="Y554">
        <v>4.1649806927259621E-3</v>
      </c>
    </row>
    <row r="555" spans="1:25" x14ac:dyDescent="0.25">
      <c r="A555" s="1096"/>
      <c r="B555" s="1455">
        <v>305</v>
      </c>
      <c r="C555" s="1100">
        <v>1.0032924961485741</v>
      </c>
      <c r="D555" s="1100">
        <v>0.98900501076563763</v>
      </c>
      <c r="E555" s="1100">
        <v>1.0292690434399701</v>
      </c>
      <c r="F555" s="1100">
        <v>1.0088523067363433</v>
      </c>
      <c r="G555" s="1100">
        <v>0.98153191289291819</v>
      </c>
      <c r="H555" s="1100">
        <v>0.99693133743242957</v>
      </c>
      <c r="I555" s="1100">
        <v>0.98994889803653197</v>
      </c>
      <c r="K555">
        <v>2.2297117887999507</v>
      </c>
      <c r="L555">
        <v>0</v>
      </c>
      <c r="M555">
        <v>1.449659711770616E-3</v>
      </c>
      <c r="N555">
        <v>0.14398443621552595</v>
      </c>
      <c r="O555">
        <v>1.975364110362527E-2</v>
      </c>
      <c r="P555">
        <v>2.6770600624304048E-2</v>
      </c>
      <c r="Q555">
        <v>5.6720003505850193E-3</v>
      </c>
      <c r="R555">
        <v>1.4292218810137282E-3</v>
      </c>
      <c r="S555">
        <v>0.23960054360859018</v>
      </c>
      <c r="T555">
        <v>1.3558162723209444</v>
      </c>
      <c r="U555">
        <v>0.14237130571712647</v>
      </c>
      <c r="V555">
        <v>0.18247058897401772</v>
      </c>
      <c r="W555">
        <v>9.2975277056347866E-2</v>
      </c>
      <c r="X555">
        <v>1.6427689842385455E-2</v>
      </c>
      <c r="Y555">
        <v>3.8898708172529148E-3</v>
      </c>
    </row>
    <row r="556" spans="1:25" x14ac:dyDescent="0.25">
      <c r="A556" s="1096"/>
      <c r="B556" s="1455">
        <v>306</v>
      </c>
      <c r="C556" s="1100">
        <v>0.97906495702568075</v>
      </c>
      <c r="D556" s="1100">
        <v>0.98460143284825574</v>
      </c>
      <c r="E556" s="1100">
        <v>0.96048539540743394</v>
      </c>
      <c r="F556" s="1100">
        <v>1.0124707326936382</v>
      </c>
      <c r="G556" s="1100">
        <v>0.97831151539912664</v>
      </c>
      <c r="H556" s="1100">
        <v>1.0252311458575969</v>
      </c>
      <c r="I556" s="1100">
        <v>1.0325550081552357</v>
      </c>
      <c r="K556">
        <v>2.2568174452034868</v>
      </c>
      <c r="L556">
        <v>0</v>
      </c>
      <c r="M556">
        <v>1.7635087045007006E-3</v>
      </c>
      <c r="N556">
        <v>0.14233558415850686</v>
      </c>
      <c r="O556">
        <v>2.021834221912849E-2</v>
      </c>
      <c r="P556">
        <v>2.5797685164636461E-2</v>
      </c>
      <c r="Q556">
        <v>5.4165098305874772E-3</v>
      </c>
      <c r="R556">
        <v>1.7393324068878718E-3</v>
      </c>
      <c r="S556">
        <v>0.25850928457613948</v>
      </c>
      <c r="T556">
        <v>1.3605762679405595</v>
      </c>
      <c r="U556">
        <v>0.14573276310199143</v>
      </c>
      <c r="V556">
        <v>0.18350877478631181</v>
      </c>
      <c r="W556">
        <v>9.5762318494405349E-2</v>
      </c>
      <c r="X556">
        <v>1.4250201788058034E-2</v>
      </c>
      <c r="Y556">
        <v>4.7338894407749537E-3</v>
      </c>
    </row>
    <row r="557" spans="1:25" x14ac:dyDescent="0.25">
      <c r="A557" s="1096"/>
      <c r="B557" s="1455">
        <v>307</v>
      </c>
      <c r="C557" s="1100">
        <v>1.0375091682862903</v>
      </c>
      <c r="D557" s="1100">
        <v>1.0196648180393377</v>
      </c>
      <c r="E557" s="1100">
        <v>1.0273327542288389</v>
      </c>
      <c r="F557" s="1100">
        <v>0.98799373612033758</v>
      </c>
      <c r="G557" s="1100">
        <v>1.0344441668314472</v>
      </c>
      <c r="H557" s="1100">
        <v>0.98983329177720858</v>
      </c>
      <c r="I557" s="1100">
        <v>0.99086445499721487</v>
      </c>
      <c r="K557">
        <v>2.1756202067761636</v>
      </c>
      <c r="L557">
        <v>0</v>
      </c>
      <c r="M557">
        <v>1.3881403565750778E-3</v>
      </c>
      <c r="N557">
        <v>0.13705755970878078</v>
      </c>
      <c r="O557">
        <v>1.8973136366626855E-2</v>
      </c>
      <c r="P557">
        <v>2.6169729033131726E-2</v>
      </c>
      <c r="Q557">
        <v>5.4374594283047983E-3</v>
      </c>
      <c r="R557">
        <v>1.3684295089506446E-3</v>
      </c>
      <c r="S557">
        <v>0.22785515737927794</v>
      </c>
      <c r="T557">
        <v>1.3277798248656831</v>
      </c>
      <c r="U557">
        <v>0.1376716370775419</v>
      </c>
      <c r="V557">
        <v>0.1864984919775983</v>
      </c>
      <c r="W557">
        <v>8.8602037848257292E-2</v>
      </c>
      <c r="X557">
        <v>1.5870469917886248E-2</v>
      </c>
      <c r="Y557">
        <v>3.7244140206972652E-3</v>
      </c>
    </row>
    <row r="558" spans="1:25" x14ac:dyDescent="0.25">
      <c r="A558" s="1096"/>
      <c r="B558" s="1455">
        <v>308</v>
      </c>
      <c r="C558" s="1100">
        <v>1.0027489850986671</v>
      </c>
      <c r="D558" s="1100">
        <v>0.95407334191195925</v>
      </c>
      <c r="E558" s="1100">
        <v>1.017079736020585</v>
      </c>
      <c r="F558" s="1100">
        <v>1.0110614110842957</v>
      </c>
      <c r="G558" s="1100">
        <v>1.0000744533907304</v>
      </c>
      <c r="H558" s="1100">
        <v>0.99556439058919399</v>
      </c>
      <c r="I558" s="1100">
        <v>0.99291677559844216</v>
      </c>
      <c r="K558">
        <v>2.2393166333978889</v>
      </c>
      <c r="L558">
        <v>0</v>
      </c>
      <c r="M558">
        <v>1.4974797040289704E-3</v>
      </c>
      <c r="N558">
        <v>0.14336248446522873</v>
      </c>
      <c r="O558">
        <v>1.9913623371863465E-2</v>
      </c>
      <c r="P558">
        <v>2.667344708776281E-2</v>
      </c>
      <c r="Q558">
        <v>5.6491850231210981E-3</v>
      </c>
      <c r="R558">
        <v>1.4763387020203769E-3</v>
      </c>
      <c r="S558">
        <v>0.24463077889041651</v>
      </c>
      <c r="T558">
        <v>1.3587593670547937</v>
      </c>
      <c r="U558">
        <v>0.14242038867627799</v>
      </c>
      <c r="V558">
        <v>0.1845873324808612</v>
      </c>
      <c r="W558">
        <v>9.3234548164527836E-2</v>
      </c>
      <c r="X558">
        <v>1.6088511913068142E-2</v>
      </c>
      <c r="Y558">
        <v>4.0181072719771421E-3</v>
      </c>
    </row>
    <row r="559" spans="1:25" x14ac:dyDescent="0.25">
      <c r="A559" s="1096"/>
      <c r="B559" s="1455">
        <v>309</v>
      </c>
      <c r="C559" s="1100">
        <v>1.0242915941460329</v>
      </c>
      <c r="D559" s="1100">
        <v>0.95952319027668997</v>
      </c>
      <c r="E559" s="1100">
        <v>0.98522733017622144</v>
      </c>
      <c r="F559" s="1100">
        <v>1.0421430314522013</v>
      </c>
      <c r="G559" s="1100">
        <v>0.99185536535081464</v>
      </c>
      <c r="H559" s="1100">
        <v>1.0052186943387393</v>
      </c>
      <c r="I559" s="1100">
        <v>0.99831008904512331</v>
      </c>
      <c r="K559">
        <v>2.2616726272027203</v>
      </c>
      <c r="L559">
        <v>0</v>
      </c>
      <c r="M559">
        <v>1.5793413222758687E-3</v>
      </c>
      <c r="N559">
        <v>0.13734737607801856</v>
      </c>
      <c r="O559">
        <v>1.9450785903132397E-2</v>
      </c>
      <c r="P559">
        <v>2.6485627326983903E-2</v>
      </c>
      <c r="Q559">
        <v>5.3441212012911203E-3</v>
      </c>
      <c r="R559">
        <v>1.5572587622968458E-3</v>
      </c>
      <c r="S559">
        <v>0.24061414091262254</v>
      </c>
      <c r="T559">
        <v>1.4004761146683506</v>
      </c>
      <c r="U559">
        <v>0.13935343674669043</v>
      </c>
      <c r="V559">
        <v>0.18238629051271379</v>
      </c>
      <c r="W559">
        <v>9.1028267521935116E-2</v>
      </c>
      <c r="X559">
        <v>1.4970203890200314E-2</v>
      </c>
      <c r="Y559">
        <v>4.2383450007589885E-3</v>
      </c>
    </row>
    <row r="560" spans="1:25" x14ac:dyDescent="0.25">
      <c r="A560" s="1096"/>
      <c r="B560" s="1455">
        <v>310</v>
      </c>
      <c r="C560" s="1100">
        <v>0.97817442878116401</v>
      </c>
      <c r="D560" s="1100">
        <v>0.99757159546894947</v>
      </c>
      <c r="E560" s="1100">
        <v>0.98991859963434814</v>
      </c>
      <c r="F560" s="1100">
        <v>1.0115953337015438</v>
      </c>
      <c r="G560" s="1100">
        <v>0.98867035604561337</v>
      </c>
      <c r="H560" s="1100">
        <v>1.0421463375928399</v>
      </c>
      <c r="I560" s="1100">
        <v>0.98858088637932051</v>
      </c>
      <c r="K560">
        <v>2.2563905195205365</v>
      </c>
      <c r="L560">
        <v>0</v>
      </c>
      <c r="M560">
        <v>1.6835189142471688E-3</v>
      </c>
      <c r="N560">
        <v>0.14857357013905262</v>
      </c>
      <c r="O560">
        <v>2.0197299068924805E-2</v>
      </c>
      <c r="P560">
        <v>2.6241200927016199E-2</v>
      </c>
      <c r="Q560">
        <v>5.575637689974035E-3</v>
      </c>
      <c r="R560">
        <v>1.6608138220217524E-3</v>
      </c>
      <c r="S560">
        <v>0.24771622765708395</v>
      </c>
      <c r="T560">
        <v>1.35943108826089</v>
      </c>
      <c r="U560">
        <v>0.14593443571468429</v>
      </c>
      <c r="V560">
        <v>0.18476031681771155</v>
      </c>
      <c r="W560">
        <v>9.8191659628928341E-2</v>
      </c>
      <c r="X560">
        <v>1.5271600972079625E-2</v>
      </c>
      <c r="Y560">
        <v>4.5201877364139205E-3</v>
      </c>
    </row>
    <row r="561" spans="1:25" x14ac:dyDescent="0.25">
      <c r="A561" s="1096"/>
      <c r="B561" s="1455">
        <v>311</v>
      </c>
      <c r="C561" s="1100">
        <v>0.99622171320229314</v>
      </c>
      <c r="D561" s="1100">
        <v>0.9775017919397837</v>
      </c>
      <c r="E561" s="1100">
        <v>0.98415994706159959</v>
      </c>
      <c r="F561" s="1100">
        <v>1.0039737431438351</v>
      </c>
      <c r="G561" s="1100">
        <v>1.0034961714698212</v>
      </c>
      <c r="H561" s="1100">
        <v>0.99525294653082275</v>
      </c>
      <c r="I561" s="1100">
        <v>1.0068747232544644</v>
      </c>
      <c r="K561">
        <v>2.2259918104970056</v>
      </c>
      <c r="L561">
        <v>0</v>
      </c>
      <c r="M561">
        <v>1.6047305340516863E-3</v>
      </c>
      <c r="N561">
        <v>0.13908577895393059</v>
      </c>
      <c r="O561">
        <v>1.9916658117943253E-2</v>
      </c>
      <c r="P561">
        <v>2.5943154194550812E-2</v>
      </c>
      <c r="Q561">
        <v>5.4662020688387696E-3</v>
      </c>
      <c r="R561">
        <v>1.5820683051889432E-3</v>
      </c>
      <c r="S561">
        <v>0.24638124220824248</v>
      </c>
      <c r="T561">
        <v>1.3491812543733603</v>
      </c>
      <c r="U561">
        <v>0.14327744571174425</v>
      </c>
      <c r="V561">
        <v>0.18533276142479455</v>
      </c>
      <c r="W561">
        <v>9.2239620173325071E-2</v>
      </c>
      <c r="X561">
        <v>1.4884487101092657E-2</v>
      </c>
      <c r="Y561">
        <v>4.3058683980476617E-3</v>
      </c>
    </row>
    <row r="562" spans="1:25" x14ac:dyDescent="0.25">
      <c r="A562" s="1096"/>
      <c r="B562" s="1455">
        <v>312</v>
      </c>
      <c r="C562" s="1100">
        <v>1.0051052006502714</v>
      </c>
      <c r="D562" s="1100">
        <v>1.0082347330341217</v>
      </c>
      <c r="E562" s="1100">
        <v>0.96794246463857481</v>
      </c>
      <c r="F562" s="1100">
        <v>0.96640526784076375</v>
      </c>
      <c r="G562" s="1100">
        <v>1.014665953425993</v>
      </c>
      <c r="H562" s="1100">
        <v>1.0036190992132406</v>
      </c>
      <c r="I562" s="1100">
        <v>0.98701903855197071</v>
      </c>
      <c r="K562">
        <v>2.1580066747238376</v>
      </c>
      <c r="L562">
        <v>0</v>
      </c>
      <c r="M562">
        <v>1.6473233541827734E-3</v>
      </c>
      <c r="N562">
        <v>0.13595491407473057</v>
      </c>
      <c r="O562">
        <v>1.95966214169974E-2</v>
      </c>
      <c r="P562">
        <v>2.4809331967501132E-2</v>
      </c>
      <c r="Q562">
        <v>5.2902472427944014E-3</v>
      </c>
      <c r="R562">
        <v>1.6242535496463963E-3</v>
      </c>
      <c r="S562">
        <v>0.23624669272282364</v>
      </c>
      <c r="T562">
        <v>1.2986784677088581</v>
      </c>
      <c r="U562">
        <v>0.14197410295824051</v>
      </c>
      <c r="V562">
        <v>0.18605577476441959</v>
      </c>
      <c r="W562">
        <v>9.1053341628357182E-2</v>
      </c>
      <c r="X562">
        <v>1.3949567316552614E-2</v>
      </c>
      <c r="Y562">
        <v>4.4206827270987497E-3</v>
      </c>
    </row>
    <row r="563" spans="1:25" x14ac:dyDescent="0.25">
      <c r="A563" s="1096"/>
      <c r="B563" s="1455">
        <v>313</v>
      </c>
      <c r="C563" s="1100">
        <v>1.0198697367695542</v>
      </c>
      <c r="D563" s="1100">
        <v>0.97222050997047516</v>
      </c>
      <c r="E563" s="1100">
        <v>0.98041692895746846</v>
      </c>
      <c r="F563" s="1100">
        <v>1.0234094295267953</v>
      </c>
      <c r="G563" s="1100">
        <v>1.0012144306508375</v>
      </c>
      <c r="H563" s="1100">
        <v>0.99361706541191863</v>
      </c>
      <c r="I563" s="1100">
        <v>0.97341068782537021</v>
      </c>
      <c r="K563">
        <v>2.2269848339849827</v>
      </c>
      <c r="L563">
        <v>0</v>
      </c>
      <c r="M563">
        <v>1.5789891915225722E-3</v>
      </c>
      <c r="N563">
        <v>0.13531063272478641</v>
      </c>
      <c r="O563">
        <v>1.9475745327896674E-2</v>
      </c>
      <c r="P563">
        <v>2.5975956831132452E-2</v>
      </c>
      <c r="Q563">
        <v>5.3249210610923758E-3</v>
      </c>
      <c r="R563">
        <v>1.5566537731315866E-3</v>
      </c>
      <c r="S563">
        <v>0.23315033650752937</v>
      </c>
      <c r="T563">
        <v>1.375295114766983</v>
      </c>
      <c r="U563">
        <v>0.13994680313719024</v>
      </c>
      <c r="V563">
        <v>0.18369129632141384</v>
      </c>
      <c r="W563">
        <v>8.9938674780659769E-2</v>
      </c>
      <c r="X563">
        <v>1.4660989525000485E-2</v>
      </c>
      <c r="Y563">
        <v>4.2366984196857797E-3</v>
      </c>
    </row>
    <row r="564" spans="1:25" x14ac:dyDescent="0.25">
      <c r="A564" s="1096"/>
      <c r="B564" s="1455">
        <v>314</v>
      </c>
      <c r="C564" s="1100">
        <v>1.0139076441399557</v>
      </c>
      <c r="D564" s="1100">
        <v>1.0119987969380952</v>
      </c>
      <c r="E564" s="1100">
        <v>0.98485476810914707</v>
      </c>
      <c r="F564" s="1100">
        <v>1.008048812428274</v>
      </c>
      <c r="G564" s="1100">
        <v>0.97737054754649832</v>
      </c>
      <c r="H564" s="1100">
        <v>1.0134887225973019</v>
      </c>
      <c r="I564" s="1100">
        <v>0.98719779470813884</v>
      </c>
      <c r="K564">
        <v>2.2108475605862465</v>
      </c>
      <c r="L564">
        <v>0</v>
      </c>
      <c r="M564">
        <v>1.5911349623279896E-3</v>
      </c>
      <c r="N564">
        <v>0.13823316818253803</v>
      </c>
      <c r="O564">
        <v>1.9420922853785005E-2</v>
      </c>
      <c r="P564">
        <v>2.578546007853167E-2</v>
      </c>
      <c r="Q564">
        <v>5.3339017791247277E-3</v>
      </c>
      <c r="R564">
        <v>1.5690690405120306E-3</v>
      </c>
      <c r="S564">
        <v>0.23469700673879676</v>
      </c>
      <c r="T564">
        <v>1.354658378332088</v>
      </c>
      <c r="U564">
        <v>0.1407797830433932</v>
      </c>
      <c r="V564">
        <v>0.1813416235857844</v>
      </c>
      <c r="W564">
        <v>9.1635864677676149E-2</v>
      </c>
      <c r="X564">
        <v>1.4713028551539069E-2</v>
      </c>
      <c r="Y564">
        <v>4.2704886848035552E-3</v>
      </c>
    </row>
    <row r="565" spans="1:25" x14ac:dyDescent="0.25">
      <c r="A565" s="1096"/>
      <c r="B565" s="1455">
        <v>315</v>
      </c>
      <c r="C565" s="1100">
        <v>0.96911546129740611</v>
      </c>
      <c r="D565" s="1100">
        <v>0.99313970055762879</v>
      </c>
      <c r="E565" s="1100">
        <v>0.96605274986872658</v>
      </c>
      <c r="F565" s="1100">
        <v>1.0045476094605783</v>
      </c>
      <c r="G565" s="1100">
        <v>1.004073235408796</v>
      </c>
      <c r="H565" s="1100">
        <v>0.98735587926075286</v>
      </c>
      <c r="I565" s="1100">
        <v>0.99058238291762279</v>
      </c>
      <c r="K565">
        <v>2.2331440810408445</v>
      </c>
      <c r="L565">
        <v>0</v>
      </c>
      <c r="M565">
        <v>1.6929900459017883E-3</v>
      </c>
      <c r="N565">
        <v>0.13889395014948941</v>
      </c>
      <c r="O565">
        <v>2.0390724043529002E-2</v>
      </c>
      <c r="P565">
        <v>2.5673350169043874E-2</v>
      </c>
      <c r="Q565">
        <v>5.4939815468589741E-3</v>
      </c>
      <c r="R565">
        <v>1.6688901778389162E-3</v>
      </c>
      <c r="S565">
        <v>0.24641252667184496</v>
      </c>
      <c r="T565">
        <v>1.3499334125273894</v>
      </c>
      <c r="U565">
        <v>0.14724208587573223</v>
      </c>
      <c r="V565">
        <v>0.18704747997601145</v>
      </c>
      <c r="W565">
        <v>9.3129013448915249E-2</v>
      </c>
      <c r="X565">
        <v>1.4409487585511855E-2</v>
      </c>
      <c r="Y565">
        <v>4.5421689145782613E-3</v>
      </c>
    </row>
    <row r="566" spans="1:25" x14ac:dyDescent="0.25">
      <c r="A566" s="1096"/>
      <c r="B566" s="1455">
        <v>316</v>
      </c>
      <c r="C566" s="1100">
        <v>0.99923213207473516</v>
      </c>
      <c r="D566" s="1100">
        <v>1.0307042976230725</v>
      </c>
      <c r="E566" s="1100">
        <v>0.99304641145405992</v>
      </c>
      <c r="F566" s="1100">
        <v>1.0088159608871747</v>
      </c>
      <c r="G566" s="1100">
        <v>0.99723297105780784</v>
      </c>
      <c r="H566" s="1100">
        <v>1.0031414422110705</v>
      </c>
      <c r="I566" s="1100">
        <v>0.99657345702453204</v>
      </c>
      <c r="K566">
        <v>2.2221614663624116</v>
      </c>
      <c r="L566">
        <v>0</v>
      </c>
      <c r="M566">
        <v>1.5648243761334352E-3</v>
      </c>
      <c r="N566">
        <v>0.13933647057244761</v>
      </c>
      <c r="O566">
        <v>1.9631989868791791E-2</v>
      </c>
      <c r="P566">
        <v>2.6067464089917992E-2</v>
      </c>
      <c r="Q566">
        <v>5.4367261332770632E-3</v>
      </c>
      <c r="R566">
        <v>1.5428994869431485E-3</v>
      </c>
      <c r="S566">
        <v>0.23747754670461649</v>
      </c>
      <c r="T566">
        <v>1.3557004697748936</v>
      </c>
      <c r="U566">
        <v>0.14286622718592354</v>
      </c>
      <c r="V566">
        <v>0.18445306143273393</v>
      </c>
      <c r="W566">
        <v>9.1914714175539688E-2</v>
      </c>
      <c r="X566">
        <v>1.5099457526679379E-2</v>
      </c>
      <c r="Y566">
        <v>4.1992637867800733E-3</v>
      </c>
    </row>
    <row r="567" spans="1:25" x14ac:dyDescent="0.25">
      <c r="A567" s="1096"/>
      <c r="B567" s="1455">
        <v>317</v>
      </c>
      <c r="C567" s="1100">
        <v>1.01189633149814</v>
      </c>
      <c r="D567" s="1100">
        <v>0.98783792617630339</v>
      </c>
      <c r="E567" s="1100">
        <v>0.9856553551752707</v>
      </c>
      <c r="F567" s="1100">
        <v>1.0167683003395704</v>
      </c>
      <c r="G567" s="1100">
        <v>0.98408633828037362</v>
      </c>
      <c r="H567" s="1100">
        <v>0.98158105655555739</v>
      </c>
      <c r="I567" s="1100">
        <v>1.0222289053849356</v>
      </c>
      <c r="K567">
        <v>2.2278590712271362</v>
      </c>
      <c r="L567">
        <v>0</v>
      </c>
      <c r="M567">
        <v>1.5497649615269786E-3</v>
      </c>
      <c r="N567">
        <v>0.13490377079855179</v>
      </c>
      <c r="O567">
        <v>1.9563743499365859E-2</v>
      </c>
      <c r="P567">
        <v>2.6098716468071728E-2</v>
      </c>
      <c r="Q567">
        <v>5.377488273404024E-3</v>
      </c>
      <c r="R567">
        <v>1.5275741264238339E-3</v>
      </c>
      <c r="S567">
        <v>0.24387064029216904</v>
      </c>
      <c r="T567">
        <v>1.3663770266526769</v>
      </c>
      <c r="U567">
        <v>0.14106142357781551</v>
      </c>
      <c r="V567">
        <v>0.18221772893346563</v>
      </c>
      <c r="W567">
        <v>8.93857396333676E-2</v>
      </c>
      <c r="X567">
        <v>1.486743072589858E-2</v>
      </c>
      <c r="Y567">
        <v>4.1575532074502363E-3</v>
      </c>
    </row>
    <row r="568" spans="1:25" x14ac:dyDescent="0.25">
      <c r="A568" s="1096"/>
      <c r="B568" s="1455">
        <v>318</v>
      </c>
      <c r="C568" s="1100">
        <v>1.041422542094846</v>
      </c>
      <c r="D568" s="1100">
        <v>0.98435238877465536</v>
      </c>
      <c r="E568" s="1100">
        <v>1.0037668592190716</v>
      </c>
      <c r="F568" s="1100">
        <v>0.95869132354919218</v>
      </c>
      <c r="G568" s="1100">
        <v>0.99720366971204744</v>
      </c>
      <c r="H568" s="1100">
        <v>0.98027035970824516</v>
      </c>
      <c r="I568" s="1100">
        <v>0.97464529429784008</v>
      </c>
      <c r="K568">
        <v>2.1226786839973983</v>
      </c>
      <c r="L568">
        <v>0</v>
      </c>
      <c r="M568">
        <v>1.4495388666300412E-3</v>
      </c>
      <c r="N568">
        <v>0.13327631379277699</v>
      </c>
      <c r="O568">
        <v>1.903475620377814E-2</v>
      </c>
      <c r="P568">
        <v>2.5091705522166285E-2</v>
      </c>
      <c r="Q568">
        <v>5.3284947105710105E-3</v>
      </c>
      <c r="R568">
        <v>1.4287554008665085E-3</v>
      </c>
      <c r="S568">
        <v>0.22635875661244753</v>
      </c>
      <c r="T568">
        <v>1.2883563259747621</v>
      </c>
      <c r="U568">
        <v>0.13710208360903958</v>
      </c>
      <c r="V568">
        <v>0.18205381911641713</v>
      </c>
      <c r="W568">
        <v>8.735797184444978E-2</v>
      </c>
      <c r="X568">
        <v>1.4850638864685392E-2</v>
      </c>
      <c r="Y568">
        <v>3.8886012120673218E-3</v>
      </c>
    </row>
    <row r="569" spans="1:25" x14ac:dyDescent="0.25">
      <c r="A569" s="1096"/>
      <c r="B569" s="1455">
        <v>319</v>
      </c>
      <c r="C569" s="1100">
        <v>0.98324028585714618</v>
      </c>
      <c r="D569" s="1100">
        <v>1.0099830316003287</v>
      </c>
      <c r="E569" s="1100">
        <v>0.9713672300830003</v>
      </c>
      <c r="F569" s="1100">
        <v>0.97495808755491642</v>
      </c>
      <c r="G569" s="1100">
        <v>0.99793657974386363</v>
      </c>
      <c r="H569" s="1100">
        <v>1.0089469862813214</v>
      </c>
      <c r="I569" s="1100">
        <v>0.96917773059267553</v>
      </c>
      <c r="K569">
        <v>2.1812362349297434</v>
      </c>
      <c r="L569">
        <v>0</v>
      </c>
      <c r="M569">
        <v>1.6803284782562411E-3</v>
      </c>
      <c r="N569">
        <v>0.14013495464107265</v>
      </c>
      <c r="O569">
        <v>2.0026929830464262E-2</v>
      </c>
      <c r="P569">
        <v>2.5077683591527254E-2</v>
      </c>
      <c r="Q569">
        <v>5.4253733375173637E-3</v>
      </c>
      <c r="R569">
        <v>1.6569207203384986E-3</v>
      </c>
      <c r="S569">
        <v>0.23737583760541639</v>
      </c>
      <c r="T569">
        <v>1.3101750406912187</v>
      </c>
      <c r="U569">
        <v>0.14513924747521217</v>
      </c>
      <c r="V569">
        <v>0.18547932846737358</v>
      </c>
      <c r="W569">
        <v>9.3657368920239861E-2</v>
      </c>
      <c r="X569">
        <v>1.4258286130623007E-2</v>
      </c>
      <c r="Y569">
        <v>4.5095919969927283E-3</v>
      </c>
    </row>
    <row r="570" spans="1:25" x14ac:dyDescent="0.25">
      <c r="A570" s="1096"/>
      <c r="B570" s="1455">
        <v>320</v>
      </c>
      <c r="C570" s="1100">
        <v>0.99599179834281426</v>
      </c>
      <c r="D570" s="1100">
        <v>1.0053467652029677</v>
      </c>
      <c r="E570" s="1100">
        <v>0.95857835620188547</v>
      </c>
      <c r="F570" s="1100">
        <v>1.0052002119796319</v>
      </c>
      <c r="G570" s="1100">
        <v>0.98728070636612775</v>
      </c>
      <c r="H570" s="1100">
        <v>1.0005957496747577</v>
      </c>
      <c r="I570" s="1100">
        <v>0.97999306675416709</v>
      </c>
      <c r="K570">
        <v>2.2100904665777867</v>
      </c>
      <c r="L570">
        <v>0</v>
      </c>
      <c r="M570">
        <v>1.6907715278615262E-3</v>
      </c>
      <c r="N570">
        <v>0.13563209658495973</v>
      </c>
      <c r="O570">
        <v>1.9782585144078872E-2</v>
      </c>
      <c r="P570">
        <v>2.5309553801343469E-2</v>
      </c>
      <c r="Q570">
        <v>5.2893897630615873E-3</v>
      </c>
      <c r="R570">
        <v>1.6670217118809518E-3</v>
      </c>
      <c r="S570">
        <v>0.23674168290778408</v>
      </c>
      <c r="T570">
        <v>1.3508046714275888</v>
      </c>
      <c r="U570">
        <v>0.14325166168289374</v>
      </c>
      <c r="V570">
        <v>0.18349205262656668</v>
      </c>
      <c r="W570">
        <v>9.1359125106226569E-2</v>
      </c>
      <c r="X570">
        <v>1.3914313783081726E-2</v>
      </c>
      <c r="Y570">
        <v>4.5370835661803187E-3</v>
      </c>
    </row>
    <row r="571" spans="1:25" x14ac:dyDescent="0.25">
      <c r="A571" s="1096"/>
      <c r="B571" s="1455">
        <v>321</v>
      </c>
      <c r="C571" s="1100">
        <v>1.003267200424576</v>
      </c>
      <c r="D571" s="1100">
        <v>0.98255604747078429</v>
      </c>
      <c r="E571" s="1100">
        <v>1.0131798581116989</v>
      </c>
      <c r="F571" s="1100">
        <v>0.99184186994150636</v>
      </c>
      <c r="G571" s="1100">
        <v>1.0387133660011969</v>
      </c>
      <c r="H571" s="1100">
        <v>1.0006983097312876</v>
      </c>
      <c r="I571" s="1100">
        <v>0.98431114652910778</v>
      </c>
      <c r="K571">
        <v>2.2102935131595873</v>
      </c>
      <c r="L571">
        <v>0</v>
      </c>
      <c r="M571">
        <v>1.5068886464274114E-3</v>
      </c>
      <c r="N571">
        <v>0.14258580779798505</v>
      </c>
      <c r="O571">
        <v>1.9772501511193155E-2</v>
      </c>
      <c r="P571">
        <v>2.6224806333809553E-2</v>
      </c>
      <c r="Q571">
        <v>5.5873879518332729E-3</v>
      </c>
      <c r="R571">
        <v>1.485723953519728E-3</v>
      </c>
      <c r="S571">
        <v>0.23919940969803954</v>
      </c>
      <c r="T571">
        <v>1.332922919708025</v>
      </c>
      <c r="U571">
        <v>0.14233785427641582</v>
      </c>
      <c r="V571">
        <v>0.18892070542679754</v>
      </c>
      <c r="W571">
        <v>9.2942073692739394E-2</v>
      </c>
      <c r="X571">
        <v>1.57775606229444E-2</v>
      </c>
      <c r="Y571">
        <v>4.0436508327110505E-3</v>
      </c>
    </row>
    <row r="572" spans="1:25" x14ac:dyDescent="0.25">
      <c r="A572" s="1096"/>
      <c r="B572" s="1455">
        <v>322</v>
      </c>
      <c r="C572" s="1100">
        <v>0.97217809758795559</v>
      </c>
      <c r="D572" s="1100">
        <v>1.0151796167969858</v>
      </c>
      <c r="E572" s="1100">
        <v>0.98662382449549824</v>
      </c>
      <c r="F572" s="1100">
        <v>1.0260535286533599</v>
      </c>
      <c r="G572" s="1100">
        <v>0.97050837715633875</v>
      </c>
      <c r="H572" s="1100">
        <v>1.0063550817249036</v>
      </c>
      <c r="I572" s="1100">
        <v>1.0006503917416567</v>
      </c>
      <c r="K572">
        <v>2.2659069119691893</v>
      </c>
      <c r="L572">
        <v>0</v>
      </c>
      <c r="M572">
        <v>1.640597169779994E-3</v>
      </c>
      <c r="N572">
        <v>0.14328064009769637</v>
      </c>
      <c r="O572">
        <v>2.0241693508407509E-2</v>
      </c>
      <c r="P572">
        <v>2.6420175163244713E-2</v>
      </c>
      <c r="Q572">
        <v>5.5692972437429902E-3</v>
      </c>
      <c r="R572">
        <v>1.6176840254394811E-3</v>
      </c>
      <c r="S572">
        <v>0.24714856509037303</v>
      </c>
      <c r="T572">
        <v>1.3788561976716536</v>
      </c>
      <c r="U572">
        <v>0.14682676166368619</v>
      </c>
      <c r="V572">
        <v>0.18307836548788087</v>
      </c>
      <c r="W572">
        <v>9.4880928395945197E-2</v>
      </c>
      <c r="X572">
        <v>1.5224398143045477E-2</v>
      </c>
      <c r="Y572">
        <v>4.4028026478506012E-3</v>
      </c>
    </row>
    <row r="573" spans="1:25" x14ac:dyDescent="0.25">
      <c r="A573" s="1096"/>
      <c r="B573" s="1455">
        <v>323</v>
      </c>
      <c r="C573" s="1100">
        <v>1.0099102762918881</v>
      </c>
      <c r="D573" s="1100">
        <v>1.0185094602626119</v>
      </c>
      <c r="E573" s="1100">
        <v>1.0172691231206883</v>
      </c>
      <c r="F573" s="1100">
        <v>1.005845588994654</v>
      </c>
      <c r="G573" s="1100">
        <v>1.0210973286289229</v>
      </c>
      <c r="H573" s="1100">
        <v>1.0298701545281528</v>
      </c>
      <c r="I573" s="1100">
        <v>0.97974058468270731</v>
      </c>
      <c r="K573">
        <v>2.2254532175958683</v>
      </c>
      <c r="L573">
        <v>0</v>
      </c>
      <c r="M573">
        <v>1.5155424820166125E-3</v>
      </c>
      <c r="N573">
        <v>0.14524392660381938</v>
      </c>
      <c r="O573">
        <v>1.9490276847618376E-2</v>
      </c>
      <c r="P573">
        <v>2.6454900465074871E-2</v>
      </c>
      <c r="Q573">
        <v>5.5301309281626113E-3</v>
      </c>
      <c r="R573">
        <v>1.4948591921280813E-3</v>
      </c>
      <c r="S573">
        <v>0.23461237736072774</v>
      </c>
      <c r="T573">
        <v>1.3517502288598202</v>
      </c>
      <c r="U573">
        <v>0.14141091612982279</v>
      </c>
      <c r="V573">
        <v>0.18654412071234477</v>
      </c>
      <c r="W573">
        <v>9.4447638933400982E-2</v>
      </c>
      <c r="X573">
        <v>1.5920870104190389E-2</v>
      </c>
      <c r="Y573">
        <v>4.0685139407723898E-3</v>
      </c>
    </row>
    <row r="574" spans="1:25" x14ac:dyDescent="0.25">
      <c r="A574" s="1096"/>
      <c r="B574" s="1455">
        <v>324</v>
      </c>
      <c r="C574" s="1100">
        <v>0.99079741336182903</v>
      </c>
      <c r="D574" s="1100">
        <v>1.0035036535287778</v>
      </c>
      <c r="E574" s="1100">
        <v>1.0346157502283986</v>
      </c>
      <c r="F574" s="1100">
        <v>0.98822838565068427</v>
      </c>
      <c r="G574" s="1100">
        <v>0.99440176126603574</v>
      </c>
      <c r="H574" s="1100">
        <v>1.0185401182802332</v>
      </c>
      <c r="I574" s="1100">
        <v>0.99038556988901483</v>
      </c>
      <c r="K574">
        <v>2.2179369855849984</v>
      </c>
      <c r="L574">
        <v>0</v>
      </c>
      <c r="M574">
        <v>1.4783972066118552E-3</v>
      </c>
      <c r="N574">
        <v>0.14926958620952477</v>
      </c>
      <c r="O574">
        <v>1.994220012560791E-2</v>
      </c>
      <c r="P574">
        <v>2.6587007529061665E-2</v>
      </c>
      <c r="Q574">
        <v>5.7564602384129271E-3</v>
      </c>
      <c r="R574">
        <v>1.4579964173096931E-3</v>
      </c>
      <c r="S574">
        <v>0.24274359166440601</v>
      </c>
      <c r="T574">
        <v>1.3281114128411646</v>
      </c>
      <c r="U574">
        <v>0.14417925369979345</v>
      </c>
      <c r="V574">
        <v>0.18467633237155112</v>
      </c>
      <c r="W574">
        <v>9.6089828943263358E-2</v>
      </c>
      <c r="X574">
        <v>1.6633527131985328E-2</v>
      </c>
      <c r="Y574">
        <v>3.9681856195271908E-3</v>
      </c>
    </row>
    <row r="575" spans="1:25" x14ac:dyDescent="0.25">
      <c r="A575" s="1096"/>
      <c r="B575" s="1455">
        <v>325</v>
      </c>
      <c r="C575" s="1100">
        <v>0.96511150182795558</v>
      </c>
      <c r="D575" s="1100">
        <v>1.0204904122370786</v>
      </c>
      <c r="E575" s="1100">
        <v>0.99018804219973722</v>
      </c>
      <c r="F575" s="1100">
        <v>1.0091490601004809</v>
      </c>
      <c r="G575" s="1100">
        <v>0.99405176425152886</v>
      </c>
      <c r="H575" s="1100">
        <v>0.99097798529764014</v>
      </c>
      <c r="I575" s="1100">
        <v>0.99143855740546083</v>
      </c>
      <c r="K575">
        <v>2.2433499571156434</v>
      </c>
      <c r="L575">
        <v>0</v>
      </c>
      <c r="M575">
        <v>1.6135390977592705E-3</v>
      </c>
      <c r="N575">
        <v>0.14241317590450339</v>
      </c>
      <c r="O575">
        <v>2.0368804434300839E-2</v>
      </c>
      <c r="P575">
        <v>2.6208579973747353E-2</v>
      </c>
      <c r="Q575">
        <v>5.6245147622539715E-3</v>
      </c>
      <c r="R575">
        <v>1.590654174338794E-3</v>
      </c>
      <c r="S575">
        <v>0.24479686844161905</v>
      </c>
      <c r="T575">
        <v>1.3561440405728262</v>
      </c>
      <c r="U575">
        <v>0.14791032164409135</v>
      </c>
      <c r="V575">
        <v>0.18618960964029738</v>
      </c>
      <c r="W575">
        <v>9.4105090169472091E-2</v>
      </c>
      <c r="X575">
        <v>1.5282600192410211E-2</v>
      </c>
      <c r="Y575">
        <v>4.3292363035425507E-3</v>
      </c>
    </row>
    <row r="576" spans="1:25" x14ac:dyDescent="0.25">
      <c r="A576" s="1096"/>
      <c r="B576" s="1455">
        <v>326</v>
      </c>
      <c r="C576" s="1100">
        <v>1.0037587182483891</v>
      </c>
      <c r="D576" s="1100">
        <v>0.96822663542058718</v>
      </c>
      <c r="E576" s="1100">
        <v>0.98959118059143147</v>
      </c>
      <c r="F576" s="1100">
        <v>0.99928776801255792</v>
      </c>
      <c r="G576" s="1100">
        <v>1.0232111479712283</v>
      </c>
      <c r="H576" s="1100">
        <v>0.96692009748448193</v>
      </c>
      <c r="I576" s="1100">
        <v>1.017172642412473</v>
      </c>
      <c r="K576">
        <v>2.2127990834494611</v>
      </c>
      <c r="L576">
        <v>0</v>
      </c>
      <c r="M576">
        <v>1.5332539525948221E-3</v>
      </c>
      <c r="N576">
        <v>0.13503475435915405</v>
      </c>
      <c r="O576">
        <v>1.9812009652009972E-2</v>
      </c>
      <c r="P576">
        <v>2.5968397185206014E-2</v>
      </c>
      <c r="Q576">
        <v>5.4674652710508002E-3</v>
      </c>
      <c r="R576">
        <v>1.5109666513782615E-3</v>
      </c>
      <c r="S576">
        <v>0.24594501618642625</v>
      </c>
      <c r="T576">
        <v>1.3428911341077645</v>
      </c>
      <c r="U576">
        <v>0.14221403819770206</v>
      </c>
      <c r="V576">
        <v>0.18711892712014588</v>
      </c>
      <c r="W576">
        <v>8.9261421891758466E-2</v>
      </c>
      <c r="X576">
        <v>1.4995853644429194E-2</v>
      </c>
      <c r="Y576">
        <v>4.1123531350288648E-3</v>
      </c>
    </row>
    <row r="577" spans="1:25" x14ac:dyDescent="0.25">
      <c r="A577" s="1096"/>
      <c r="B577" s="1455">
        <v>327</v>
      </c>
      <c r="C577" s="1100">
        <v>0.99944806766649386</v>
      </c>
      <c r="D577" s="1100">
        <v>1.0370607437295509</v>
      </c>
      <c r="E577" s="1100">
        <v>1.011658617469414</v>
      </c>
      <c r="F577" s="1100">
        <v>1.029841124615958</v>
      </c>
      <c r="G577" s="1100">
        <v>0.95999738556014558</v>
      </c>
      <c r="H577" s="1100">
        <v>1.0342872100545011</v>
      </c>
      <c r="I577" s="1100">
        <v>1.0095586353308679</v>
      </c>
      <c r="K577">
        <v>2.2629256293884734</v>
      </c>
      <c r="L577">
        <v>0</v>
      </c>
      <c r="M577">
        <v>1.5498521341811321E-3</v>
      </c>
      <c r="N577">
        <v>0.14604681073858919</v>
      </c>
      <c r="O577">
        <v>1.9612762243596579E-2</v>
      </c>
      <c r="P577">
        <v>2.6830724615760158E-2</v>
      </c>
      <c r="Q577">
        <v>5.5338378105508753E-3</v>
      </c>
      <c r="R577">
        <v>1.5287909353428298E-3</v>
      </c>
      <c r="S577">
        <v>0.24243351986780756</v>
      </c>
      <c r="T577">
        <v>1.3839866912900332</v>
      </c>
      <c r="U577">
        <v>0.14287825061520884</v>
      </c>
      <c r="V577">
        <v>0.18024785032300208</v>
      </c>
      <c r="W577">
        <v>9.5283340138846692E-2</v>
      </c>
      <c r="X577">
        <v>1.593203798370656E-2</v>
      </c>
      <c r="Y577">
        <v>4.160864960206791E-3</v>
      </c>
    </row>
    <row r="578" spans="1:25" x14ac:dyDescent="0.25">
      <c r="A578" s="1096"/>
      <c r="B578" s="1455">
        <v>328</v>
      </c>
      <c r="C578" s="1100">
        <v>1.0290512134917367</v>
      </c>
      <c r="D578" s="1100">
        <v>0.97681560516385546</v>
      </c>
      <c r="E578" s="1100">
        <v>1.0104964585938414</v>
      </c>
      <c r="F578" s="1100">
        <v>1.0160134078627279</v>
      </c>
      <c r="G578" s="1100">
        <v>0.99873376791631951</v>
      </c>
      <c r="H578" s="1100">
        <v>0.98660112068532635</v>
      </c>
      <c r="I578" s="1100">
        <v>0.9968948074595968</v>
      </c>
      <c r="K578">
        <v>2.2197246843089324</v>
      </c>
      <c r="L578">
        <v>0</v>
      </c>
      <c r="M578">
        <v>1.4584140586516351E-3</v>
      </c>
      <c r="N578">
        <v>0.13685786204559741</v>
      </c>
      <c r="O578">
        <v>1.9300305204927936E-2</v>
      </c>
      <c r="P578">
        <v>2.6440544766243256E-2</v>
      </c>
      <c r="Q578">
        <v>5.439357487345713E-3</v>
      </c>
      <c r="R578">
        <v>1.4376375191239154E-3</v>
      </c>
      <c r="S578">
        <v>0.2357615612258705</v>
      </c>
      <c r="T578">
        <v>1.3654016856376572</v>
      </c>
      <c r="U578">
        <v>0.13876540776618301</v>
      </c>
      <c r="V578">
        <v>0.1829174641698269</v>
      </c>
      <c r="W578">
        <v>8.9349477021669496E-2</v>
      </c>
      <c r="X578">
        <v>1.5599020113161593E-2</v>
      </c>
      <c r="Y578">
        <v>3.9127754099744869E-3</v>
      </c>
    </row>
    <row r="579" spans="1:25" x14ac:dyDescent="0.25">
      <c r="A579" s="1096"/>
      <c r="B579" s="1455">
        <v>329</v>
      </c>
      <c r="C579" s="1100">
        <v>1.0106112087265349</v>
      </c>
      <c r="D579" s="1100">
        <v>0.99329230628429033</v>
      </c>
      <c r="E579" s="1100">
        <v>0.97126495543845603</v>
      </c>
      <c r="F579" s="1100">
        <v>1.0245363399914162</v>
      </c>
      <c r="G579" s="1100">
        <v>1.0256707828702327</v>
      </c>
      <c r="H579" s="1100">
        <v>0.98514779604163527</v>
      </c>
      <c r="I579" s="1100">
        <v>0.99105385383781941</v>
      </c>
      <c r="K579">
        <v>2.2335183541787771</v>
      </c>
      <c r="L579">
        <v>0</v>
      </c>
      <c r="M579">
        <v>1.6024579531921527E-3</v>
      </c>
      <c r="N579">
        <v>0.13355378805561188</v>
      </c>
      <c r="O579">
        <v>1.9556028958284427E-2</v>
      </c>
      <c r="P579">
        <v>2.5917727885478324E-2</v>
      </c>
      <c r="Q579">
        <v>5.2972510985003305E-3</v>
      </c>
      <c r="R579">
        <v>1.5795956894920878E-3</v>
      </c>
      <c r="S579">
        <v>0.23625428101943288</v>
      </c>
      <c r="T579">
        <v>1.3767995360714818</v>
      </c>
      <c r="U579">
        <v>0.14120813184451936</v>
      </c>
      <c r="V579">
        <v>0.18698111075431148</v>
      </c>
      <c r="W579">
        <v>8.9264482618471877E-2</v>
      </c>
      <c r="X579">
        <v>1.4409739383166543E-2</v>
      </c>
      <c r="Y579">
        <v>4.299138753218368E-3</v>
      </c>
    </row>
    <row r="580" spans="1:25" x14ac:dyDescent="0.25">
      <c r="A580" s="1096"/>
      <c r="B580" s="1455">
        <v>330</v>
      </c>
      <c r="C580" s="1100">
        <v>0.99976052930721271</v>
      </c>
      <c r="D580" s="1100">
        <v>0.99597649466679061</v>
      </c>
      <c r="E580" s="1100">
        <v>0.97745746940777845</v>
      </c>
      <c r="F580" s="1100">
        <v>1.035558324559408</v>
      </c>
      <c r="G580" s="1100">
        <v>1.0042724516099677</v>
      </c>
      <c r="H580" s="1100">
        <v>0.99832128470159576</v>
      </c>
      <c r="I580" s="1100">
        <v>1.0233481043358776</v>
      </c>
      <c r="K580">
        <v>2.2668076084241657</v>
      </c>
      <c r="L580">
        <v>0</v>
      </c>
      <c r="M580">
        <v>1.6196823179298074E-3</v>
      </c>
      <c r="N580">
        <v>0.1375697207333805</v>
      </c>
      <c r="O580">
        <v>1.9760399479783069E-2</v>
      </c>
      <c r="P580">
        <v>2.6385675274780699E-2</v>
      </c>
      <c r="Q580">
        <v>5.386512615004441E-3</v>
      </c>
      <c r="R580">
        <v>1.5968792391665473E-3</v>
      </c>
      <c r="S580">
        <v>0.24739629003175787</v>
      </c>
      <c r="T580">
        <v>1.3916177793445663</v>
      </c>
      <c r="U580">
        <v>0.14275490437581803</v>
      </c>
      <c r="V580">
        <v>0.18520411563243724</v>
      </c>
      <c r="W580">
        <v>9.1603939129899711E-2</v>
      </c>
      <c r="X580">
        <v>1.4804896007588331E-2</v>
      </c>
      <c r="Y580">
        <v>4.3461788779116271E-3</v>
      </c>
    </row>
    <row r="581" spans="1:25" x14ac:dyDescent="0.25">
      <c r="A581" s="1096"/>
      <c r="B581" s="1455">
        <v>331</v>
      </c>
      <c r="C581" s="1100">
        <v>0.98530791139170337</v>
      </c>
      <c r="D581" s="1100">
        <v>1.0075368157425326</v>
      </c>
      <c r="E581" s="1100">
        <v>1.0038978904682623</v>
      </c>
      <c r="F581" s="1100">
        <v>1.0006753341346473</v>
      </c>
      <c r="G581" s="1100">
        <v>0.98817553394878677</v>
      </c>
      <c r="H581" s="1100">
        <v>0.99238342219892384</v>
      </c>
      <c r="I581" s="1100">
        <v>0.99177345180808063</v>
      </c>
      <c r="K581">
        <v>2.2220356177310352</v>
      </c>
      <c r="L581">
        <v>0</v>
      </c>
      <c r="M581">
        <v>1.542680947843856E-3</v>
      </c>
      <c r="N581">
        <v>0.14192150425117103</v>
      </c>
      <c r="O581">
        <v>2.0016117965809776E-2</v>
      </c>
      <c r="P581">
        <v>2.6212175572307247E-2</v>
      </c>
      <c r="Q581">
        <v>5.6039487113788318E-3</v>
      </c>
      <c r="R581">
        <v>1.5208319967709419E-3</v>
      </c>
      <c r="S581">
        <v>0.24160794604158473</v>
      </c>
      <c r="T581">
        <v>1.3447775899132084</v>
      </c>
      <c r="U581">
        <v>0.14491054080005109</v>
      </c>
      <c r="V581">
        <v>0.1842778385679604</v>
      </c>
      <c r="W581">
        <v>9.3017370047802292E-2</v>
      </c>
      <c r="X581">
        <v>1.5573231457757917E-2</v>
      </c>
      <c r="Y581">
        <v>4.1392033530775066E-3</v>
      </c>
    </row>
    <row r="582" spans="1:25" x14ac:dyDescent="0.25">
      <c r="A582" s="1096"/>
      <c r="B582" s="1455">
        <v>332</v>
      </c>
      <c r="C582" s="1100">
        <v>0.99451949768280989</v>
      </c>
      <c r="D582" s="1100">
        <v>1.012831142627477</v>
      </c>
      <c r="E582" s="1100">
        <v>0.98989341450639989</v>
      </c>
      <c r="F582" s="1100">
        <v>1.0029565124978783</v>
      </c>
      <c r="G582" s="1100">
        <v>1.0327277055364317</v>
      </c>
      <c r="H582" s="1100">
        <v>1.0099171532088975</v>
      </c>
      <c r="I582" s="1100">
        <v>1.0227098336554816</v>
      </c>
      <c r="K582">
        <v>2.2326541022899495</v>
      </c>
      <c r="L582">
        <v>0</v>
      </c>
      <c r="M582">
        <v>1.5993747825666009E-3</v>
      </c>
      <c r="N582">
        <v>0.14107537652092414</v>
      </c>
      <c r="O582">
        <v>1.9799102338690186E-2</v>
      </c>
      <c r="P582">
        <v>2.6102370191541369E-2</v>
      </c>
      <c r="Q582">
        <v>5.4655729242127577E-3</v>
      </c>
      <c r="R582">
        <v>1.5771161504104239E-3</v>
      </c>
      <c r="S582">
        <v>0.24752465386811903</v>
      </c>
      <c r="T582">
        <v>1.3478217848389011</v>
      </c>
      <c r="U582">
        <v>0.14353592436956489</v>
      </c>
      <c r="V582">
        <v>0.18874390116635423</v>
      </c>
      <c r="W582">
        <v>9.323754120553672E-2</v>
      </c>
      <c r="X582">
        <v>1.5077743233039932E-2</v>
      </c>
      <c r="Y582">
        <v>4.2923902652179163E-3</v>
      </c>
    </row>
    <row r="583" spans="1:25" x14ac:dyDescent="0.25">
      <c r="A583" s="1096"/>
      <c r="B583" s="1455">
        <v>333</v>
      </c>
      <c r="C583" s="1100">
        <v>0.96106217334127009</v>
      </c>
      <c r="D583" s="1100">
        <v>0.99223799551208069</v>
      </c>
      <c r="E583" s="1100">
        <v>1.036203210319119</v>
      </c>
      <c r="F583" s="1100">
        <v>1.007441407640242</v>
      </c>
      <c r="G583" s="1100">
        <v>0.98598319365458886</v>
      </c>
      <c r="H583" s="1100">
        <v>0.96534284945784454</v>
      </c>
      <c r="I583" s="1100">
        <v>1.0005483637842234</v>
      </c>
      <c r="K583">
        <v>2.2529818208881305</v>
      </c>
      <c r="L583">
        <v>0</v>
      </c>
      <c r="M583">
        <v>1.443340770522197E-3</v>
      </c>
      <c r="N583">
        <v>0.14631591575394631</v>
      </c>
      <c r="O583">
        <v>2.0611377979782949E-2</v>
      </c>
      <c r="P583">
        <v>2.7153566100497677E-2</v>
      </c>
      <c r="Q583">
        <v>5.9589409001309266E-3</v>
      </c>
      <c r="R583">
        <v>1.4223261635321846E-3</v>
      </c>
      <c r="S583">
        <v>0.24980736960051211</v>
      </c>
      <c r="T583">
        <v>1.3539361596897679</v>
      </c>
      <c r="U583">
        <v>0.14864397933613405</v>
      </c>
      <c r="V583">
        <v>0.18557992793871761</v>
      </c>
      <c r="W583">
        <v>9.4102066494721276E-2</v>
      </c>
      <c r="X583">
        <v>1.7022428753465914E-2</v>
      </c>
      <c r="Y583">
        <v>3.8711029474408111E-3</v>
      </c>
    </row>
    <row r="584" spans="1:25" x14ac:dyDescent="0.25">
      <c r="A584" s="1096"/>
      <c r="B584" s="1455">
        <v>334</v>
      </c>
      <c r="C584" s="1100">
        <v>0.99812607758479388</v>
      </c>
      <c r="D584" s="1100">
        <v>0.99190757913854544</v>
      </c>
      <c r="E584" s="1100">
        <v>0.97225486073455392</v>
      </c>
      <c r="F584" s="1100">
        <v>1.0243549590327843</v>
      </c>
      <c r="G584" s="1100">
        <v>0.96899724013601152</v>
      </c>
      <c r="H584" s="1100">
        <v>1.0066999937528769</v>
      </c>
      <c r="I584" s="1100">
        <v>1.0145597324707452</v>
      </c>
      <c r="K584">
        <v>2.2486785777286147</v>
      </c>
      <c r="L584">
        <v>0</v>
      </c>
      <c r="M584">
        <v>1.6551201665645876E-3</v>
      </c>
      <c r="N584">
        <v>0.13839971606502011</v>
      </c>
      <c r="O584">
        <v>1.9807342702359919E-2</v>
      </c>
      <c r="P584">
        <v>2.6023173444328866E-2</v>
      </c>
      <c r="Q584">
        <v>5.3707516931904547E-3</v>
      </c>
      <c r="R584">
        <v>1.6320121089712359E-3</v>
      </c>
      <c r="S584">
        <v>0.24681906400790829</v>
      </c>
      <c r="T584">
        <v>1.3765567771728193</v>
      </c>
      <c r="U584">
        <v>0.14297671670362724</v>
      </c>
      <c r="V584">
        <v>0.18130923037980071</v>
      </c>
      <c r="W584">
        <v>9.244775905038019E-2</v>
      </c>
      <c r="X584">
        <v>1.4549355598798108E-2</v>
      </c>
      <c r="Y584">
        <v>4.4417989679725713E-3</v>
      </c>
    </row>
    <row r="585" spans="1:25" x14ac:dyDescent="0.25">
      <c r="A585" s="1096"/>
      <c r="B585" s="1455">
        <v>335</v>
      </c>
      <c r="C585" s="1100">
        <v>0.98446639820869042</v>
      </c>
      <c r="D585" s="1100">
        <v>0.99591953690077561</v>
      </c>
      <c r="E585" s="1100">
        <v>0.98389865003998733</v>
      </c>
      <c r="F585" s="1100">
        <v>1.0095317426572146</v>
      </c>
      <c r="G585" s="1100">
        <v>1.0063775492279199</v>
      </c>
      <c r="H585" s="1100">
        <v>1.003650851651771</v>
      </c>
      <c r="I585" s="1100">
        <v>1.0223950054380131</v>
      </c>
      <c r="K585">
        <v>2.2456716335400779</v>
      </c>
      <c r="L585">
        <v>0</v>
      </c>
      <c r="M585">
        <v>1.6317654683816953E-3</v>
      </c>
      <c r="N585">
        <v>0.14133416252806413</v>
      </c>
      <c r="O585">
        <v>2.0071716814976152E-2</v>
      </c>
      <c r="P585">
        <v>2.614485315789979E-2</v>
      </c>
      <c r="Q585">
        <v>5.507298956484402E-3</v>
      </c>
      <c r="R585">
        <v>1.6089142659433883E-3</v>
      </c>
      <c r="S585">
        <v>0.25150760259297789</v>
      </c>
      <c r="T585">
        <v>1.3566499950464876</v>
      </c>
      <c r="U585">
        <v>0.14498768331515516</v>
      </c>
      <c r="V585">
        <v>0.18636912935483366</v>
      </c>
      <c r="W585">
        <v>9.3745457318594988E-2</v>
      </c>
      <c r="X585">
        <v>1.4997651403586398E-2</v>
      </c>
      <c r="Y585">
        <v>4.3789342534526782E-3</v>
      </c>
    </row>
    <row r="586" spans="1:25" x14ac:dyDescent="0.25">
      <c r="A586" s="1096"/>
      <c r="B586" s="1455">
        <v>336</v>
      </c>
      <c r="C586" s="1100">
        <v>0.9994402650273968</v>
      </c>
      <c r="D586" s="1100">
        <v>0.98904202400370866</v>
      </c>
      <c r="E586" s="1100">
        <v>1.0042951020306483</v>
      </c>
      <c r="F586" s="1100">
        <v>0.98962940774526409</v>
      </c>
      <c r="G586" s="1100">
        <v>0.99222051713391179</v>
      </c>
      <c r="H586" s="1100">
        <v>0.98175029502944589</v>
      </c>
      <c r="I586" s="1100">
        <v>1.0045135062710713</v>
      </c>
      <c r="K586">
        <v>2.2002415199234804</v>
      </c>
      <c r="L586">
        <v>0</v>
      </c>
      <c r="M586">
        <v>1.5094713835136127E-3</v>
      </c>
      <c r="N586">
        <v>0.13901139953466887</v>
      </c>
      <c r="O586">
        <v>1.9813928775577645E-2</v>
      </c>
      <c r="P586">
        <v>2.599743797169184E-2</v>
      </c>
      <c r="Q586">
        <v>5.5495517458282904E-3</v>
      </c>
      <c r="R586">
        <v>1.4878612315663939E-3</v>
      </c>
      <c r="S586">
        <v>0.24263927373037136</v>
      </c>
      <c r="T586">
        <v>1.329933961241935</v>
      </c>
      <c r="U586">
        <v>0.14286238245685401</v>
      </c>
      <c r="V586">
        <v>0.18388399724938459</v>
      </c>
      <c r="W586">
        <v>9.1088608688376871E-2</v>
      </c>
      <c r="X586">
        <v>1.5433120881736468E-2</v>
      </c>
      <c r="Y586">
        <v>4.049467799000556E-3</v>
      </c>
    </row>
    <row r="587" spans="1:25" x14ac:dyDescent="0.25">
      <c r="A587" s="1096"/>
      <c r="B587" s="1455">
        <v>337</v>
      </c>
      <c r="C587" s="1100">
        <v>1.0306409355975086</v>
      </c>
      <c r="D587" s="1100">
        <v>1.0121001515833383</v>
      </c>
      <c r="E587" s="1100">
        <v>0.97030402509863745</v>
      </c>
      <c r="F587" s="1100">
        <v>1.0070393502031145</v>
      </c>
      <c r="G587" s="1100">
        <v>1.0234452597298302</v>
      </c>
      <c r="H587" s="1100">
        <v>1.0017735265444074</v>
      </c>
      <c r="I587" s="1100">
        <v>1.0110158140487548</v>
      </c>
      <c r="K587">
        <v>2.2020766698345127</v>
      </c>
      <c r="L587">
        <v>0</v>
      </c>
      <c r="M587">
        <v>1.5944135586897217E-3</v>
      </c>
      <c r="N587">
        <v>0.13252911839645495</v>
      </c>
      <c r="O587">
        <v>1.9096423382681877E-2</v>
      </c>
      <c r="P587">
        <v>2.5518614027938775E-2</v>
      </c>
      <c r="Q587">
        <v>5.1676794834471986E-3</v>
      </c>
      <c r="R587">
        <v>1.5720435885077991E-3</v>
      </c>
      <c r="S587">
        <v>0.23541924961117</v>
      </c>
      <c r="T587">
        <v>1.3532856900651011</v>
      </c>
      <c r="U587">
        <v>0.13846172223468547</v>
      </c>
      <c r="V587">
        <v>0.18558848035497411</v>
      </c>
      <c r="W587">
        <v>8.8631404459236549E-2</v>
      </c>
      <c r="X587">
        <v>1.4122073365116936E-2</v>
      </c>
      <c r="Y587">
        <v>4.2785844238885529E-3</v>
      </c>
    </row>
    <row r="588" spans="1:25" x14ac:dyDescent="0.25">
      <c r="A588" s="1096"/>
      <c r="B588" s="1455">
        <v>338</v>
      </c>
      <c r="C588" s="1100">
        <v>0.96888106181021749</v>
      </c>
      <c r="D588" s="1100">
        <v>1.0446905288439792</v>
      </c>
      <c r="E588" s="1100">
        <v>0.9855116354529323</v>
      </c>
      <c r="F588" s="1100">
        <v>0.96098275099383068</v>
      </c>
      <c r="G588" s="1100">
        <v>0.99243632834473383</v>
      </c>
      <c r="H588" s="1100">
        <v>1.0094822849507445</v>
      </c>
      <c r="I588" s="1100">
        <v>1.0089950666668643</v>
      </c>
      <c r="K588">
        <v>2.179465675946084</v>
      </c>
      <c r="L588">
        <v>0</v>
      </c>
      <c r="M588">
        <v>1.6446999274402087E-3</v>
      </c>
      <c r="N588">
        <v>0.14316290058863329</v>
      </c>
      <c r="O588">
        <v>2.0182228212563394E-2</v>
      </c>
      <c r="P588">
        <v>2.5255992432869582E-2</v>
      </c>
      <c r="Q588">
        <v>5.5466834458526076E-3</v>
      </c>
      <c r="R588">
        <v>1.6218006410791787E-3</v>
      </c>
      <c r="S588">
        <v>0.24679048557274805</v>
      </c>
      <c r="T588">
        <v>1.2914098267649723</v>
      </c>
      <c r="U588">
        <v>0.14732376607764675</v>
      </c>
      <c r="V588">
        <v>0.18576371946268355</v>
      </c>
      <c r="W588">
        <v>9.4866343204569659E-2</v>
      </c>
      <c r="X588">
        <v>1.4772622751327798E-2</v>
      </c>
      <c r="Y588">
        <v>4.414006718579876E-3</v>
      </c>
    </row>
    <row r="589" spans="1:25" x14ac:dyDescent="0.25">
      <c r="A589" s="1096"/>
      <c r="B589" s="1455">
        <v>339</v>
      </c>
      <c r="C589" s="1100">
        <v>0.97184937826120443</v>
      </c>
      <c r="D589" s="1100">
        <v>0.95545558593987079</v>
      </c>
      <c r="E589" s="1100">
        <v>1.0193606809080156</v>
      </c>
      <c r="F589" s="1100">
        <v>1.043838292690807</v>
      </c>
      <c r="G589" s="1100">
        <v>0.98957421152954073</v>
      </c>
      <c r="H589" s="1100">
        <v>0.97653327833063619</v>
      </c>
      <c r="I589" s="1100">
        <v>0.99869551286123315</v>
      </c>
      <c r="K589">
        <v>2.3014151318477345</v>
      </c>
      <c r="L589">
        <v>0</v>
      </c>
      <c r="M589">
        <v>1.5079016985182826E-3</v>
      </c>
      <c r="N589">
        <v>0.14531659370539038</v>
      </c>
      <c r="O589">
        <v>2.054171186173186E-2</v>
      </c>
      <c r="P589">
        <v>2.7503984432642896E-2</v>
      </c>
      <c r="Q589">
        <v>5.8406059894963837E-3</v>
      </c>
      <c r="R589">
        <v>1.4861986890677642E-3</v>
      </c>
      <c r="S589">
        <v>0.25212658364213414</v>
      </c>
      <c r="T589">
        <v>1.4028127474069454</v>
      </c>
      <c r="U589">
        <v>0.14695401314214984</v>
      </c>
      <c r="V589">
        <v>0.18528415170225379</v>
      </c>
      <c r="W589">
        <v>9.4379178878499115E-2</v>
      </c>
      <c r="X589">
        <v>1.6632321189564543E-2</v>
      </c>
      <c r="Y589">
        <v>4.0449429063762737E-3</v>
      </c>
    </row>
    <row r="590" spans="1:25" x14ac:dyDescent="0.25">
      <c r="A590" s="1096"/>
      <c r="B590" s="1455">
        <v>340</v>
      </c>
      <c r="C590" s="1100">
        <v>0.99963157601236741</v>
      </c>
      <c r="D590" s="1100">
        <v>1.0106164910712641</v>
      </c>
      <c r="E590" s="1100">
        <v>1.0420356880657193</v>
      </c>
      <c r="F590" s="1100">
        <v>0.99728530904181534</v>
      </c>
      <c r="G590" s="1100">
        <v>0.97550514858804149</v>
      </c>
      <c r="H590" s="1100">
        <v>1.0201537340100151</v>
      </c>
      <c r="I590" s="1100">
        <v>0.98562546362152148</v>
      </c>
      <c r="K590">
        <v>2.2214821590183385</v>
      </c>
      <c r="L590">
        <v>0</v>
      </c>
      <c r="M590">
        <v>1.4428645714906932E-3</v>
      </c>
      <c r="N590">
        <v>0.14897854488791298</v>
      </c>
      <c r="O590">
        <v>1.9739925276910993E-2</v>
      </c>
      <c r="P590">
        <v>2.6790302708221688E-2</v>
      </c>
      <c r="Q590">
        <v>5.7398354747082809E-3</v>
      </c>
      <c r="R590">
        <v>1.4229855994394097E-3</v>
      </c>
      <c r="S590">
        <v>0.23878808963304179</v>
      </c>
      <c r="T590">
        <v>1.3403011431116774</v>
      </c>
      <c r="U590">
        <v>0.14292226828747603</v>
      </c>
      <c r="V590">
        <v>0.18201810111513617</v>
      </c>
      <c r="W590">
        <v>9.5492978362861358E-2</v>
      </c>
      <c r="X590">
        <v>1.6857951417845966E-2</v>
      </c>
      <c r="Y590">
        <v>3.872897714597289E-3</v>
      </c>
    </row>
    <row r="591" spans="1:25" x14ac:dyDescent="0.25">
      <c r="A591" s="1096"/>
      <c r="B591" s="1455">
        <v>341</v>
      </c>
      <c r="C591" s="1100">
        <v>1.0047250135199595</v>
      </c>
      <c r="D591" s="1100">
        <v>0.97784252415906092</v>
      </c>
      <c r="E591" s="1100">
        <v>0.95758903684657082</v>
      </c>
      <c r="F591" s="1100">
        <v>0.98146451416551417</v>
      </c>
      <c r="G591" s="1100">
        <v>0.96927107331010898</v>
      </c>
      <c r="H591" s="1100">
        <v>0.98953366706628387</v>
      </c>
      <c r="I591" s="1100">
        <v>0.97116976206718308</v>
      </c>
      <c r="K591">
        <v>2.1684475918032602</v>
      </c>
      <c r="L591">
        <v>0</v>
      </c>
      <c r="M591">
        <v>1.6710945033936656E-3</v>
      </c>
      <c r="N591">
        <v>0.13363102320483106</v>
      </c>
      <c r="O591">
        <v>1.9730060261335561E-2</v>
      </c>
      <c r="P591">
        <v>2.4794897483368328E-2</v>
      </c>
      <c r="Q591">
        <v>5.2699787438995971E-3</v>
      </c>
      <c r="R591">
        <v>1.6473586739446323E-3</v>
      </c>
      <c r="S591">
        <v>0.23495005897543847</v>
      </c>
      <c r="T591">
        <v>1.3189076004584379</v>
      </c>
      <c r="U591">
        <v>0.14200424619772042</v>
      </c>
      <c r="V591">
        <v>0.18093789607757715</v>
      </c>
      <c r="W591">
        <v>9.0065972551275339E-2</v>
      </c>
      <c r="X591">
        <v>1.3696026419989718E-2</v>
      </c>
      <c r="Y591">
        <v>4.4835672588363715E-3</v>
      </c>
    </row>
    <row r="592" spans="1:25" x14ac:dyDescent="0.25">
      <c r="A592" s="1096"/>
      <c r="B592" s="1455">
        <v>342</v>
      </c>
      <c r="C592" s="1100">
        <v>0.98926627957683977</v>
      </c>
      <c r="D592" s="1100">
        <v>0.99649458624051568</v>
      </c>
      <c r="E592" s="1100">
        <v>0.97108490464764929</v>
      </c>
      <c r="F592" s="1100">
        <v>0.97016045412080665</v>
      </c>
      <c r="G592" s="1100">
        <v>0.9914960806621621</v>
      </c>
      <c r="H592" s="1100">
        <v>0.98989050700534564</v>
      </c>
      <c r="I592" s="1100">
        <v>1.0246148304147544</v>
      </c>
      <c r="K592">
        <v>2.1795511324584123</v>
      </c>
      <c r="L592">
        <v>0</v>
      </c>
      <c r="M592">
        <v>1.6443612985668373E-3</v>
      </c>
      <c r="N592">
        <v>0.13698095322272313</v>
      </c>
      <c r="O592">
        <v>1.9963725103982862E-2</v>
      </c>
      <c r="P592">
        <v>2.5121864834973046E-2</v>
      </c>
      <c r="Q592">
        <v>5.4066916271540838E-3</v>
      </c>
      <c r="R592">
        <v>1.6210136007226495E-3</v>
      </c>
      <c r="S592">
        <v>0.24951527580823599</v>
      </c>
      <c r="T592">
        <v>1.3037275881429689</v>
      </c>
      <c r="U592">
        <v>0.14425449563924073</v>
      </c>
      <c r="V592">
        <v>0.18438367133823128</v>
      </c>
      <c r="W592">
        <v>9.1565150436967196E-2</v>
      </c>
      <c r="X592">
        <v>1.4243199347602556E-2</v>
      </c>
      <c r="Y592">
        <v>4.4118646541771887E-3</v>
      </c>
    </row>
    <row r="593" spans="1:25" x14ac:dyDescent="0.25">
      <c r="A593" s="1096"/>
      <c r="B593" s="1455">
        <v>343</v>
      </c>
      <c r="C593" s="1100">
        <v>1.0063475893570835</v>
      </c>
      <c r="D593" s="1100">
        <v>1.032273454728676</v>
      </c>
      <c r="E593" s="1100">
        <v>1.0013475249382155</v>
      </c>
      <c r="F593" s="1100">
        <v>0.99035762286779916</v>
      </c>
      <c r="G593" s="1100">
        <v>0.99406692021304555</v>
      </c>
      <c r="H593" s="1100">
        <v>1.0067049330141928</v>
      </c>
      <c r="I593" s="1100">
        <v>1.0139523613690167</v>
      </c>
      <c r="K593">
        <v>2.1984422547892692</v>
      </c>
      <c r="L593">
        <v>0</v>
      </c>
      <c r="M593">
        <v>1.5321588106355446E-3</v>
      </c>
      <c r="N593">
        <v>0.13990039517259495</v>
      </c>
      <c r="O593">
        <v>1.9491772209698412E-2</v>
      </c>
      <c r="P593">
        <v>2.5902592686068465E-2</v>
      </c>
      <c r="Q593">
        <v>5.4431950295284687E-3</v>
      </c>
      <c r="R593">
        <v>1.5107675902017253E-3</v>
      </c>
      <c r="S593">
        <v>0.24007873795583259</v>
      </c>
      <c r="T593">
        <v>1.3309077620700804</v>
      </c>
      <c r="U593">
        <v>0.14187506349749338</v>
      </c>
      <c r="V593">
        <v>0.1836826706783426</v>
      </c>
      <c r="W593">
        <v>9.1831511599763688E-2</v>
      </c>
      <c r="X593">
        <v>1.5238133754174423E-2</v>
      </c>
      <c r="Y593">
        <v>4.1118113561268328E-3</v>
      </c>
    </row>
    <row r="594" spans="1:25" x14ac:dyDescent="0.25">
      <c r="A594" s="1096"/>
      <c r="B594" s="1455">
        <v>344</v>
      </c>
      <c r="C594" s="1100">
        <v>0.97406043493001726</v>
      </c>
      <c r="D594" s="1100">
        <v>0.95928863382694507</v>
      </c>
      <c r="E594" s="1100">
        <v>1.0035824570894647</v>
      </c>
      <c r="F594" s="1100">
        <v>1.0102798414032355</v>
      </c>
      <c r="G594" s="1100">
        <v>1.0065983740349236</v>
      </c>
      <c r="H594" s="1100">
        <v>0.99565017997996352</v>
      </c>
      <c r="I594" s="1100">
        <v>1.0081128556464849</v>
      </c>
      <c r="K594">
        <v>2.2600916239602875</v>
      </c>
      <c r="L594">
        <v>0</v>
      </c>
      <c r="M594">
        <v>1.5836614385485695E-3</v>
      </c>
      <c r="N594">
        <v>0.1455596949649183</v>
      </c>
      <c r="O594">
        <v>2.0466809241605113E-2</v>
      </c>
      <c r="P594">
        <v>2.6625167524388253E-2</v>
      </c>
      <c r="Q594">
        <v>5.7283167687158139E-3</v>
      </c>
      <c r="R594">
        <v>1.5613056732117763E-3</v>
      </c>
      <c r="S594">
        <v>0.25488561628526707</v>
      </c>
      <c r="T594">
        <v>1.357684266172138</v>
      </c>
      <c r="U594">
        <v>0.14658307690473091</v>
      </c>
      <c r="V594">
        <v>0.18705525036894682</v>
      </c>
      <c r="W594">
        <v>9.5419726473841407E-2</v>
      </c>
      <c r="X594">
        <v>1.5856695662864854E-2</v>
      </c>
      <c r="Y594">
        <v>4.2493593582056052E-3</v>
      </c>
    </row>
    <row r="595" spans="1:25" x14ac:dyDescent="0.25">
      <c r="A595" s="1096"/>
      <c r="B595" s="1455">
        <v>345</v>
      </c>
      <c r="C595" s="1100">
        <v>0.98979812835532432</v>
      </c>
      <c r="D595" s="1100">
        <v>0.98831321190923904</v>
      </c>
      <c r="E595" s="1100">
        <v>1.0180824615657669</v>
      </c>
      <c r="F595" s="1100">
        <v>1.0332559933401166</v>
      </c>
      <c r="G595" s="1100">
        <v>0.96161576049594011</v>
      </c>
      <c r="H595" s="1100">
        <v>1.0167174637896537</v>
      </c>
      <c r="I595" s="1100">
        <v>1.0297356176532051</v>
      </c>
      <c r="K595">
        <v>2.2846994187946654</v>
      </c>
      <c r="L595">
        <v>0</v>
      </c>
      <c r="M595">
        <v>1.5341326036207156E-3</v>
      </c>
      <c r="N595">
        <v>0.14736040950105536</v>
      </c>
      <c r="O595">
        <v>2.0018930355924787E-2</v>
      </c>
      <c r="P595">
        <v>2.7215430209928882E-2</v>
      </c>
      <c r="Q595">
        <v>5.684730541030962E-3</v>
      </c>
      <c r="R595">
        <v>1.5129247560504593E-3</v>
      </c>
      <c r="S595">
        <v>0.2542817165546139</v>
      </c>
      <c r="T595">
        <v>1.3885885752919611</v>
      </c>
      <c r="U595">
        <v>0.14428620434873654</v>
      </c>
      <c r="V595">
        <v>0.18101551718228551</v>
      </c>
      <c r="W595">
        <v>9.5778252400564923E-2</v>
      </c>
      <c r="X595">
        <v>1.6373177805675678E-2</v>
      </c>
      <c r="Y595">
        <v>4.1176824504575568E-3</v>
      </c>
    </row>
    <row r="596" spans="1:25" x14ac:dyDescent="0.25">
      <c r="A596" s="1096"/>
      <c r="B596" s="1455">
        <v>346</v>
      </c>
      <c r="C596" s="1100">
        <v>0.99215848755174352</v>
      </c>
      <c r="D596" s="1100">
        <v>1.0416465740893546</v>
      </c>
      <c r="E596" s="1100">
        <v>0.98618058385883411</v>
      </c>
      <c r="F596" s="1100">
        <v>1.0295985768808602</v>
      </c>
      <c r="G596" s="1100">
        <v>0.99679951393804744</v>
      </c>
      <c r="H596" s="1100">
        <v>0.99651211537996598</v>
      </c>
      <c r="I596" s="1100">
        <v>1.0080682619737944</v>
      </c>
      <c r="K596">
        <v>2.2528356968797532</v>
      </c>
      <c r="L596">
        <v>0</v>
      </c>
      <c r="M596">
        <v>1.5843001937003416E-3</v>
      </c>
      <c r="N596">
        <v>0.13815929540715977</v>
      </c>
      <c r="O596">
        <v>1.9721797620250083E-2</v>
      </c>
      <c r="P596">
        <v>2.636381575423415E-2</v>
      </c>
      <c r="Q596">
        <v>5.4238178055990337E-3</v>
      </c>
      <c r="R596">
        <v>1.5619547558418402E-3</v>
      </c>
      <c r="S596">
        <v>0.2400841692273194</v>
      </c>
      <c r="T596">
        <v>1.3836195994649525</v>
      </c>
      <c r="U596">
        <v>0.14386889327844468</v>
      </c>
      <c r="V596">
        <v>0.18482132091455475</v>
      </c>
      <c r="W596">
        <v>9.1513922036994863E-2</v>
      </c>
      <c r="X596">
        <v>1.5030284860948274E-2</v>
      </c>
      <c r="Y596">
        <v>4.2511259471546088E-3</v>
      </c>
    </row>
    <row r="597" spans="1:25" x14ac:dyDescent="0.25">
      <c r="A597" s="1096"/>
      <c r="B597" s="1455">
        <v>347</v>
      </c>
      <c r="C597" s="1100">
        <v>0.99353027169722585</v>
      </c>
      <c r="D597" s="1100">
        <v>0.98479095508637349</v>
      </c>
      <c r="E597" s="1100">
        <v>1.0166878796590502</v>
      </c>
      <c r="F597" s="1100">
        <v>0.98511212563412054</v>
      </c>
      <c r="G597" s="1100">
        <v>1.0180879089760515</v>
      </c>
      <c r="H597" s="1100">
        <v>0.9694890027727302</v>
      </c>
      <c r="I597" s="1100">
        <v>0.99178009014758406</v>
      </c>
      <c r="K597">
        <v>2.1977770001388102</v>
      </c>
      <c r="L597">
        <v>0</v>
      </c>
      <c r="M597">
        <v>1.4627557824839544E-3</v>
      </c>
      <c r="N597">
        <v>0.13981880331891652</v>
      </c>
      <c r="O597">
        <v>1.9958519337730376E-2</v>
      </c>
      <c r="P597">
        <v>2.6182615442263472E-2</v>
      </c>
      <c r="Q597">
        <v>5.6597122854232023E-3</v>
      </c>
      <c r="R597">
        <v>1.4415495795347239E-3</v>
      </c>
      <c r="S597">
        <v>0.24062045378665506</v>
      </c>
      <c r="T597">
        <v>1.3238855228146778</v>
      </c>
      <c r="U597">
        <v>0.14374096065091155</v>
      </c>
      <c r="V597">
        <v>0.18717216025716465</v>
      </c>
      <c r="W597">
        <v>9.0950845734503752E-2</v>
      </c>
      <c r="X597">
        <v>1.5885189964713158E-2</v>
      </c>
      <c r="Y597">
        <v>3.9234227488023398E-3</v>
      </c>
    </row>
    <row r="598" spans="1:25" x14ac:dyDescent="0.25">
      <c r="A598" s="1096"/>
      <c r="B598" s="1455">
        <v>348</v>
      </c>
      <c r="C598" s="1100">
        <v>1.0323002116986844</v>
      </c>
      <c r="D598" s="1100">
        <v>1.0335580223173246</v>
      </c>
      <c r="E598" s="1100">
        <v>1.0195272800664557</v>
      </c>
      <c r="F598" s="1100">
        <v>1.0172659216993463</v>
      </c>
      <c r="G598" s="1100">
        <v>1.0074075107513052</v>
      </c>
      <c r="H598" s="1100">
        <v>0.98971285874985149</v>
      </c>
      <c r="I598" s="1100">
        <v>1.0010923770911815</v>
      </c>
      <c r="K598">
        <v>2.2143323884192214</v>
      </c>
      <c r="L598">
        <v>0</v>
      </c>
      <c r="M598">
        <v>1.4136120924116498E-3</v>
      </c>
      <c r="N598">
        <v>0.13632489085538704</v>
      </c>
      <c r="O598">
        <v>1.9007478703923549E-2</v>
      </c>
      <c r="P598">
        <v>2.6562547245923367E-2</v>
      </c>
      <c r="Q598">
        <v>5.4052743312418836E-3</v>
      </c>
      <c r="R598">
        <v>1.3935371172943579E-3</v>
      </c>
      <c r="S598">
        <v>0.22975399213536676</v>
      </c>
      <c r="T598">
        <v>1.3671025178993517</v>
      </c>
      <c r="U598">
        <v>0.13834885374474287</v>
      </c>
      <c r="V598">
        <v>0.18372429415668337</v>
      </c>
      <c r="W598">
        <v>8.8530678989711981E-2</v>
      </c>
      <c r="X598">
        <v>1.5799186678117277E-2</v>
      </c>
      <c r="Y598">
        <v>3.7927486538879862E-3</v>
      </c>
    </row>
    <row r="599" spans="1:25" x14ac:dyDescent="0.25">
      <c r="A599" s="1096"/>
      <c r="B599" s="1455">
        <v>349</v>
      </c>
      <c r="C599" s="1100">
        <v>1.0287889668407397</v>
      </c>
      <c r="D599" s="1100">
        <v>1.0024921180133701</v>
      </c>
      <c r="E599" s="1100">
        <v>0.99464707609686132</v>
      </c>
      <c r="F599" s="1100">
        <v>1.0197144049990889</v>
      </c>
      <c r="G599" s="1100">
        <v>1.0053270574830349</v>
      </c>
      <c r="H599" s="1100">
        <v>0.99870488478621022</v>
      </c>
      <c r="I599" s="1100">
        <v>0.99785190087980535</v>
      </c>
      <c r="K599">
        <v>2.2216067019980108</v>
      </c>
      <c r="L599">
        <v>0</v>
      </c>
      <c r="M599">
        <v>1.5173710425193663E-3</v>
      </c>
      <c r="N599">
        <v>0.13575778877606454</v>
      </c>
      <c r="O599">
        <v>1.9185718515983802E-2</v>
      </c>
      <c r="P599">
        <v>2.6181636510060533E-2</v>
      </c>
      <c r="Q599">
        <v>5.3217240335134428E-3</v>
      </c>
      <c r="R599">
        <v>1.4960165824767187E-3</v>
      </c>
      <c r="S599">
        <v>0.23382105801766834</v>
      </c>
      <c r="T599">
        <v>1.3703487578489888</v>
      </c>
      <c r="U599">
        <v>0.13876529691705966</v>
      </c>
      <c r="V599">
        <v>0.18366386534343601</v>
      </c>
      <c r="W599">
        <v>8.9468429272073213E-2</v>
      </c>
      <c r="X599">
        <v>1.504211724743571E-2</v>
      </c>
      <c r="Y599">
        <v>4.0716639757677562E-3</v>
      </c>
    </row>
    <row r="600" spans="1:25" x14ac:dyDescent="0.25">
      <c r="A600" s="1096"/>
      <c r="B600" s="1455">
        <v>350</v>
      </c>
      <c r="C600" s="1100">
        <v>0.98149932467770062</v>
      </c>
      <c r="D600" s="1100">
        <v>0.97888773286937236</v>
      </c>
      <c r="E600" s="1100">
        <v>1.0337481867158382</v>
      </c>
      <c r="F600" s="1100">
        <v>0.98773442347171725</v>
      </c>
      <c r="G600" s="1100">
        <v>0.96284853679630611</v>
      </c>
      <c r="H600" s="1100">
        <v>1.0119664163434638</v>
      </c>
      <c r="I600" s="1100">
        <v>0.96222765607149996</v>
      </c>
      <c r="K600">
        <v>2.21569032017472</v>
      </c>
      <c r="L600">
        <v>0</v>
      </c>
      <c r="M600">
        <v>1.493593784446989E-3</v>
      </c>
      <c r="N600">
        <v>0.15039650358429482</v>
      </c>
      <c r="O600">
        <v>2.0240857210319051E-2</v>
      </c>
      <c r="P600">
        <v>2.6506949577676801E-2</v>
      </c>
      <c r="Q600">
        <v>5.8376718068075747E-3</v>
      </c>
      <c r="R600">
        <v>1.4728494084982164E-3</v>
      </c>
      <c r="S600">
        <v>0.24051390730885014</v>
      </c>
      <c r="T600">
        <v>1.3274455698330359</v>
      </c>
      <c r="U600">
        <v>0.14554306904933656</v>
      </c>
      <c r="V600">
        <v>0.18167665210213635</v>
      </c>
      <c r="W600">
        <v>9.6863872037457208E-2</v>
      </c>
      <c r="X600">
        <v>1.6677401475497559E-2</v>
      </c>
      <c r="Y600">
        <v>4.0086105652551215E-3</v>
      </c>
    </row>
    <row r="601" spans="1:25" x14ac:dyDescent="0.25">
      <c r="A601" s="1096"/>
      <c r="B601" s="1455">
        <v>351</v>
      </c>
      <c r="C601" s="1100">
        <v>0.99206023959672707</v>
      </c>
      <c r="D601" s="1100">
        <v>1.0015956932667442</v>
      </c>
      <c r="E601" s="1100">
        <v>1.017974605007957</v>
      </c>
      <c r="F601" s="1100">
        <v>0.98924944672499993</v>
      </c>
      <c r="G601" s="1100">
        <v>0.98701851541202468</v>
      </c>
      <c r="H601" s="1100">
        <v>0.99164629582697605</v>
      </c>
      <c r="I601" s="1100">
        <v>1.0281128116429379</v>
      </c>
      <c r="K601">
        <v>2.2144109940524039</v>
      </c>
      <c r="L601">
        <v>0</v>
      </c>
      <c r="M601">
        <v>1.4888464183589044E-3</v>
      </c>
      <c r="N601">
        <v>0.14291326687615966</v>
      </c>
      <c r="O601">
        <v>1.991463916745893E-2</v>
      </c>
      <c r="P601">
        <v>2.6363311186377841E-2</v>
      </c>
      <c r="Q601">
        <v>5.6545082118676648E-3</v>
      </c>
      <c r="R601">
        <v>1.4677442500097345E-3</v>
      </c>
      <c r="S601">
        <v>0.2495408621232838</v>
      </c>
      <c r="T601">
        <v>1.3294481428854259</v>
      </c>
      <c r="U601">
        <v>0.14395694969547124</v>
      </c>
      <c r="V601">
        <v>0.18375001962023785</v>
      </c>
      <c r="W601">
        <v>9.2893661850203216E-2</v>
      </c>
      <c r="X601">
        <v>1.6002018597499015E-2</v>
      </c>
      <c r="Y601">
        <v>3.9947160067645157E-3</v>
      </c>
    </row>
    <row r="602" spans="1:25" x14ac:dyDescent="0.25">
      <c r="A602" s="1096"/>
      <c r="B602" s="1455">
        <v>352</v>
      </c>
      <c r="C602" s="1100">
        <v>0.99108270389617237</v>
      </c>
      <c r="D602" s="1100">
        <v>0.9666476561571975</v>
      </c>
      <c r="E602" s="1100">
        <v>0.97657078353324567</v>
      </c>
      <c r="F602" s="1100">
        <v>0.97544348516938295</v>
      </c>
      <c r="G602" s="1100">
        <v>1.0181978569269323</v>
      </c>
      <c r="H602" s="1100">
        <v>0.95747329984687868</v>
      </c>
      <c r="I602" s="1100">
        <v>1.0013017485496098</v>
      </c>
      <c r="K602">
        <v>2.1790804932662331</v>
      </c>
      <c r="L602">
        <v>0</v>
      </c>
      <c r="M602">
        <v>1.5802432920512975E-3</v>
      </c>
      <c r="N602">
        <v>0.13377868675983801</v>
      </c>
      <c r="O602">
        <v>2.0064366995863631E-2</v>
      </c>
      <c r="P602">
        <v>2.5291442594413335E-2</v>
      </c>
      <c r="Q602">
        <v>5.4644364000307538E-3</v>
      </c>
      <c r="R602">
        <v>1.5570463220785649E-3</v>
      </c>
      <c r="S602">
        <v>0.24453592473435862</v>
      </c>
      <c r="T602">
        <v>1.3108325138269863</v>
      </c>
      <c r="U602">
        <v>0.14400280050981784</v>
      </c>
      <c r="V602">
        <v>0.18729690500318805</v>
      </c>
      <c r="W602">
        <v>8.912741184883155E-2</v>
      </c>
      <c r="X602">
        <v>1.4471434754360002E-2</v>
      </c>
      <c r="Y602">
        <v>4.2377668085157279E-3</v>
      </c>
    </row>
    <row r="603" spans="1:25" x14ac:dyDescent="0.25">
      <c r="A603" s="1096"/>
      <c r="B603" s="1455">
        <v>353</v>
      </c>
      <c r="C603" s="1100">
        <v>0.97586475844036935</v>
      </c>
      <c r="D603" s="1100">
        <v>0.97747384407947557</v>
      </c>
      <c r="E603" s="1100">
        <v>1.0127708548608916</v>
      </c>
      <c r="F603" s="1100">
        <v>0.980462826156562</v>
      </c>
      <c r="G603" s="1100">
        <v>1.0123529978372745</v>
      </c>
      <c r="H603" s="1100">
        <v>1.0009445429275174</v>
      </c>
      <c r="I603" s="1100">
        <v>1.0143852360562056</v>
      </c>
      <c r="K603">
        <v>2.2205419430736129</v>
      </c>
      <c r="L603">
        <v>0</v>
      </c>
      <c r="M603">
        <v>1.5526717885115783E-3</v>
      </c>
      <c r="N603">
        <v>0.14673718477140524</v>
      </c>
      <c r="O603">
        <v>2.035065781449874E-2</v>
      </c>
      <c r="P603">
        <v>2.6248549296925588E-2</v>
      </c>
      <c r="Q603">
        <v>5.7484186411358839E-3</v>
      </c>
      <c r="R603">
        <v>1.5308694226682121E-3</v>
      </c>
      <c r="S603">
        <v>0.25410666717515845</v>
      </c>
      <c r="T603">
        <v>1.3176300253085325</v>
      </c>
      <c r="U603">
        <v>0.14633375762506035</v>
      </c>
      <c r="V603">
        <v>0.18760150409536103</v>
      </c>
      <c r="W603">
        <v>9.5671093539635058E-2</v>
      </c>
      <c r="X603">
        <v>1.5969365254209208E-2</v>
      </c>
      <c r="Y603">
        <v>4.1665219175333187E-3</v>
      </c>
    </row>
    <row r="604" spans="1:25" x14ac:dyDescent="0.25">
      <c r="A604" s="1096"/>
      <c r="B604" s="1455">
        <v>354</v>
      </c>
      <c r="C604" s="1100">
        <v>1.0112198474860647</v>
      </c>
      <c r="D604" s="1100">
        <v>0.99211900661292818</v>
      </c>
      <c r="E604" s="1100">
        <v>1.0132539398657756</v>
      </c>
      <c r="F604" s="1100">
        <v>0.9732849168158928</v>
      </c>
      <c r="G604" s="1100">
        <v>0.99811533115187023</v>
      </c>
      <c r="H604" s="1100">
        <v>0.96510044887988067</v>
      </c>
      <c r="I604" s="1100">
        <v>0.97142115728010292</v>
      </c>
      <c r="K604">
        <v>2.158275701450223</v>
      </c>
      <c r="L604">
        <v>0</v>
      </c>
      <c r="M604">
        <v>1.4385642128932623E-3</v>
      </c>
      <c r="N604">
        <v>0.13607966869944099</v>
      </c>
      <c r="O604">
        <v>1.9575292025755208E-2</v>
      </c>
      <c r="P604">
        <v>2.5675377131185294E-2</v>
      </c>
      <c r="Q604">
        <v>5.5320686883792132E-3</v>
      </c>
      <c r="R604">
        <v>1.4176138904531559E-3</v>
      </c>
      <c r="S604">
        <v>0.2303326046155752</v>
      </c>
      <c r="T604">
        <v>1.3079846159127773</v>
      </c>
      <c r="U604">
        <v>0.14121862010155017</v>
      </c>
      <c r="V604">
        <v>0.18386674299713957</v>
      </c>
      <c r="W604">
        <v>8.8697295363259349E-2</v>
      </c>
      <c r="X604">
        <v>1.5476088544080311E-2</v>
      </c>
      <c r="Y604">
        <v>3.8582776935200962E-3</v>
      </c>
    </row>
    <row r="605" spans="1:25" x14ac:dyDescent="0.25">
      <c r="A605" s="1096"/>
      <c r="B605" s="1455">
        <v>355</v>
      </c>
      <c r="C605" s="1100">
        <v>0.99632550273722675</v>
      </c>
      <c r="D605" s="1100">
        <v>0.9783981580502209</v>
      </c>
      <c r="E605" s="1100">
        <v>1.0226056897900975</v>
      </c>
      <c r="F605" s="1100">
        <v>0.96704374134827076</v>
      </c>
      <c r="G605" s="1100">
        <v>0.99722323533090274</v>
      </c>
      <c r="H605" s="1100">
        <v>1.0137647733455846</v>
      </c>
      <c r="I605" s="1100">
        <v>1.0038149884763123</v>
      </c>
      <c r="K605">
        <v>2.1887747645065012</v>
      </c>
      <c r="L605">
        <v>0</v>
      </c>
      <c r="M605">
        <v>1.5087631747239226E-3</v>
      </c>
      <c r="N605">
        <v>0.14690863502597956</v>
      </c>
      <c r="O605">
        <v>1.9934800907249531E-2</v>
      </c>
      <c r="P605">
        <v>2.6011944124687502E-2</v>
      </c>
      <c r="Q605">
        <v>5.6863483061049495E-3</v>
      </c>
      <c r="R605">
        <v>1.4878452856226638E-3</v>
      </c>
      <c r="S605">
        <v>0.24729561819601339</v>
      </c>
      <c r="T605">
        <v>1.2996150765062477</v>
      </c>
      <c r="U605">
        <v>0.14335140559947476</v>
      </c>
      <c r="V605">
        <v>0.18465164983763571</v>
      </c>
      <c r="W605">
        <v>9.523233580906898E-2</v>
      </c>
      <c r="X605">
        <v>1.6058443683740591E-2</v>
      </c>
      <c r="Y605">
        <v>4.049424399398302E-3</v>
      </c>
    </row>
    <row r="606" spans="1:25" x14ac:dyDescent="0.25">
      <c r="A606" s="1096"/>
      <c r="B606" s="1455">
        <v>356</v>
      </c>
      <c r="C606" s="1100">
        <v>0.98044415547529362</v>
      </c>
      <c r="D606" s="1100">
        <v>0.95534886124714768</v>
      </c>
      <c r="E606" s="1100">
        <v>1.0302460007123893</v>
      </c>
      <c r="F606" s="1100">
        <v>1.0388360815955582</v>
      </c>
      <c r="G606" s="1100">
        <v>0.99286204670331835</v>
      </c>
      <c r="H606" s="1100">
        <v>1.026970007515869</v>
      </c>
      <c r="I606" s="1100">
        <v>0.99638127931006526</v>
      </c>
      <c r="K606">
        <v>2.3074942557923506</v>
      </c>
      <c r="L606">
        <v>0</v>
      </c>
      <c r="M606">
        <v>1.536693396819569E-3</v>
      </c>
      <c r="N606">
        <v>0.15314308381711991</v>
      </c>
      <c r="O606">
        <v>2.0369171145335065E-2</v>
      </c>
      <c r="P606">
        <v>2.7630424150455291E-2</v>
      </c>
      <c r="Q606">
        <v>5.8543946260015073E-3</v>
      </c>
      <c r="R606">
        <v>1.5156622264411188E-3</v>
      </c>
      <c r="S606">
        <v>0.25359040940512007</v>
      </c>
      <c r="T606">
        <v>1.3961143153358682</v>
      </c>
      <c r="U606">
        <v>0.14569144122432601</v>
      </c>
      <c r="V606">
        <v>0.1851307522693961</v>
      </c>
      <c r="W606">
        <v>9.8833228859354291E-2</v>
      </c>
      <c r="X606">
        <v>1.703293318729825E-2</v>
      </c>
      <c r="Y606">
        <v>4.1251329424540593E-3</v>
      </c>
    </row>
    <row r="607" spans="1:25" x14ac:dyDescent="0.25">
      <c r="A607" s="1096"/>
      <c r="B607" s="1455">
        <v>357</v>
      </c>
      <c r="C607" s="1100">
        <v>0.99984874440383198</v>
      </c>
      <c r="D607" s="1100">
        <v>0.99116665902488199</v>
      </c>
      <c r="E607" s="1100">
        <v>0.98113341257328623</v>
      </c>
      <c r="F607" s="1100">
        <v>0.9694157372940706</v>
      </c>
      <c r="G607" s="1100">
        <v>1.0160273750100604</v>
      </c>
      <c r="H607" s="1100">
        <v>0.98443458373210158</v>
      </c>
      <c r="I607" s="1100">
        <v>0.99538954202114927</v>
      </c>
      <c r="K607">
        <v>2.1679972395693405</v>
      </c>
      <c r="L607">
        <v>0</v>
      </c>
      <c r="M607">
        <v>1.5866087891962697E-3</v>
      </c>
      <c r="N607">
        <v>0.13624040327553114</v>
      </c>
      <c r="O607">
        <v>1.9782003903609166E-2</v>
      </c>
      <c r="P607">
        <v>2.5183793353477164E-2</v>
      </c>
      <c r="Q607">
        <v>5.4125946168176002E-3</v>
      </c>
      <c r="R607">
        <v>1.563956245836564E-3</v>
      </c>
      <c r="S607">
        <v>0.24011737825701376</v>
      </c>
      <c r="T607">
        <v>1.3027372251473561</v>
      </c>
      <c r="U607">
        <v>0.14275074560708489</v>
      </c>
      <c r="V607">
        <v>0.18653077578115462</v>
      </c>
      <c r="W607">
        <v>9.0517532473186085E-2</v>
      </c>
      <c r="X607">
        <v>1.4490866354340048E-2</v>
      </c>
      <c r="Y607">
        <v>4.2565733431292468E-3</v>
      </c>
    </row>
    <row r="608" spans="1:25" x14ac:dyDescent="0.25">
      <c r="A608" s="1096"/>
      <c r="B608" s="1455">
        <v>358</v>
      </c>
      <c r="C608" s="1100">
        <v>0.99239124606468687</v>
      </c>
      <c r="D608" s="1100">
        <v>1.0039017952983045</v>
      </c>
      <c r="E608" s="1100">
        <v>1.0190733609950671</v>
      </c>
      <c r="F608" s="1100">
        <v>1.0262444628067648</v>
      </c>
      <c r="G608" s="1100">
        <v>1.0050070736389567</v>
      </c>
      <c r="H608" s="1100">
        <v>1.0206288985093039</v>
      </c>
      <c r="I608" s="1100">
        <v>0.98926508536206126</v>
      </c>
      <c r="K608">
        <v>2.2666271073460544</v>
      </c>
      <c r="L608">
        <v>0</v>
      </c>
      <c r="M608">
        <v>1.5275791343592278E-3</v>
      </c>
      <c r="N608">
        <v>0.14717815437001514</v>
      </c>
      <c r="O608">
        <v>1.9898619802435923E-2</v>
      </c>
      <c r="P608">
        <v>2.6996485956229603E-2</v>
      </c>
      <c r="Q608">
        <v>5.6561396850774177E-3</v>
      </c>
      <c r="R608">
        <v>1.5065428112139945E-3</v>
      </c>
      <c r="S608">
        <v>0.24207936499009836</v>
      </c>
      <c r="T608">
        <v>1.3791678337522704</v>
      </c>
      <c r="U608">
        <v>0.14391148997617711</v>
      </c>
      <c r="V608">
        <v>0.18576434660568963</v>
      </c>
      <c r="W608">
        <v>9.5604291323245646E-2</v>
      </c>
      <c r="X608">
        <v>1.629110430754065E-2</v>
      </c>
      <c r="Y608">
        <v>4.1003129004202488E-3</v>
      </c>
    </row>
    <row r="609" spans="1:25" x14ac:dyDescent="0.25">
      <c r="A609" s="1096"/>
      <c r="B609" s="1455">
        <v>359</v>
      </c>
      <c r="C609" s="1100">
        <v>0.98065693220096128</v>
      </c>
      <c r="D609" s="1100">
        <v>0.97852621201523515</v>
      </c>
      <c r="E609" s="1100">
        <v>0.97755717041573353</v>
      </c>
      <c r="F609" s="1100">
        <v>0.9892722802405457</v>
      </c>
      <c r="G609" s="1100">
        <v>0.97804700180592496</v>
      </c>
      <c r="H609" s="1100">
        <v>1.0013330324223209</v>
      </c>
      <c r="I609" s="1100">
        <v>1.0085236081478137</v>
      </c>
      <c r="K609">
        <v>2.2151164235971739</v>
      </c>
      <c r="L609">
        <v>0</v>
      </c>
      <c r="M609">
        <v>1.6623263789087165E-3</v>
      </c>
      <c r="N609">
        <v>0.14124041911485846</v>
      </c>
      <c r="O609">
        <v>2.0223896179615574E-2</v>
      </c>
      <c r="P609">
        <v>2.5614994090292786E-2</v>
      </c>
      <c r="Q609">
        <v>5.5134172287441188E-3</v>
      </c>
      <c r="R609">
        <v>1.638993317157928E-3</v>
      </c>
      <c r="S609">
        <v>0.25102078013294132</v>
      </c>
      <c r="T609">
        <v>1.3294171592603463</v>
      </c>
      <c r="U609">
        <v>0.1455360613732504</v>
      </c>
      <c r="V609">
        <v>0.1833951189731523</v>
      </c>
      <c r="W609">
        <v>9.4042484548043578E-2</v>
      </c>
      <c r="X609">
        <v>1.467462624237896E-2</v>
      </c>
      <c r="Y609">
        <v>4.4607995153020863E-3</v>
      </c>
    </row>
    <row r="610" spans="1:25" x14ac:dyDescent="0.25">
      <c r="A610" s="1096"/>
      <c r="B610" s="1455">
        <v>360</v>
      </c>
      <c r="C610" s="1100">
        <v>0.99480615928506078</v>
      </c>
      <c r="D610" s="1100">
        <v>1.0332122729875293</v>
      </c>
      <c r="E610" s="1100">
        <v>0.97824051481920349</v>
      </c>
      <c r="F610" s="1100">
        <v>0.9779663979207619</v>
      </c>
      <c r="G610" s="1100">
        <v>1.0139217878650215</v>
      </c>
      <c r="H610" s="1100">
        <v>1.0090602223013063</v>
      </c>
      <c r="I610" s="1100">
        <v>1.0224108822662472</v>
      </c>
      <c r="K610">
        <v>2.1893993930275837</v>
      </c>
      <c r="L610">
        <v>0</v>
      </c>
      <c r="M610">
        <v>1.6293870511374395E-3</v>
      </c>
      <c r="N610">
        <v>0.1387434141222616</v>
      </c>
      <c r="O610">
        <v>1.9699584337261211E-2</v>
      </c>
      <c r="P610">
        <v>2.5355930061284671E-2</v>
      </c>
      <c r="Q610">
        <v>5.3742156170793823E-3</v>
      </c>
      <c r="R610">
        <v>1.6066914781802709E-3</v>
      </c>
      <c r="S610">
        <v>0.2447940128139231</v>
      </c>
      <c r="T610">
        <v>1.3142246771494828</v>
      </c>
      <c r="U610">
        <v>0.14346766333435074</v>
      </c>
      <c r="V610">
        <v>0.1865909734490884</v>
      </c>
      <c r="W610">
        <v>9.2341723670670783E-2</v>
      </c>
      <c r="X610">
        <v>1.4457009487233547E-2</v>
      </c>
      <c r="Y610">
        <v>4.3728845579032605E-3</v>
      </c>
    </row>
    <row r="611" spans="1:25" x14ac:dyDescent="0.25">
      <c r="A611" s="1096"/>
      <c r="B611" s="1455">
        <v>361</v>
      </c>
      <c r="C611" s="1100">
        <v>0.96251335906707702</v>
      </c>
      <c r="D611" s="1100">
        <v>0.99884375416213178</v>
      </c>
      <c r="E611" s="1100">
        <v>1.0146168562193747</v>
      </c>
      <c r="F611" s="1100">
        <v>0.9906621341574624</v>
      </c>
      <c r="G611" s="1100">
        <v>0.99912562701097529</v>
      </c>
      <c r="H611" s="1100">
        <v>1.0334809255591053</v>
      </c>
      <c r="I611" s="1100">
        <v>1.0440992402004874</v>
      </c>
      <c r="K611">
        <v>2.2583979772252625</v>
      </c>
      <c r="L611">
        <v>0</v>
      </c>
      <c r="M611">
        <v>1.6114697491818339E-3</v>
      </c>
      <c r="N611">
        <v>0.1532135079790212</v>
      </c>
      <c r="O611">
        <v>2.0536214242955739E-2</v>
      </c>
      <c r="P611">
        <v>2.6645093828460465E-2</v>
      </c>
      <c r="Q611">
        <v>5.8115250049734519E-3</v>
      </c>
      <c r="R611">
        <v>1.5895541338655735E-3</v>
      </c>
      <c r="S611">
        <v>0.26517101012927025</v>
      </c>
      <c r="T611">
        <v>1.3313401823599793</v>
      </c>
      <c r="U611">
        <v>0.14836803534329868</v>
      </c>
      <c r="V611">
        <v>0.18695154643214201</v>
      </c>
      <c r="W611">
        <v>9.9785224058836774E-2</v>
      </c>
      <c r="X611">
        <v>1.6271311105637294E-2</v>
      </c>
      <c r="Y611">
        <v>4.3262423560026892E-3</v>
      </c>
    </row>
    <row r="612" spans="1:25" x14ac:dyDescent="0.25">
      <c r="A612" s="1096"/>
      <c r="B612" s="1455">
        <v>362</v>
      </c>
      <c r="C612" s="1100">
        <v>1.0368422641890389</v>
      </c>
      <c r="D612" s="1100">
        <v>0.97563234711530034</v>
      </c>
      <c r="E612" s="1100">
        <v>1.0165040077405385</v>
      </c>
      <c r="F612" s="1100">
        <v>1.0089760998514476</v>
      </c>
      <c r="G612" s="1100">
        <v>1.0059146661534712</v>
      </c>
      <c r="H612" s="1100">
        <v>1.0096289492529109</v>
      </c>
      <c r="I612" s="1100">
        <v>1.0117712480965335</v>
      </c>
      <c r="K612">
        <v>2.2180774281723616</v>
      </c>
      <c r="L612">
        <v>0</v>
      </c>
      <c r="M612">
        <v>1.4632479949787914E-3</v>
      </c>
      <c r="N612">
        <v>0.139870026083351</v>
      </c>
      <c r="O612">
        <v>1.9164033888589758E-2</v>
      </c>
      <c r="P612">
        <v>2.6469853707960019E-2</v>
      </c>
      <c r="Q612">
        <v>5.4334219048787448E-3</v>
      </c>
      <c r="R612">
        <v>1.4428780376182294E-3</v>
      </c>
      <c r="S612">
        <v>0.23948330833933348</v>
      </c>
      <c r="T612">
        <v>1.3559557945844223</v>
      </c>
      <c r="U612">
        <v>0.13773606286411097</v>
      </c>
      <c r="V612">
        <v>0.18330108800232081</v>
      </c>
      <c r="W612">
        <v>9.099398004836981E-2</v>
      </c>
      <c r="X612">
        <v>1.5763190332605204E-2</v>
      </c>
      <c r="Y612">
        <v>3.9270383737795523E-3</v>
      </c>
    </row>
    <row r="613" spans="1:25" x14ac:dyDescent="0.25">
      <c r="A613" s="1096"/>
      <c r="B613" s="1455">
        <v>363</v>
      </c>
      <c r="C613" s="1100">
        <v>1.0304744995549819</v>
      </c>
      <c r="D613" s="1100">
        <v>0.97966149696107285</v>
      </c>
      <c r="E613" s="1100">
        <v>0.97691763966175471</v>
      </c>
      <c r="F613" s="1100">
        <v>1.0275600312139339</v>
      </c>
      <c r="G613" s="1100">
        <v>0.99965165435813541</v>
      </c>
      <c r="H613" s="1100">
        <v>1.0120044544658968</v>
      </c>
      <c r="I613" s="1100">
        <v>1.0277799895896347</v>
      </c>
      <c r="K613">
        <v>2.2420074786300837</v>
      </c>
      <c r="L613">
        <v>0</v>
      </c>
      <c r="M613">
        <v>1.6005281139691669E-3</v>
      </c>
      <c r="N613">
        <v>0.13574713334613683</v>
      </c>
      <c r="O613">
        <v>1.9240889090283812E-2</v>
      </c>
      <c r="P613">
        <v>2.6099457233738063E-2</v>
      </c>
      <c r="Q613">
        <v>5.2420171147675616E-3</v>
      </c>
      <c r="R613">
        <v>1.5782993732637316E-3</v>
      </c>
      <c r="S613">
        <v>0.2441563383297039</v>
      </c>
      <c r="T613">
        <v>1.380868800347447</v>
      </c>
      <c r="U613">
        <v>0.13849879888856584</v>
      </c>
      <c r="V613">
        <v>0.18291335694608366</v>
      </c>
      <c r="W613">
        <v>9.0419862103247678E-2</v>
      </c>
      <c r="X613">
        <v>1.4547443363041437E-2</v>
      </c>
      <c r="Y613">
        <v>4.2956106077753119E-3</v>
      </c>
    </row>
    <row r="614" spans="1:25" x14ac:dyDescent="0.25">
      <c r="A614" s="1096"/>
      <c r="B614" s="1455">
        <v>364</v>
      </c>
      <c r="C614" s="1100">
        <v>1.0039237085008881</v>
      </c>
      <c r="D614" s="1100">
        <v>1.0315972165423781</v>
      </c>
      <c r="E614" s="1100">
        <v>0.97840841399378553</v>
      </c>
      <c r="F614" s="1100">
        <v>1.0133085351564155</v>
      </c>
      <c r="G614" s="1100">
        <v>1.0125997149909609</v>
      </c>
      <c r="H614" s="1100">
        <v>1.0031727977978837</v>
      </c>
      <c r="I614" s="1100">
        <v>0.98516225068987595</v>
      </c>
      <c r="K614">
        <v>2.220505369804838</v>
      </c>
      <c r="L614">
        <v>0</v>
      </c>
      <c r="M614">
        <v>1.6051639797043319E-3</v>
      </c>
      <c r="N614">
        <v>0.13673892729046727</v>
      </c>
      <c r="O614">
        <v>1.9527497188265509E-2</v>
      </c>
      <c r="P614">
        <v>2.5817665850258378E-2</v>
      </c>
      <c r="Q614">
        <v>5.3281788033633648E-3</v>
      </c>
      <c r="R614">
        <v>1.5826745918116004E-3</v>
      </c>
      <c r="S614">
        <v>0.23345576998395284</v>
      </c>
      <c r="T614">
        <v>1.3617188394438049</v>
      </c>
      <c r="U614">
        <v>0.14216508599447425</v>
      </c>
      <c r="V614">
        <v>0.18590026448575686</v>
      </c>
      <c r="W614">
        <v>9.0998384091791409E-2</v>
      </c>
      <c r="X614">
        <v>1.4569727550219487E-2</v>
      </c>
      <c r="Y614">
        <v>4.3075185103722043E-3</v>
      </c>
    </row>
    <row r="615" spans="1:25" x14ac:dyDescent="0.25">
      <c r="A615" s="1096"/>
      <c r="B615" s="1455">
        <v>365</v>
      </c>
      <c r="C615" s="1100">
        <v>0.98855966717017985</v>
      </c>
      <c r="D615" s="1100">
        <v>1.0333413159038951</v>
      </c>
      <c r="E615" s="1100">
        <v>1.0004216210012016</v>
      </c>
      <c r="F615" s="1100">
        <v>1.0082434700198277</v>
      </c>
      <c r="G615" s="1100">
        <v>0.99147161756636493</v>
      </c>
      <c r="H615" s="1100">
        <v>0.98111596483970753</v>
      </c>
      <c r="I615" s="1100">
        <v>1.005817797126243</v>
      </c>
      <c r="K615">
        <v>2.2247860190602773</v>
      </c>
      <c r="L615">
        <v>0</v>
      </c>
      <c r="M615">
        <v>1.5226584204060072E-3</v>
      </c>
      <c r="N615">
        <v>0.13859336472355083</v>
      </c>
      <c r="O615">
        <v>1.983740885825722E-2</v>
      </c>
      <c r="P615">
        <v>2.6260167729779439E-2</v>
      </c>
      <c r="Q615">
        <v>5.5345652586282525E-3</v>
      </c>
      <c r="R615">
        <v>1.5008453840731149E-3</v>
      </c>
      <c r="S615">
        <v>0.24023567432621051</v>
      </c>
      <c r="T615">
        <v>1.354942436586779</v>
      </c>
      <c r="U615">
        <v>0.1444257750570975</v>
      </c>
      <c r="V615">
        <v>0.18444923362544111</v>
      </c>
      <c r="W615">
        <v>9.1023610644121747E-2</v>
      </c>
      <c r="X615">
        <v>1.5420788904846189E-2</v>
      </c>
      <c r="Y615">
        <v>4.0848063818991268E-3</v>
      </c>
    </row>
    <row r="616" spans="1:25" x14ac:dyDescent="0.25">
      <c r="A616" s="1096"/>
      <c r="B616" s="1455">
        <v>366</v>
      </c>
      <c r="C616" s="1100">
        <v>1.0080150253113551</v>
      </c>
      <c r="D616" s="1100">
        <v>0.99122894964418129</v>
      </c>
      <c r="E616" s="1100">
        <v>0.95255655163473696</v>
      </c>
      <c r="F616" s="1100">
        <v>0.99066291905821957</v>
      </c>
      <c r="G616" s="1100">
        <v>1.0016187025763166</v>
      </c>
      <c r="H616" s="1100">
        <v>1.0315488103548796</v>
      </c>
      <c r="I616" s="1100">
        <v>0.97096125946139367</v>
      </c>
      <c r="K616">
        <v>2.1919306964448162</v>
      </c>
      <c r="L616">
        <v>0</v>
      </c>
      <c r="M616">
        <v>1.749211613300347E-3</v>
      </c>
      <c r="N616">
        <v>0.13784101342416136</v>
      </c>
      <c r="O616">
        <v>1.9603824485771575E-2</v>
      </c>
      <c r="P616">
        <v>2.4910578362381579E-2</v>
      </c>
      <c r="Q616">
        <v>5.2091721372636074E-3</v>
      </c>
      <c r="R616">
        <v>1.7253781834192271E-3</v>
      </c>
      <c r="S616">
        <v>0.23574908675363818</v>
      </c>
      <c r="T616">
        <v>1.3312655747506528</v>
      </c>
      <c r="U616">
        <v>0.14152935675195735</v>
      </c>
      <c r="V616">
        <v>0.18439819104580168</v>
      </c>
      <c r="W616">
        <v>9.319186677550273E-2</v>
      </c>
      <c r="X616">
        <v>1.3559954743062751E-2</v>
      </c>
      <c r="Y616">
        <v>4.6959106445018323E-3</v>
      </c>
    </row>
    <row r="617" spans="1:25" x14ac:dyDescent="0.25">
      <c r="A617" s="1096"/>
      <c r="B617" s="1455">
        <v>367</v>
      </c>
      <c r="C617" s="1100">
        <v>1.0427907534181264</v>
      </c>
      <c r="D617" s="1100">
        <v>0.9971778805688063</v>
      </c>
      <c r="E617" s="1100">
        <v>1.0094033615927898</v>
      </c>
      <c r="F617" s="1100">
        <v>0.98060926201421272</v>
      </c>
      <c r="G617" s="1100">
        <v>1.0050769807433262</v>
      </c>
      <c r="H617" s="1100">
        <v>0.99185903574480272</v>
      </c>
      <c r="I617" s="1100">
        <v>1.0149515494197299</v>
      </c>
      <c r="K617">
        <v>2.1647967415334644</v>
      </c>
      <c r="L617">
        <v>0</v>
      </c>
      <c r="M617">
        <v>1.4435905719653824E-3</v>
      </c>
      <c r="N617">
        <v>0.13503085398116671</v>
      </c>
      <c r="O617">
        <v>1.8959101521425561E-2</v>
      </c>
      <c r="P617">
        <v>2.5726977816057404E-2</v>
      </c>
      <c r="Q617">
        <v>5.3373613980705155E-3</v>
      </c>
      <c r="R617">
        <v>1.4231342260076097E-3</v>
      </c>
      <c r="S617">
        <v>0.23483288784824752</v>
      </c>
      <c r="T617">
        <v>1.3178207696026287</v>
      </c>
      <c r="U617">
        <v>0.13693465372136551</v>
      </c>
      <c r="V617">
        <v>0.18287382339253533</v>
      </c>
      <c r="W617">
        <v>8.8213534489589268E-2</v>
      </c>
      <c r="X617">
        <v>1.5213931881212218E-2</v>
      </c>
      <c r="Y617">
        <v>3.8733022271211937E-3</v>
      </c>
    </row>
    <row r="618" spans="1:25" x14ac:dyDescent="0.25">
      <c r="A618" s="1096"/>
      <c r="B618" s="1455">
        <v>368</v>
      </c>
      <c r="C618" s="1100">
        <v>1.0259544861399912</v>
      </c>
      <c r="D618" s="1100">
        <v>1.0026652018705486</v>
      </c>
      <c r="E618" s="1100">
        <v>1.0368025148553879</v>
      </c>
      <c r="F618" s="1100">
        <v>0.97736453390124145</v>
      </c>
      <c r="G618" s="1100">
        <v>1.0089504438250194</v>
      </c>
      <c r="H618" s="1100">
        <v>1.0223571918079422</v>
      </c>
      <c r="I618" s="1100">
        <v>1.0147931121530176</v>
      </c>
      <c r="K618">
        <v>2.1872391733640693</v>
      </c>
      <c r="L618">
        <v>0</v>
      </c>
      <c r="M618">
        <v>1.4268280692384643E-3</v>
      </c>
      <c r="N618">
        <v>0.14502279457947717</v>
      </c>
      <c r="O618">
        <v>1.9263706993437435E-2</v>
      </c>
      <c r="P618">
        <v>2.6319811275511147E-2</v>
      </c>
      <c r="Q618">
        <v>5.5726059012434258E-3</v>
      </c>
      <c r="R618">
        <v>1.4072124074471816E-3</v>
      </c>
      <c r="S618">
        <v>0.24062177083486871</v>
      </c>
      <c r="T618">
        <v>1.3135161747066293</v>
      </c>
      <c r="U618">
        <v>0.1392434996703196</v>
      </c>
      <c r="V618">
        <v>0.18426980236765875</v>
      </c>
      <c r="W618">
        <v>9.3238128127322198E-2</v>
      </c>
      <c r="X618">
        <v>1.6360526283763645E-2</v>
      </c>
      <c r="Y618">
        <v>3.829968285625786E-3</v>
      </c>
    </row>
    <row r="619" spans="1:25" x14ac:dyDescent="0.25">
      <c r="A619" s="1096"/>
      <c r="B619" s="1455">
        <v>369</v>
      </c>
      <c r="C619" s="1100">
        <v>1.0213402726073271</v>
      </c>
      <c r="D619" s="1100">
        <v>1.0208353328987059</v>
      </c>
      <c r="E619" s="1100">
        <v>0.96559794722926917</v>
      </c>
      <c r="F619" s="1100">
        <v>0.99845839344373488</v>
      </c>
      <c r="G619" s="1100">
        <v>0.97402062425826064</v>
      </c>
      <c r="H619" s="1100">
        <v>1.034934462665531</v>
      </c>
      <c r="I619" s="1100">
        <v>0.96586689361400502</v>
      </c>
      <c r="K619">
        <v>2.1878056520960127</v>
      </c>
      <c r="L619">
        <v>0</v>
      </c>
      <c r="M619">
        <v>1.6752441807475992E-3</v>
      </c>
      <c r="N619">
        <v>0.13733999174643702</v>
      </c>
      <c r="O619">
        <v>1.9231073031952595E-2</v>
      </c>
      <c r="P619">
        <v>2.5129914961946304E-2</v>
      </c>
      <c r="Q619">
        <v>5.1791169330529414E-3</v>
      </c>
      <c r="R619">
        <v>1.652493245939549E-3</v>
      </c>
      <c r="S619">
        <v>0.22845350713927925</v>
      </c>
      <c r="T619">
        <v>1.3417502071708995</v>
      </c>
      <c r="U619">
        <v>0.13971204754938008</v>
      </c>
      <c r="V619">
        <v>0.18052135961302204</v>
      </c>
      <c r="W619">
        <v>9.2112656084150965E-2</v>
      </c>
      <c r="X619">
        <v>1.3900986929504621E-2</v>
      </c>
      <c r="Y619">
        <v>4.4975418711953319E-3</v>
      </c>
    </row>
    <row r="620" spans="1:25" x14ac:dyDescent="0.25">
      <c r="A620" s="1096"/>
      <c r="B620" s="1455">
        <v>370</v>
      </c>
      <c r="C620" s="1100">
        <v>0.97395654661647935</v>
      </c>
      <c r="D620" s="1100">
        <v>0.97969258945032833</v>
      </c>
      <c r="E620" s="1100">
        <v>0.98541189727768363</v>
      </c>
      <c r="F620" s="1100">
        <v>0.99954394726384976</v>
      </c>
      <c r="G620" s="1100">
        <v>0.97587160764992131</v>
      </c>
      <c r="H620" s="1100">
        <v>0.99062793054443443</v>
      </c>
      <c r="I620" s="1100">
        <v>0.9515019364469226</v>
      </c>
      <c r="K620">
        <v>2.2175738816931196</v>
      </c>
      <c r="L620">
        <v>0</v>
      </c>
      <c r="M620">
        <v>1.6287581238404987E-3</v>
      </c>
      <c r="N620">
        <v>0.14169439731577663</v>
      </c>
      <c r="O620">
        <v>2.0362737132514786E-2</v>
      </c>
      <c r="P620">
        <v>2.5788451803534475E-2</v>
      </c>
      <c r="Q620">
        <v>5.5957271593306537E-3</v>
      </c>
      <c r="R620">
        <v>1.6056491850040676E-3</v>
      </c>
      <c r="S620">
        <v>0.23753263181670498</v>
      </c>
      <c r="T620">
        <v>1.3432298887093017</v>
      </c>
      <c r="U620">
        <v>0.14655579687513207</v>
      </c>
      <c r="V620">
        <v>0.18357214622356965</v>
      </c>
      <c r="W620">
        <v>9.3898875585981922E-2</v>
      </c>
      <c r="X620">
        <v>1.4996290230638186E-2</v>
      </c>
      <c r="Y620">
        <v>4.3700477794694883E-3</v>
      </c>
    </row>
    <row r="621" spans="1:25" x14ac:dyDescent="0.25">
      <c r="A621" s="1096"/>
      <c r="B621" s="1455">
        <v>371</v>
      </c>
      <c r="C621" s="1100">
        <v>0.98844471484296903</v>
      </c>
      <c r="D621" s="1100">
        <v>0.99375523124926735</v>
      </c>
      <c r="E621" s="1100">
        <v>0.96675310740474929</v>
      </c>
      <c r="F621" s="1100">
        <v>0.98364229830732075</v>
      </c>
      <c r="G621" s="1100">
        <v>1.0350641479907883</v>
      </c>
      <c r="H621" s="1100">
        <v>0.99714304885191574</v>
      </c>
      <c r="I621" s="1100">
        <v>0.98574290489370742</v>
      </c>
      <c r="K621">
        <v>2.1957975338605999</v>
      </c>
      <c r="L621">
        <v>0</v>
      </c>
      <c r="M621">
        <v>1.6736881109821833E-3</v>
      </c>
      <c r="N621">
        <v>0.13762147812287265</v>
      </c>
      <c r="O621">
        <v>1.9989694820511654E-2</v>
      </c>
      <c r="P621">
        <v>2.5235488480264166E-2</v>
      </c>
      <c r="Q621">
        <v>5.3897945897652946E-3</v>
      </c>
      <c r="R621">
        <v>1.650096856146912E-3</v>
      </c>
      <c r="S621">
        <v>0.24112670704693803</v>
      </c>
      <c r="T621">
        <v>1.3218409782027221</v>
      </c>
      <c r="U621">
        <v>0.14436435687429255</v>
      </c>
      <c r="V621">
        <v>0.18935505416767853</v>
      </c>
      <c r="W621">
        <v>9.2236377568647165E-2</v>
      </c>
      <c r="X621">
        <v>1.4170175553591544E-2</v>
      </c>
      <c r="Y621">
        <v>4.4910196881494573E-3</v>
      </c>
    </row>
    <row r="622" spans="1:25" x14ac:dyDescent="0.25">
      <c r="A622" s="1096"/>
      <c r="B622" s="1455">
        <v>372</v>
      </c>
      <c r="C622" s="1100">
        <v>1.0333249018076129</v>
      </c>
      <c r="D622" s="1100">
        <v>0.97766767164114632</v>
      </c>
      <c r="E622" s="1100">
        <v>0.99922558573355158</v>
      </c>
      <c r="F622" s="1100">
        <v>1.0048560630977255</v>
      </c>
      <c r="G622" s="1100">
        <v>1.0075643722843619</v>
      </c>
      <c r="H622" s="1100">
        <v>1.0154429150299846</v>
      </c>
      <c r="I622" s="1100">
        <v>1.0155674164732702</v>
      </c>
      <c r="K622">
        <v>2.2134617247961779</v>
      </c>
      <c r="L622">
        <v>0</v>
      </c>
      <c r="M622">
        <v>1.5299338054144231E-3</v>
      </c>
      <c r="N622">
        <v>0.13882145086566702</v>
      </c>
      <c r="O622">
        <v>1.920994264437937E-2</v>
      </c>
      <c r="P622">
        <v>2.6092824486965024E-2</v>
      </c>
      <c r="Q622">
        <v>5.3530643436955532E-3</v>
      </c>
      <c r="R622">
        <v>1.5087574555260226E-3</v>
      </c>
      <c r="S622">
        <v>0.24127688899396474</v>
      </c>
      <c r="T622">
        <v>1.3503883124212397</v>
      </c>
      <c r="U622">
        <v>0.13816636209529942</v>
      </c>
      <c r="V622">
        <v>0.18366751471525225</v>
      </c>
      <c r="W622">
        <v>9.123825360975199E-2</v>
      </c>
      <c r="X622">
        <v>1.5161946537668513E-2</v>
      </c>
      <c r="Y622">
        <v>4.1063404321802881E-3</v>
      </c>
    </row>
    <row r="623" spans="1:25" x14ac:dyDescent="0.25">
      <c r="A623" s="1096"/>
      <c r="B623" s="1455">
        <v>373</v>
      </c>
      <c r="C623" s="1100">
        <v>1.0086393064994221</v>
      </c>
      <c r="D623" s="1100">
        <v>1.0211577688209699</v>
      </c>
      <c r="E623" s="1100">
        <v>1.0451603184018874</v>
      </c>
      <c r="F623" s="1100">
        <v>1.0003327182323829</v>
      </c>
      <c r="G623" s="1100">
        <v>0.98578014113451018</v>
      </c>
      <c r="H623" s="1100">
        <v>1.0166010159834638</v>
      </c>
      <c r="I623" s="1100">
        <v>1.000756028895186</v>
      </c>
      <c r="K623">
        <v>2.2217036384818529</v>
      </c>
      <c r="L623">
        <v>0</v>
      </c>
      <c r="M623">
        <v>1.412504263707992E-3</v>
      </c>
      <c r="N623">
        <v>0.14721547167512933</v>
      </c>
      <c r="O623">
        <v>1.95209654610966E-2</v>
      </c>
      <c r="P623">
        <v>2.6899491728117401E-2</v>
      </c>
      <c r="Q623">
        <v>5.6935998781278366E-3</v>
      </c>
      <c r="R623">
        <v>1.3929755695044729E-3</v>
      </c>
      <c r="S623">
        <v>0.23880011609632723</v>
      </c>
      <c r="T623">
        <v>1.3444045908545883</v>
      </c>
      <c r="U623">
        <v>0.14165306836103497</v>
      </c>
      <c r="V623">
        <v>0.18265204467267693</v>
      </c>
      <c r="W623">
        <v>9.4193688248094348E-2</v>
      </c>
      <c r="X623">
        <v>1.6898909894946652E-2</v>
      </c>
      <c r="Y623">
        <v>3.7912203059181E-3</v>
      </c>
    </row>
    <row r="624" spans="1:25" x14ac:dyDescent="0.25">
      <c r="A624" s="1096"/>
      <c r="B624" s="1455">
        <v>374</v>
      </c>
      <c r="C624" s="1100">
        <v>1.0013729388209458</v>
      </c>
      <c r="D624" s="1100">
        <v>1.0207782041451281</v>
      </c>
      <c r="E624" s="1100">
        <v>0.99616751004819548</v>
      </c>
      <c r="F624" s="1100">
        <v>1.0026934783101842</v>
      </c>
      <c r="G624" s="1100">
        <v>1.0005879082321081</v>
      </c>
      <c r="H624" s="1100">
        <v>1.0295743515652198</v>
      </c>
      <c r="I624" s="1100">
        <v>1.0182062163746359</v>
      </c>
      <c r="K624">
        <v>2.2288613502828643</v>
      </c>
      <c r="L624">
        <v>0</v>
      </c>
      <c r="M624">
        <v>1.5956842869248495E-3</v>
      </c>
      <c r="N624">
        <v>0.14348331178922241</v>
      </c>
      <c r="O624">
        <v>1.9633706458374207E-2</v>
      </c>
      <c r="P624">
        <v>2.6124452629566395E-2</v>
      </c>
      <c r="Q624">
        <v>5.4543374233925798E-3</v>
      </c>
      <c r="R624">
        <v>1.5739010091094291E-3</v>
      </c>
      <c r="S624">
        <v>0.24544441949890092</v>
      </c>
      <c r="T624">
        <v>1.3474773676700496</v>
      </c>
      <c r="U624">
        <v>0.14256796733856855</v>
      </c>
      <c r="V624">
        <v>0.18470809798028734</v>
      </c>
      <c r="W624">
        <v>9.4474057400359635E-2</v>
      </c>
      <c r="X624">
        <v>1.5231775661487123E-2</v>
      </c>
      <c r="Y624">
        <v>4.2836397104676523E-3</v>
      </c>
    </row>
    <row r="625" spans="1:25" x14ac:dyDescent="0.25">
      <c r="A625" s="1096"/>
      <c r="B625" s="1455">
        <v>375</v>
      </c>
      <c r="C625" s="1100">
        <v>0.98300317245640301</v>
      </c>
      <c r="D625" s="1100">
        <v>0.97907529491500489</v>
      </c>
      <c r="E625" s="1100">
        <v>1.014623849566781</v>
      </c>
      <c r="F625" s="1100">
        <v>0.9996169233170803</v>
      </c>
      <c r="G625" s="1100">
        <v>1.0130704710241418</v>
      </c>
      <c r="H625" s="1100">
        <v>1.0080950612600037</v>
      </c>
      <c r="I625" s="1100">
        <v>1.0102450324803975</v>
      </c>
      <c r="K625">
        <v>2.2428718900331535</v>
      </c>
      <c r="L625">
        <v>0</v>
      </c>
      <c r="M625">
        <v>1.5458830444185306E-3</v>
      </c>
      <c r="N625">
        <v>0.1469298006894752</v>
      </c>
      <c r="O625">
        <v>2.0196785437626534E-2</v>
      </c>
      <c r="P625">
        <v>2.6585765146439639E-2</v>
      </c>
      <c r="Q625">
        <v>5.7155102034886079E-3</v>
      </c>
      <c r="R625">
        <v>1.5243299752055548E-3</v>
      </c>
      <c r="S625">
        <v>0.25163228960580586</v>
      </c>
      <c r="T625">
        <v>1.3433744404921257</v>
      </c>
      <c r="U625">
        <v>0.14527545405240733</v>
      </c>
      <c r="V625">
        <v>0.18724275136702068</v>
      </c>
      <c r="W625">
        <v>9.569236443253766E-2</v>
      </c>
      <c r="X625">
        <v>1.6099557978171048E-2</v>
      </c>
      <c r="Y625">
        <v>4.1487236972682423E-3</v>
      </c>
    </row>
    <row r="626" spans="1:25" x14ac:dyDescent="0.25">
      <c r="A626" s="1096"/>
      <c r="B626" s="1455">
        <v>376</v>
      </c>
      <c r="C626" s="1100">
        <v>1.0058805641509239</v>
      </c>
      <c r="D626" s="1100">
        <v>1.0004705054571505</v>
      </c>
      <c r="E626" s="1100">
        <v>0.98241955653953428</v>
      </c>
      <c r="F626" s="1100">
        <v>0.99562316901199432</v>
      </c>
      <c r="G626" s="1100">
        <v>0.98760923512379184</v>
      </c>
      <c r="H626" s="1100">
        <v>1.0425176930259865</v>
      </c>
      <c r="I626" s="1100">
        <v>0.96974188996451915</v>
      </c>
      <c r="K626">
        <v>2.2070250042255379</v>
      </c>
      <c r="L626">
        <v>0</v>
      </c>
      <c r="M626">
        <v>1.6622882048967715E-3</v>
      </c>
      <c r="N626">
        <v>0.14341101781645951</v>
      </c>
      <c r="O626">
        <v>1.9623800603752121E-2</v>
      </c>
      <c r="P626">
        <v>2.5566717738402082E-2</v>
      </c>
      <c r="Q626">
        <v>5.3763248781365288E-3</v>
      </c>
      <c r="R626">
        <v>1.6398774303887644E-3</v>
      </c>
      <c r="S626">
        <v>0.23593614452125505</v>
      </c>
      <c r="T626">
        <v>1.3379572831481663</v>
      </c>
      <c r="U626">
        <v>0.14189766787717109</v>
      </c>
      <c r="V626">
        <v>0.18296374738505694</v>
      </c>
      <c r="W626">
        <v>9.5207794293163742E-2</v>
      </c>
      <c r="X626">
        <v>1.4643710958411191E-2</v>
      </c>
      <c r="Y626">
        <v>4.4632057800685736E-3</v>
      </c>
    </row>
    <row r="627" spans="1:25" x14ac:dyDescent="0.25">
      <c r="A627" s="1096"/>
      <c r="B627" s="1455">
        <v>377</v>
      </c>
      <c r="C627" s="1100">
        <v>0.97936108616397244</v>
      </c>
      <c r="D627" s="1100">
        <v>1.0021189326721158</v>
      </c>
      <c r="E627" s="1100">
        <v>0.99972098392473097</v>
      </c>
      <c r="F627" s="1100">
        <v>1.0422193746154302</v>
      </c>
      <c r="G627" s="1100">
        <v>1.0057637681348743</v>
      </c>
      <c r="H627" s="1100">
        <v>0.9935352231454524</v>
      </c>
      <c r="I627" s="1100">
        <v>0.95838187446757872</v>
      </c>
      <c r="K627">
        <v>2.2773562424141582</v>
      </c>
      <c r="L627">
        <v>0</v>
      </c>
      <c r="M627">
        <v>1.5692351830230498E-3</v>
      </c>
      <c r="N627">
        <v>0.14255668258040774</v>
      </c>
      <c r="O627">
        <v>2.0158896764841526E-2</v>
      </c>
      <c r="P627">
        <v>2.6853949394771474E-2</v>
      </c>
      <c r="Q627">
        <v>5.6202997978559857E-3</v>
      </c>
      <c r="R627">
        <v>1.5470359103792169E-3</v>
      </c>
      <c r="S627">
        <v>0.23558275845647891</v>
      </c>
      <c r="T627">
        <v>1.4006002791993375</v>
      </c>
      <c r="U627">
        <v>0.14578063702110491</v>
      </c>
      <c r="V627">
        <v>0.18662778038842082</v>
      </c>
      <c r="W627">
        <v>9.366558274010732E-2</v>
      </c>
      <c r="X627">
        <v>1.5721053575671801E-2</v>
      </c>
      <c r="Y627">
        <v>4.210521767801431E-3</v>
      </c>
    </row>
    <row r="628" spans="1:25" x14ac:dyDescent="0.25">
      <c r="A628" s="1096"/>
      <c r="B628" s="1455">
        <v>378</v>
      </c>
      <c r="C628" s="1100">
        <v>1.0315466121400347</v>
      </c>
      <c r="D628" s="1100">
        <v>0.97671467439171911</v>
      </c>
      <c r="E628" s="1100">
        <v>0.999583313670936</v>
      </c>
      <c r="F628" s="1100">
        <v>0.97181579139035235</v>
      </c>
      <c r="G628" s="1100">
        <v>1.0344863635068866</v>
      </c>
      <c r="H628" s="1100">
        <v>0.98405217189805105</v>
      </c>
      <c r="I628" s="1100">
        <v>1.0331404016487986</v>
      </c>
      <c r="K628">
        <v>2.1671223097676648</v>
      </c>
      <c r="L628">
        <v>0</v>
      </c>
      <c r="M628">
        <v>1.4844112463381284E-3</v>
      </c>
      <c r="N628">
        <v>0.13477616010483887</v>
      </c>
      <c r="O628">
        <v>1.9247405620514156E-2</v>
      </c>
      <c r="P628">
        <v>2.5570193989858939E-2</v>
      </c>
      <c r="Q628">
        <v>5.365433414242904E-3</v>
      </c>
      <c r="R628">
        <v>1.4632095754495309E-3</v>
      </c>
      <c r="S628">
        <v>0.24346529884316462</v>
      </c>
      <c r="T628">
        <v>1.3059872815255551</v>
      </c>
      <c r="U628">
        <v>0.13840534629376167</v>
      </c>
      <c r="V628">
        <v>0.18680994719635471</v>
      </c>
      <c r="W628">
        <v>8.8560708665731652E-2</v>
      </c>
      <c r="X628">
        <v>1.4973361667064386E-2</v>
      </c>
      <c r="Y628">
        <v>3.9823741174667103E-3</v>
      </c>
    </row>
    <row r="629" spans="1:25" x14ac:dyDescent="0.25">
      <c r="A629" s="1096"/>
      <c r="B629" s="1455">
        <v>379</v>
      </c>
      <c r="C629" s="1100">
        <v>0.99030445653448174</v>
      </c>
      <c r="D629" s="1100">
        <v>0.95845505156507071</v>
      </c>
      <c r="E629" s="1100">
        <v>1.0005050386219674</v>
      </c>
      <c r="F629" s="1100">
        <v>1.0028191291786255</v>
      </c>
      <c r="G629" s="1100">
        <v>1.0217942838297316</v>
      </c>
      <c r="H629" s="1100">
        <v>1.0289496530656821</v>
      </c>
      <c r="I629" s="1100">
        <v>0.99636328403645658</v>
      </c>
      <c r="K629">
        <v>2.2467705340504991</v>
      </c>
      <c r="L629">
        <v>0</v>
      </c>
      <c r="M629">
        <v>1.6204033093674916E-3</v>
      </c>
      <c r="N629">
        <v>0.14762701910350778</v>
      </c>
      <c r="O629">
        <v>2.0132981466975446E-2</v>
      </c>
      <c r="P629">
        <v>2.6345376275128975E-2</v>
      </c>
      <c r="Q629">
        <v>5.6174998314021734E-3</v>
      </c>
      <c r="R629">
        <v>1.5982691530209178E-3</v>
      </c>
      <c r="S629">
        <v>0.25057730894238617</v>
      </c>
      <c r="T629">
        <v>1.3476529924331113</v>
      </c>
      <c r="U629">
        <v>0.14417150932411121</v>
      </c>
      <c r="V629">
        <v>0.18777112803102053</v>
      </c>
      <c r="W629">
        <v>9.6951815667268529E-2</v>
      </c>
      <c r="X629">
        <v>1.5595075366694468E-2</v>
      </c>
      <c r="Y629">
        <v>4.3499617652382446E-3</v>
      </c>
    </row>
    <row r="630" spans="1:25" x14ac:dyDescent="0.25">
      <c r="A630" s="1096"/>
      <c r="B630" s="1455">
        <v>380</v>
      </c>
      <c r="C630" s="1100">
        <v>0.99598212400623498</v>
      </c>
      <c r="D630" s="1100">
        <v>0.98277704746201267</v>
      </c>
      <c r="E630" s="1100">
        <v>0.99139905311167753</v>
      </c>
      <c r="F630" s="1100">
        <v>0.97782632817450332</v>
      </c>
      <c r="G630" s="1100">
        <v>0.97727743161125069</v>
      </c>
      <c r="H630" s="1100">
        <v>0.98466862929038357</v>
      </c>
      <c r="I630" s="1100">
        <v>1.0071119368105645</v>
      </c>
      <c r="K630">
        <v>2.1846687969551644</v>
      </c>
      <c r="L630">
        <v>0</v>
      </c>
      <c r="M630">
        <v>1.5625719222417702E-3</v>
      </c>
      <c r="N630">
        <v>0.13840784146905524</v>
      </c>
      <c r="O630">
        <v>1.9902423479868012E-2</v>
      </c>
      <c r="P630">
        <v>2.5551392711194849E-2</v>
      </c>
      <c r="Q630">
        <v>5.5024594238906026E-3</v>
      </c>
      <c r="R630">
        <v>1.5402678639606614E-3</v>
      </c>
      <c r="S630">
        <v>0.2450293490767578</v>
      </c>
      <c r="T630">
        <v>1.3140526636537837</v>
      </c>
      <c r="U630">
        <v>0.14332861331401039</v>
      </c>
      <c r="V630">
        <v>0.1823895903568884</v>
      </c>
      <c r="W630">
        <v>9.1392123792102251E-2</v>
      </c>
      <c r="X630">
        <v>1.4942542359356147E-2</v>
      </c>
      <c r="Y630">
        <v>4.1921013765360265E-3</v>
      </c>
    </row>
    <row r="631" spans="1:25" x14ac:dyDescent="0.25">
      <c r="A631" s="1096"/>
      <c r="B631" s="1455">
        <v>381</v>
      </c>
      <c r="C631" s="1100">
        <v>0.98514553358881174</v>
      </c>
      <c r="D631" s="1100">
        <v>1.0215473996086042</v>
      </c>
      <c r="E631" s="1100">
        <v>0.99631268632975656</v>
      </c>
      <c r="F631" s="1100">
        <v>0.99241137500982457</v>
      </c>
      <c r="G631" s="1100">
        <v>0.97910439997979837</v>
      </c>
      <c r="H631" s="1100">
        <v>1.0086502797777313</v>
      </c>
      <c r="I631" s="1100">
        <v>0.97212000746018112</v>
      </c>
      <c r="K631">
        <v>2.2059552025551814</v>
      </c>
      <c r="L631">
        <v>0</v>
      </c>
      <c r="M631">
        <v>1.5882638397264318E-3</v>
      </c>
      <c r="N631">
        <v>0.14283771728795261</v>
      </c>
      <c r="O631">
        <v>1.9953899256083256E-2</v>
      </c>
      <c r="P631">
        <v>2.5829234087438178E-2</v>
      </c>
      <c r="Q631">
        <v>5.5440991790435233E-3</v>
      </c>
      <c r="R631">
        <v>1.5661320766733415E-3</v>
      </c>
      <c r="S631">
        <v>0.2364610178156506</v>
      </c>
      <c r="T631">
        <v>1.3336599014116324</v>
      </c>
      <c r="U631">
        <v>0.14491669871295759</v>
      </c>
      <c r="V631">
        <v>0.18325558290263194</v>
      </c>
      <c r="W631">
        <v>9.4040838299892793E-2</v>
      </c>
      <c r="X631">
        <v>1.5215850127546511E-2</v>
      </c>
      <c r="Y631">
        <v>4.2624952374045125E-3</v>
      </c>
    </row>
    <row r="632" spans="1:25" x14ac:dyDescent="0.25">
      <c r="A632" s="1096"/>
      <c r="B632" s="1455">
        <v>382</v>
      </c>
      <c r="C632" s="1100">
        <v>1.0007927687942579</v>
      </c>
      <c r="D632" s="1100">
        <v>0.98890789079204711</v>
      </c>
      <c r="E632" s="1100">
        <v>1.0244966013344468</v>
      </c>
      <c r="F632" s="1100">
        <v>1.0133619437361769</v>
      </c>
      <c r="G632" s="1100">
        <v>0.99542181944062991</v>
      </c>
      <c r="H632" s="1100">
        <v>1.006654910818535</v>
      </c>
      <c r="I632" s="1100">
        <v>1.0011445170875786</v>
      </c>
      <c r="K632">
        <v>2.2441494762542575</v>
      </c>
      <c r="L632">
        <v>0</v>
      </c>
      <c r="M632">
        <v>1.4821465844826239E-3</v>
      </c>
      <c r="N632">
        <v>0.14512794786657604</v>
      </c>
      <c r="O632">
        <v>1.9800410231649513E-2</v>
      </c>
      <c r="P632">
        <v>2.68469812223085E-2</v>
      </c>
      <c r="Q632">
        <v>5.6586203048170853E-3</v>
      </c>
      <c r="R632">
        <v>1.4614525809960701E-3</v>
      </c>
      <c r="S632">
        <v>0.24367263822428467</v>
      </c>
      <c r="T632">
        <v>1.3618663691793167</v>
      </c>
      <c r="U632">
        <v>0.14271588961117973</v>
      </c>
      <c r="V632">
        <v>0.18418389351136286</v>
      </c>
      <c r="W632">
        <v>9.3974290081782375E-2</v>
      </c>
      <c r="X632">
        <v>1.6345537866706214E-2</v>
      </c>
      <c r="Y632">
        <v>3.9775921577574558E-3</v>
      </c>
    </row>
    <row r="633" spans="1:25" x14ac:dyDescent="0.25">
      <c r="A633" s="1096"/>
      <c r="B633" s="1455">
        <v>383</v>
      </c>
      <c r="C633" s="1100">
        <v>0.9720233607375105</v>
      </c>
      <c r="D633" s="1100">
        <v>1.0048726057939021</v>
      </c>
      <c r="E633" s="1100">
        <v>0.9784676790793404</v>
      </c>
      <c r="F633" s="1100">
        <v>0.98313352087124939</v>
      </c>
      <c r="G633" s="1100">
        <v>0.97346538655480408</v>
      </c>
      <c r="H633" s="1100">
        <v>0.97689754090008407</v>
      </c>
      <c r="I633" s="1100">
        <v>0.99942100331675787</v>
      </c>
      <c r="K633">
        <v>2.1976422812966736</v>
      </c>
      <c r="L633">
        <v>0</v>
      </c>
      <c r="M633">
        <v>1.6235710109775835E-3</v>
      </c>
      <c r="N633">
        <v>0.13827890117990121</v>
      </c>
      <c r="O633">
        <v>2.0285196442830628E-2</v>
      </c>
      <c r="P633">
        <v>2.546757987929632E-2</v>
      </c>
      <c r="Q633">
        <v>5.5352546780732415E-3</v>
      </c>
      <c r="R633">
        <v>1.6002119032871532E-3</v>
      </c>
      <c r="S633">
        <v>0.24565235745119832</v>
      </c>
      <c r="T633">
        <v>1.3211686833116316</v>
      </c>
      <c r="U633">
        <v>0.14683087062421929</v>
      </c>
      <c r="V633">
        <v>0.18341511845750924</v>
      </c>
      <c r="W633">
        <v>9.2019924131992573E-2</v>
      </c>
      <c r="X633">
        <v>1.4656504956677514E-2</v>
      </c>
      <c r="Y633">
        <v>4.3552492910354842E-3</v>
      </c>
    </row>
    <row r="634" spans="1:25" x14ac:dyDescent="0.25">
      <c r="A634" s="1096"/>
      <c r="B634" s="1455">
        <v>384</v>
      </c>
      <c r="C634" s="1100">
        <v>1.0157695035337635</v>
      </c>
      <c r="D634" s="1100">
        <v>1.0089242238033582</v>
      </c>
      <c r="E634" s="1100">
        <v>0.99720449911815423</v>
      </c>
      <c r="F634" s="1100">
        <v>1.023300703670339</v>
      </c>
      <c r="G634" s="1100">
        <v>0.97353925459108526</v>
      </c>
      <c r="H634" s="1100">
        <v>1.0234925906759698</v>
      </c>
      <c r="I634" s="1100">
        <v>0.99382226053402456</v>
      </c>
      <c r="K634">
        <v>2.2381189395103194</v>
      </c>
      <c r="L634">
        <v>0</v>
      </c>
      <c r="M634">
        <v>1.5644329760627794E-3</v>
      </c>
      <c r="N634">
        <v>0.14110312388337801</v>
      </c>
      <c r="O634">
        <v>1.9405875285930498E-2</v>
      </c>
      <c r="P634">
        <v>2.6327178816315328E-2</v>
      </c>
      <c r="Q634">
        <v>5.3966775059900891E-3</v>
      </c>
      <c r="R634">
        <v>1.5429494167333094E-3</v>
      </c>
      <c r="S634">
        <v>0.23707001431627164</v>
      </c>
      <c r="T634">
        <v>1.3751721594598725</v>
      </c>
      <c r="U634">
        <v>0.14054969180642196</v>
      </c>
      <c r="V634">
        <v>0.18081189499690425</v>
      </c>
      <c r="W634">
        <v>9.2849471059232414E-2</v>
      </c>
      <c r="X634">
        <v>1.5254936260122741E-2</v>
      </c>
      <c r="Y634">
        <v>4.1993996792095397E-3</v>
      </c>
    </row>
    <row r="635" spans="1:25" x14ac:dyDescent="0.25">
      <c r="A635" s="1096"/>
      <c r="B635" s="1455">
        <v>385</v>
      </c>
      <c r="C635" s="1100">
        <v>1.0103282772945688</v>
      </c>
      <c r="D635" s="1100">
        <v>0.99121872900628905</v>
      </c>
      <c r="E635" s="1100">
        <v>0.98552855042411158</v>
      </c>
      <c r="F635" s="1100">
        <v>1.0257583115595841</v>
      </c>
      <c r="G635" s="1100">
        <v>1.0186167321531654</v>
      </c>
      <c r="H635" s="1100">
        <v>0.99378935527246781</v>
      </c>
      <c r="I635" s="1100">
        <v>0.97242450671960234</v>
      </c>
      <c r="K635">
        <v>2.2363441439786054</v>
      </c>
      <c r="L635">
        <v>0</v>
      </c>
      <c r="M635">
        <v>1.5707065756291458E-3</v>
      </c>
      <c r="N635">
        <v>0.13669865848602969</v>
      </c>
      <c r="O635">
        <v>1.9579306189843812E-2</v>
      </c>
      <c r="P635">
        <v>2.6167912136435108E-2</v>
      </c>
      <c r="Q635">
        <v>5.3810745655364679E-3</v>
      </c>
      <c r="R635">
        <v>1.5484921699759633E-3</v>
      </c>
      <c r="S635">
        <v>0.23289307981532401</v>
      </c>
      <c r="T635">
        <v>1.3784580247019884</v>
      </c>
      <c r="U635">
        <v>0.14128006606233298</v>
      </c>
      <c r="V635">
        <v>0.18621191471021031</v>
      </c>
      <c r="W635">
        <v>9.0581916998956916E-2</v>
      </c>
      <c r="X635">
        <v>1.4899919491234767E-2</v>
      </c>
      <c r="Y635">
        <v>4.2144852263679275E-3</v>
      </c>
    </row>
    <row r="636" spans="1:25" x14ac:dyDescent="0.25">
      <c r="A636" s="1096"/>
      <c r="B636" s="1455">
        <v>386</v>
      </c>
      <c r="C636" s="1100">
        <v>1.0210656645830047</v>
      </c>
      <c r="D636" s="1100">
        <v>1.0102735809057199</v>
      </c>
      <c r="E636" s="1100">
        <v>1.0257783726355418</v>
      </c>
      <c r="F636" s="1100">
        <v>1.0306918129891514</v>
      </c>
      <c r="G636" s="1100">
        <v>0.99255257982197664</v>
      </c>
      <c r="H636" s="1100">
        <v>1.024146306857475</v>
      </c>
      <c r="I636" s="1100">
        <v>1.0421908660068679</v>
      </c>
      <c r="K636">
        <v>2.2650476618969009</v>
      </c>
      <c r="L636">
        <v>0</v>
      </c>
      <c r="M636">
        <v>1.4671063868643237E-3</v>
      </c>
      <c r="N636">
        <v>0.14424648173216037</v>
      </c>
      <c r="O636">
        <v>1.9317015957395749E-2</v>
      </c>
      <c r="P636">
        <v>2.7188010417033826E-2</v>
      </c>
      <c r="Q636">
        <v>5.5274936041361548E-3</v>
      </c>
      <c r="R636">
        <v>1.4469722238090923E-3</v>
      </c>
      <c r="S636">
        <v>0.24743201638276888</v>
      </c>
      <c r="T636">
        <v>1.3851589558588493</v>
      </c>
      <c r="U636">
        <v>0.13988521753909966</v>
      </c>
      <c r="V636">
        <v>0.18268335220532639</v>
      </c>
      <c r="W636">
        <v>9.3333781377522379E-2</v>
      </c>
      <c r="X636">
        <v>1.635728958671772E-2</v>
      </c>
      <c r="Y636">
        <v>3.9381813989429644E-3</v>
      </c>
    </row>
    <row r="637" spans="1:25" x14ac:dyDescent="0.25">
      <c r="A637" s="1096"/>
      <c r="B637" s="1455">
        <v>387</v>
      </c>
      <c r="C637" s="1100">
        <v>0.97304079049259951</v>
      </c>
      <c r="D637" s="1100">
        <v>1.0049493028169283</v>
      </c>
      <c r="E637" s="1100">
        <v>1.0203301403896052</v>
      </c>
      <c r="F637" s="1100">
        <v>0.97593919189942557</v>
      </c>
      <c r="G637" s="1100">
        <v>1.0098570925239416</v>
      </c>
      <c r="H637" s="1100">
        <v>1.0312195612452624</v>
      </c>
      <c r="I637" s="1100">
        <v>1.0080614517604791</v>
      </c>
      <c r="K637">
        <v>2.2213549460992237</v>
      </c>
      <c r="L637">
        <v>0</v>
      </c>
      <c r="M637">
        <v>1.5696529261018562E-3</v>
      </c>
      <c r="N637">
        <v>0.1518281071768425</v>
      </c>
      <c r="O637">
        <v>2.0290487993292951E-2</v>
      </c>
      <c r="P637">
        <v>2.6291060781227144E-2</v>
      </c>
      <c r="Q637">
        <v>5.7747391221154576E-3</v>
      </c>
      <c r="R637">
        <v>1.5482591981798763E-3</v>
      </c>
      <c r="S637">
        <v>0.25234324806261177</v>
      </c>
      <c r="T637">
        <v>1.3115651564288409</v>
      </c>
      <c r="U637">
        <v>0.14677638025986692</v>
      </c>
      <c r="V637">
        <v>0.18750288960359535</v>
      </c>
      <c r="W637">
        <v>9.8552309867585244E-2</v>
      </c>
      <c r="X637">
        <v>1.6238109377226775E-2</v>
      </c>
      <c r="Y637">
        <v>4.2138511539381125E-3</v>
      </c>
    </row>
    <row r="638" spans="1:25" x14ac:dyDescent="0.25">
      <c r="A638" s="1096"/>
      <c r="B638" s="1455">
        <v>388</v>
      </c>
      <c r="C638" s="1100">
        <v>0.97735657308915613</v>
      </c>
      <c r="D638" s="1100">
        <v>1.0273429812924348</v>
      </c>
      <c r="E638" s="1100">
        <v>0.99807309604057048</v>
      </c>
      <c r="F638" s="1100">
        <v>0.98165042215337706</v>
      </c>
      <c r="G638" s="1100">
        <v>0.99660623964033423</v>
      </c>
      <c r="H638" s="1100">
        <v>0.96082409656356849</v>
      </c>
      <c r="I638" s="1100">
        <v>1.0265835269387054</v>
      </c>
      <c r="K638">
        <v>2.1961502515445321</v>
      </c>
      <c r="L638">
        <v>0</v>
      </c>
      <c r="M638">
        <v>1.5175659016705466E-3</v>
      </c>
      <c r="N638">
        <v>0.13711107068310352</v>
      </c>
      <c r="O638">
        <v>2.0089021069628114E-2</v>
      </c>
      <c r="P638">
        <v>2.5859312216384038E-2</v>
      </c>
      <c r="Q638">
        <v>5.5915431560625596E-3</v>
      </c>
      <c r="R638">
        <v>1.4953666849794388E-3</v>
      </c>
      <c r="S638">
        <v>0.24700780379346457</v>
      </c>
      <c r="T638">
        <v>1.3192013553621371</v>
      </c>
      <c r="U638">
        <v>0.14607574517052227</v>
      </c>
      <c r="V638">
        <v>0.18571539868904863</v>
      </c>
      <c r="W638">
        <v>9.0175945805380506E-2</v>
      </c>
      <c r="X638">
        <v>1.5275359646474458E-2</v>
      </c>
      <c r="Y638">
        <v>4.0698951690188098E-3</v>
      </c>
    </row>
    <row r="639" spans="1:25" x14ac:dyDescent="0.25">
      <c r="A639" s="1096"/>
      <c r="B639" s="1455">
        <v>389</v>
      </c>
      <c r="C639" s="1100">
        <v>1.0095009517774349</v>
      </c>
      <c r="D639" s="1100">
        <v>1.0370268325433356</v>
      </c>
      <c r="E639" s="1100">
        <v>0.98344774190271644</v>
      </c>
      <c r="F639" s="1100">
        <v>0.99650308789146957</v>
      </c>
      <c r="G639" s="1100">
        <v>0.99843814325972957</v>
      </c>
      <c r="H639" s="1100">
        <v>0.9935057670547115</v>
      </c>
      <c r="I639" s="1100">
        <v>0.99798774628263509</v>
      </c>
      <c r="K639">
        <v>2.1922426718893813</v>
      </c>
      <c r="L639">
        <v>0</v>
      </c>
      <c r="M639">
        <v>1.5627170111334604E-3</v>
      </c>
      <c r="N639">
        <v>0.13514949113627148</v>
      </c>
      <c r="O639">
        <v>1.9400281980418412E-2</v>
      </c>
      <c r="P639">
        <v>2.5581386091927102E-2</v>
      </c>
      <c r="Q639">
        <v>5.3206359154352951E-3</v>
      </c>
      <c r="R639">
        <v>1.5406092927259054E-3</v>
      </c>
      <c r="S639">
        <v>0.23385729924594209</v>
      </c>
      <c r="T639">
        <v>1.3391410014948131</v>
      </c>
      <c r="U639">
        <v>0.14139111677359553</v>
      </c>
      <c r="V639">
        <v>0.18397727478601236</v>
      </c>
      <c r="W639">
        <v>8.9667569535158254E-2</v>
      </c>
      <c r="X639">
        <v>1.4585692015135161E-2</v>
      </c>
      <c r="Y639">
        <v>4.1930306330830586E-3</v>
      </c>
    </row>
    <row r="640" spans="1:25" x14ac:dyDescent="0.25">
      <c r="A640" s="1096"/>
      <c r="B640" s="1455">
        <v>390</v>
      </c>
      <c r="C640" s="1100">
        <v>0.9641577620261127</v>
      </c>
      <c r="D640" s="1100">
        <v>0.95943580184109523</v>
      </c>
      <c r="E640" s="1100">
        <v>0.99504867983555545</v>
      </c>
      <c r="F640" s="1100">
        <v>0.98442772335404971</v>
      </c>
      <c r="G640" s="1100">
        <v>0.96482513855384289</v>
      </c>
      <c r="H640" s="1100">
        <v>1.0075539461854683</v>
      </c>
      <c r="I640" s="1100">
        <v>1.0197508538203706</v>
      </c>
      <c r="K640">
        <v>2.2325760089162645</v>
      </c>
      <c r="L640">
        <v>0</v>
      </c>
      <c r="M640">
        <v>1.6479116873738958E-3</v>
      </c>
      <c r="N640">
        <v>0.14763471256053065</v>
      </c>
      <c r="O640">
        <v>2.0670742984417498E-2</v>
      </c>
      <c r="P640">
        <v>2.6036825938864579E-2</v>
      </c>
      <c r="Q640">
        <v>5.7359609634394775E-3</v>
      </c>
      <c r="R640">
        <v>1.6249237713242869E-3</v>
      </c>
      <c r="S640">
        <v>0.261403759128913</v>
      </c>
      <c r="T640">
        <v>1.3229291436158139</v>
      </c>
      <c r="U640">
        <v>0.1480682269428697</v>
      </c>
      <c r="V640">
        <v>0.18295109429658146</v>
      </c>
      <c r="W640">
        <v>9.7272360517324866E-2</v>
      </c>
      <c r="X640">
        <v>1.547366303399136E-2</v>
      </c>
      <c r="Y640">
        <v>4.4225068495674525E-3</v>
      </c>
    </row>
    <row r="641" spans="1:25" x14ac:dyDescent="0.25">
      <c r="A641" s="1096"/>
      <c r="B641" s="1455">
        <v>391</v>
      </c>
      <c r="C641" s="1100">
        <v>1.0199366302956627</v>
      </c>
      <c r="D641" s="1100">
        <v>1.01996518150775</v>
      </c>
      <c r="E641" s="1100">
        <v>0.97841281235028654</v>
      </c>
      <c r="F641" s="1100">
        <v>1.0257401453879966</v>
      </c>
      <c r="G641" s="1100">
        <v>0.98562885828492763</v>
      </c>
      <c r="H641" s="1100">
        <v>0.99783733883467673</v>
      </c>
      <c r="I641" s="1100">
        <v>0.9681261283387762</v>
      </c>
      <c r="K641">
        <v>2.2195868889601194</v>
      </c>
      <c r="L641">
        <v>0</v>
      </c>
      <c r="M641">
        <v>1.5754710998844743E-3</v>
      </c>
      <c r="N641">
        <v>0.13420107213345728</v>
      </c>
      <c r="O641">
        <v>1.9268931136671712E-2</v>
      </c>
      <c r="P641">
        <v>2.5867723659984725E-2</v>
      </c>
      <c r="Q641">
        <v>5.2576512412173312E-3</v>
      </c>
      <c r="R641">
        <v>1.5532797016669416E-3</v>
      </c>
      <c r="S641">
        <v>0.2266844478803087</v>
      </c>
      <c r="T641">
        <v>1.3784248696278776</v>
      </c>
      <c r="U641">
        <v>0.1399331156493043</v>
      </c>
      <c r="V641">
        <v>0.1819239977457395</v>
      </c>
      <c r="W641">
        <v>8.9309229459766243E-2</v>
      </c>
      <c r="X641">
        <v>1.4510526514586213E-2</v>
      </c>
      <c r="Y641">
        <v>4.2275153094213742E-3</v>
      </c>
    </row>
    <row r="642" spans="1:25" x14ac:dyDescent="0.25">
      <c r="A642" s="1096"/>
      <c r="B642" s="1455">
        <v>392</v>
      </c>
      <c r="C642" s="1100">
        <v>1.0083430308286916</v>
      </c>
      <c r="D642" s="1100">
        <v>1.0038344236116146</v>
      </c>
      <c r="E642" s="1100">
        <v>1.0087565224165267</v>
      </c>
      <c r="F642" s="1100">
        <v>0.98005499062427204</v>
      </c>
      <c r="G642" s="1100">
        <v>0.9654231334913268</v>
      </c>
      <c r="H642" s="1100">
        <v>0.98578747917699894</v>
      </c>
      <c r="I642" s="1100">
        <v>1.0077898025732479</v>
      </c>
      <c r="K642">
        <v>2.1781361023657713</v>
      </c>
      <c r="L642">
        <v>0</v>
      </c>
      <c r="M642">
        <v>1.4835906939804852E-3</v>
      </c>
      <c r="N642">
        <v>0.1384893819174417</v>
      </c>
      <c r="O642">
        <v>1.9577717160889154E-2</v>
      </c>
      <c r="P642">
        <v>2.5802738468566729E-2</v>
      </c>
      <c r="Q642">
        <v>5.5079494814841076E-3</v>
      </c>
      <c r="R642">
        <v>1.4624380441651561E-3</v>
      </c>
      <c r="S642">
        <v>0.23985097449725898</v>
      </c>
      <c r="T642">
        <v>1.3170747617864222</v>
      </c>
      <c r="U642">
        <v>0.14161123252162816</v>
      </c>
      <c r="V642">
        <v>0.18033482752101726</v>
      </c>
      <c r="W642">
        <v>9.0507476743404938E-2</v>
      </c>
      <c r="X642">
        <v>1.541992065382454E-2</v>
      </c>
      <c r="Y642">
        <v>3.980274263645861E-3</v>
      </c>
    </row>
    <row r="643" spans="1:25" x14ac:dyDescent="0.25">
      <c r="A643" s="1096"/>
      <c r="B643" s="1455">
        <v>393</v>
      </c>
      <c r="C643" s="1100">
        <v>0.96582967300090872</v>
      </c>
      <c r="D643" s="1100">
        <v>0.95914067568570138</v>
      </c>
      <c r="E643" s="1100">
        <v>0.98382782638535504</v>
      </c>
      <c r="F643" s="1100">
        <v>1.0254395666081757</v>
      </c>
      <c r="G643" s="1100">
        <v>1.0190685198118017</v>
      </c>
      <c r="H643" s="1100">
        <v>0.9546786045368445</v>
      </c>
      <c r="I643" s="1100">
        <v>0.98437374566387392</v>
      </c>
      <c r="K643">
        <v>2.2641414738802665</v>
      </c>
      <c r="L643">
        <v>0</v>
      </c>
      <c r="M643">
        <v>1.5954804684678427E-3</v>
      </c>
      <c r="N643">
        <v>0.13806110282753678</v>
      </c>
      <c r="O643">
        <v>2.0629045374249522E-2</v>
      </c>
      <c r="P643">
        <v>2.6450165400413686E-2</v>
      </c>
      <c r="Q643">
        <v>5.6598127960324918E-3</v>
      </c>
      <c r="R643">
        <v>1.5719912655715266E-3</v>
      </c>
      <c r="S643">
        <v>0.24749197546017537</v>
      </c>
      <c r="T643">
        <v>1.3780274886871584</v>
      </c>
      <c r="U643">
        <v>0.14778520864524275</v>
      </c>
      <c r="V643">
        <v>0.18896614513331039</v>
      </c>
      <c r="W643">
        <v>9.1578375681688071E-2</v>
      </c>
      <c r="X643">
        <v>1.5237201059251797E-2</v>
      </c>
      <c r="Y643">
        <v>4.2784420181042728E-3</v>
      </c>
    </row>
    <row r="644" spans="1:25" x14ac:dyDescent="0.25">
      <c r="A644" s="1096"/>
      <c r="B644" s="1455">
        <v>394</v>
      </c>
      <c r="C644" s="1100">
        <v>0.95672526253921986</v>
      </c>
      <c r="D644" s="1100">
        <v>1.0123167467458523</v>
      </c>
      <c r="E644" s="1100">
        <v>1.0285230828847389</v>
      </c>
      <c r="F644" s="1100">
        <v>1.0113708004587505</v>
      </c>
      <c r="G644" s="1100">
        <v>1.0110530031636367</v>
      </c>
      <c r="H644" s="1100">
        <v>0.9845988351358459</v>
      </c>
      <c r="I644" s="1100">
        <v>1.0212873544401559</v>
      </c>
      <c r="K644">
        <v>2.2708991684938096</v>
      </c>
      <c r="L644">
        <v>0</v>
      </c>
      <c r="M644">
        <v>1.4960616185197197E-3</v>
      </c>
      <c r="N644">
        <v>0.14823285303397485</v>
      </c>
      <c r="O644">
        <v>2.0608731255122942E-2</v>
      </c>
      <c r="P644">
        <v>2.7203274452241535E-2</v>
      </c>
      <c r="Q644">
        <v>5.9131629602506555E-3</v>
      </c>
      <c r="R644">
        <v>1.4747054105948038E-3</v>
      </c>
      <c r="S644">
        <v>0.25516229377770272</v>
      </c>
      <c r="T644">
        <v>1.3591992560858268</v>
      </c>
      <c r="U644">
        <v>0.14929922241658022</v>
      </c>
      <c r="V644">
        <v>0.18868599162298577</v>
      </c>
      <c r="W644">
        <v>9.5760105573379065E-2</v>
      </c>
      <c r="X644">
        <v>1.6841971532539367E-2</v>
      </c>
      <c r="Y644">
        <v>4.013661991131106E-3</v>
      </c>
    </row>
    <row r="645" spans="1:25" x14ac:dyDescent="0.25">
      <c r="A645" s="1096"/>
      <c r="B645" s="1455">
        <v>395</v>
      </c>
      <c r="C645" s="1100">
        <v>0.97014288320909026</v>
      </c>
      <c r="D645" s="1100">
        <v>0.97814947076103087</v>
      </c>
      <c r="E645" s="1100">
        <v>0.98175351086897922</v>
      </c>
      <c r="F645" s="1100">
        <v>1.0173008195590918</v>
      </c>
      <c r="G645" s="1100">
        <v>0.97486467016328149</v>
      </c>
      <c r="H645" s="1100">
        <v>1.0044158363807201</v>
      </c>
      <c r="I645" s="1100">
        <v>1.005204544962691</v>
      </c>
      <c r="K645">
        <v>2.2623172742091398</v>
      </c>
      <c r="L645">
        <v>0</v>
      </c>
      <c r="M645">
        <v>1.6710955241562931E-3</v>
      </c>
      <c r="N645">
        <v>0.14380606389489498</v>
      </c>
      <c r="O645">
        <v>2.0447513542755372E-2</v>
      </c>
      <c r="P645">
        <v>2.6259033239434793E-2</v>
      </c>
      <c r="Q645">
        <v>5.5982104957028392E-3</v>
      </c>
      <c r="R645">
        <v>1.6477113680610275E-3</v>
      </c>
      <c r="S645">
        <v>0.25324557071659809</v>
      </c>
      <c r="T645">
        <v>1.3670877428959531</v>
      </c>
      <c r="U645">
        <v>0.1471232533281048</v>
      </c>
      <c r="V645">
        <v>0.18369445600687351</v>
      </c>
      <c r="W645">
        <v>9.550839755568874E-2</v>
      </c>
      <c r="X645">
        <v>1.5085889513270813E-2</v>
      </c>
      <c r="Y645">
        <v>4.484527175955615E-3</v>
      </c>
    </row>
    <row r="646" spans="1:25" x14ac:dyDescent="0.25">
      <c r="A646" s="1096"/>
      <c r="B646" s="1455">
        <v>396</v>
      </c>
      <c r="C646" s="1100">
        <v>0.98966347362864315</v>
      </c>
      <c r="D646" s="1100">
        <v>1.0041605658280022</v>
      </c>
      <c r="E646" s="1100">
        <v>1.007318855557799</v>
      </c>
      <c r="F646" s="1100">
        <v>0.97271170483553904</v>
      </c>
      <c r="G646" s="1100">
        <v>0.97551792903221923</v>
      </c>
      <c r="H646" s="1100">
        <v>0.99841928245167522</v>
      </c>
      <c r="I646" s="1100">
        <v>1.0291194646657797</v>
      </c>
      <c r="K646">
        <v>2.1917477312263713</v>
      </c>
      <c r="L646">
        <v>0</v>
      </c>
      <c r="M646">
        <v>1.5354307308040782E-3</v>
      </c>
      <c r="N646">
        <v>0.14273379926369359</v>
      </c>
      <c r="O646">
        <v>1.9944906585672217E-2</v>
      </c>
      <c r="P646">
        <v>2.5854213426461589E-2</v>
      </c>
      <c r="Q646">
        <v>5.6031865647573594E-3</v>
      </c>
      <c r="R646">
        <v>1.5138159296055219E-3</v>
      </c>
      <c r="S646">
        <v>0.25055033677058941</v>
      </c>
      <c r="T646">
        <v>1.3072038087172102</v>
      </c>
      <c r="U646">
        <v>0.14428074705677887</v>
      </c>
      <c r="V646">
        <v>0.18258518504486376</v>
      </c>
      <c r="W646">
        <v>9.3360582484543833E-2</v>
      </c>
      <c r="X646">
        <v>1.553247218190054E-2</v>
      </c>
      <c r="Y646">
        <v>4.1201079310991522E-3</v>
      </c>
    </row>
    <row r="647" spans="1:25" x14ac:dyDescent="0.25">
      <c r="A647" s="1096"/>
      <c r="B647" s="1455">
        <v>397</v>
      </c>
      <c r="C647" s="1100">
        <v>0.97263130806379716</v>
      </c>
      <c r="D647" s="1100">
        <v>0.99233150227111111</v>
      </c>
      <c r="E647" s="1100">
        <v>1.0029660836887495</v>
      </c>
      <c r="F647" s="1100">
        <v>1.0011286741091392</v>
      </c>
      <c r="G647" s="1100">
        <v>0.98384371186932207</v>
      </c>
      <c r="H647" s="1100">
        <v>1.0017803247689196</v>
      </c>
      <c r="I647" s="1100">
        <v>1.0350340793220416</v>
      </c>
      <c r="K647">
        <v>2.2483374263373475</v>
      </c>
      <c r="L647">
        <v>0</v>
      </c>
      <c r="M647">
        <v>1.5859358756963448E-3</v>
      </c>
      <c r="N647">
        <v>0.14551036224092279</v>
      </c>
      <c r="O647">
        <v>2.034434374835082E-2</v>
      </c>
      <c r="P647">
        <v>2.6458775729924618E-2</v>
      </c>
      <c r="Q647">
        <v>5.6905203710478202E-3</v>
      </c>
      <c r="R647">
        <v>1.5636850002555751E-3</v>
      </c>
      <c r="S647">
        <v>0.25817548178895461</v>
      </c>
      <c r="T647">
        <v>1.3453852653124394</v>
      </c>
      <c r="U647">
        <v>0.14679699763683973</v>
      </c>
      <c r="V647">
        <v>0.18457210345450173</v>
      </c>
      <c r="W647">
        <v>9.5422247326851062E-2</v>
      </c>
      <c r="X647">
        <v>1.5747744500878774E-2</v>
      </c>
      <c r="Y647">
        <v>4.2558351020738766E-3</v>
      </c>
    </row>
    <row r="648" spans="1:25" x14ac:dyDescent="0.25">
      <c r="A648" s="1096"/>
      <c r="B648" s="1455">
        <v>398</v>
      </c>
      <c r="C648" s="1100">
        <v>1.0391566179326401</v>
      </c>
      <c r="D648" s="1100">
        <v>0.98194741505216054</v>
      </c>
      <c r="E648" s="1100">
        <v>1.0408135443353483</v>
      </c>
      <c r="F648" s="1100">
        <v>0.97616664089681848</v>
      </c>
      <c r="G648" s="1100">
        <v>1.0180055725361403</v>
      </c>
      <c r="H648" s="1100">
        <v>0.98661573901083333</v>
      </c>
      <c r="I648" s="1100">
        <v>1.029586413498859</v>
      </c>
      <c r="K648">
        <v>2.1742555648261725</v>
      </c>
      <c r="L648">
        <v>0</v>
      </c>
      <c r="M648">
        <v>1.3543297202512471E-3</v>
      </c>
      <c r="N648">
        <v>0.13925717287721931</v>
      </c>
      <c r="O648">
        <v>1.9108966035775127E-2</v>
      </c>
      <c r="P648">
        <v>2.6354261619452483E-2</v>
      </c>
      <c r="Q648">
        <v>5.5497016176477782E-3</v>
      </c>
      <c r="R648">
        <v>1.335036250139147E-3</v>
      </c>
      <c r="S648">
        <v>0.24072347968108962</v>
      </c>
      <c r="T648">
        <v>1.3119157639018419</v>
      </c>
      <c r="U648">
        <v>0.13748339639659343</v>
      </c>
      <c r="V648">
        <v>0.18456183903705631</v>
      </c>
      <c r="W648">
        <v>8.9324509042530115E-2</v>
      </c>
      <c r="X648">
        <v>1.6362239508779967E-2</v>
      </c>
      <c r="Y648">
        <v>3.6335285782971784E-3</v>
      </c>
    </row>
    <row r="649" spans="1:25" x14ac:dyDescent="0.25">
      <c r="A649" s="1096"/>
      <c r="B649" s="1455">
        <v>399</v>
      </c>
      <c r="C649" s="1100">
        <v>0.99287214443935912</v>
      </c>
      <c r="D649" s="1100">
        <v>0.98658861474951054</v>
      </c>
      <c r="E649" s="1100">
        <v>1.0411060892177828</v>
      </c>
      <c r="F649" s="1100">
        <v>1.0024308606860801</v>
      </c>
      <c r="G649" s="1100">
        <v>0.98775618610677696</v>
      </c>
      <c r="H649" s="1100">
        <v>0.98831249679877242</v>
      </c>
      <c r="I649" s="1100">
        <v>1.0268268299391705</v>
      </c>
      <c r="K649">
        <v>2.2387867588102237</v>
      </c>
      <c r="L649">
        <v>0</v>
      </c>
      <c r="M649">
        <v>1.4175638619266357E-3</v>
      </c>
      <c r="N649">
        <v>0.14589125808144618</v>
      </c>
      <c r="O649">
        <v>1.9979212958070012E-2</v>
      </c>
      <c r="P649">
        <v>2.7077619774863709E-2</v>
      </c>
      <c r="Q649">
        <v>5.8041106499621981E-3</v>
      </c>
      <c r="R649">
        <v>1.3974042427802172E-3</v>
      </c>
      <c r="S649">
        <v>0.25081943612781205</v>
      </c>
      <c r="T649">
        <v>1.3472141942151146</v>
      </c>
      <c r="U649">
        <v>0.14389310814338363</v>
      </c>
      <c r="V649">
        <v>0.18380619258621936</v>
      </c>
      <c r="W649">
        <v>9.3564093471107265E-2</v>
      </c>
      <c r="X649">
        <v>1.6954418726729412E-2</v>
      </c>
      <c r="Y649">
        <v>3.803273694662922E-3</v>
      </c>
    </row>
    <row r="650" spans="1:25" x14ac:dyDescent="0.25">
      <c r="A650" s="1096"/>
      <c r="B650" s="1455">
        <v>400</v>
      </c>
      <c r="C650" s="1100">
        <v>0.97811260808646894</v>
      </c>
      <c r="D650" s="1100">
        <v>0.9856673617577123</v>
      </c>
      <c r="E650" s="1100">
        <v>0.96509315518743355</v>
      </c>
      <c r="F650" s="1100">
        <v>0.96959691663417225</v>
      </c>
      <c r="G650" s="1100">
        <v>0.97428856607086245</v>
      </c>
      <c r="H650" s="1100">
        <v>1.0166029486563148</v>
      </c>
      <c r="I650" s="1100">
        <v>0.98701727399208572</v>
      </c>
      <c r="K650">
        <v>2.1849173367112869</v>
      </c>
      <c r="L650">
        <v>0</v>
      </c>
      <c r="M650">
        <v>1.7334050219082414E-3</v>
      </c>
      <c r="N650">
        <v>0.14185579816369132</v>
      </c>
      <c r="O650">
        <v>2.0236145129127258E-2</v>
      </c>
      <c r="P650">
        <v>2.4961940789461221E-2</v>
      </c>
      <c r="Q650">
        <v>5.446974393428736E-3</v>
      </c>
      <c r="R650">
        <v>1.709439733364522E-3</v>
      </c>
      <c r="S650">
        <v>0.24655246727577237</v>
      </c>
      <c r="T650">
        <v>1.3029651180186668</v>
      </c>
      <c r="U650">
        <v>0.14588543686373887</v>
      </c>
      <c r="V650">
        <v>0.18311684196452616</v>
      </c>
      <c r="W650">
        <v>9.5170708892900927E-2</v>
      </c>
      <c r="X650">
        <v>1.4097339070951316E-2</v>
      </c>
      <c r="Y650">
        <v>4.6525314375615735E-3</v>
      </c>
    </row>
    <row r="651" spans="1:25" x14ac:dyDescent="0.25">
      <c r="A651" s="1096"/>
      <c r="B651" s="1455">
        <v>401</v>
      </c>
      <c r="C651" s="1100">
        <v>1.0243232262289605</v>
      </c>
      <c r="D651" s="1100">
        <v>0.98830608255918118</v>
      </c>
      <c r="E651" s="1100">
        <v>0.99906917234952008</v>
      </c>
      <c r="F651" s="1100">
        <v>1.024726040007685</v>
      </c>
      <c r="G651" s="1100">
        <v>0.9852750029133267</v>
      </c>
      <c r="H651" s="1100">
        <v>0.99302575473738108</v>
      </c>
      <c r="I651" s="1100">
        <v>1.0023457424299023</v>
      </c>
      <c r="K651">
        <v>2.2320177634963283</v>
      </c>
      <c r="L651">
        <v>0</v>
      </c>
      <c r="M651">
        <v>1.5062059382843027E-3</v>
      </c>
      <c r="N651">
        <v>0.13656060237972634</v>
      </c>
      <c r="O651">
        <v>1.9332576983944499E-2</v>
      </c>
      <c r="P651">
        <v>2.6386891242594926E-2</v>
      </c>
      <c r="Q651">
        <v>5.3863904339907674E-3</v>
      </c>
      <c r="R651">
        <v>1.4848873805473389E-3</v>
      </c>
      <c r="S651">
        <v>0.23716979830544421</v>
      </c>
      <c r="T651">
        <v>1.3770905756965173</v>
      </c>
      <c r="U651">
        <v>0.1393802061931502</v>
      </c>
      <c r="V651">
        <v>0.18165238765161143</v>
      </c>
      <c r="W651">
        <v>8.9760695579109623E-2</v>
      </c>
      <c r="X651">
        <v>1.5277583631118367E-2</v>
      </c>
      <c r="Y651">
        <v>4.0413739568564127E-3</v>
      </c>
    </row>
    <row r="652" spans="1:25" x14ac:dyDescent="0.25">
      <c r="A652" s="1096"/>
      <c r="B652" s="1455">
        <v>402</v>
      </c>
      <c r="C652" s="1100">
        <v>1.0324341550497602</v>
      </c>
      <c r="D652" s="1100">
        <v>0.98321288064044032</v>
      </c>
      <c r="E652" s="1100">
        <v>0.98591948893788928</v>
      </c>
      <c r="F652" s="1100">
        <v>1.0062416545665154</v>
      </c>
      <c r="G652" s="1100">
        <v>0.98396394771621454</v>
      </c>
      <c r="H652" s="1100">
        <v>1.0164266686782921</v>
      </c>
      <c r="I652" s="1100">
        <v>1.0221730001824545</v>
      </c>
      <c r="K652">
        <v>2.2111025536723754</v>
      </c>
      <c r="L652">
        <v>0</v>
      </c>
      <c r="M652">
        <v>1.5736217547869483E-3</v>
      </c>
      <c r="N652">
        <v>0.13715819635414164</v>
      </c>
      <c r="O652">
        <v>1.9194536496966473E-2</v>
      </c>
      <c r="P652">
        <v>2.5838559288186857E-2</v>
      </c>
      <c r="Q652">
        <v>5.277416366017358E-3</v>
      </c>
      <c r="R652">
        <v>1.5518617855816252E-3</v>
      </c>
      <c r="S652">
        <v>0.24234608130791993</v>
      </c>
      <c r="T652">
        <v>1.3522312074267564</v>
      </c>
      <c r="U652">
        <v>0.13825592952041776</v>
      </c>
      <c r="V652">
        <v>0.18103814648303149</v>
      </c>
      <c r="W652">
        <v>9.0865070020247629E-2</v>
      </c>
      <c r="X652">
        <v>1.4695514168640254E-2</v>
      </c>
      <c r="Y652">
        <v>4.2236562092530551E-3</v>
      </c>
    </row>
    <row r="653" spans="1:25" x14ac:dyDescent="0.25">
      <c r="A653" s="1096"/>
      <c r="B653" s="1455">
        <v>403</v>
      </c>
      <c r="C653" s="1100">
        <v>0.99380680604312888</v>
      </c>
      <c r="D653" s="1100">
        <v>0.97684425880193237</v>
      </c>
      <c r="E653" s="1100">
        <v>0.99750191606692573</v>
      </c>
      <c r="F653" s="1100">
        <v>0.97067571277113551</v>
      </c>
      <c r="G653" s="1100">
        <v>1.0139360455996382</v>
      </c>
      <c r="H653" s="1100">
        <v>1.0180839860001161</v>
      </c>
      <c r="I653" s="1100">
        <v>0.98986545161203632</v>
      </c>
      <c r="K653">
        <v>2.189782595952392</v>
      </c>
      <c r="L653">
        <v>0</v>
      </c>
      <c r="M653">
        <v>1.6009160400633727E-3</v>
      </c>
      <c r="N653">
        <v>0.14451283229143819</v>
      </c>
      <c r="O653">
        <v>1.9976427866769845E-2</v>
      </c>
      <c r="P653">
        <v>2.5597708198954301E-2</v>
      </c>
      <c r="Q653">
        <v>5.5570088399631195E-3</v>
      </c>
      <c r="R653">
        <v>1.578814683730305E-3</v>
      </c>
      <c r="S653">
        <v>0.24482369333331053</v>
      </c>
      <c r="T653">
        <v>1.3044520194501641</v>
      </c>
      <c r="U653">
        <v>0.14365646749753991</v>
      </c>
      <c r="V653">
        <v>0.18666910589033708</v>
      </c>
      <c r="W653">
        <v>9.5076303422531747E-2</v>
      </c>
      <c r="X653">
        <v>1.5186117404724742E-2</v>
      </c>
      <c r="Y653">
        <v>4.297013112993275E-3</v>
      </c>
    </row>
    <row r="654" spans="1:25" x14ac:dyDescent="0.25">
      <c r="A654" s="1096"/>
      <c r="B654" s="1455">
        <v>404</v>
      </c>
      <c r="C654" s="1100">
        <v>1.0030767526521904</v>
      </c>
      <c r="D654" s="1100">
        <v>0.97441086856269876</v>
      </c>
      <c r="E654" s="1100">
        <v>0.98341937049877726</v>
      </c>
      <c r="F654" s="1100">
        <v>0.98050053863718212</v>
      </c>
      <c r="G654" s="1100">
        <v>1.0187129374379655</v>
      </c>
      <c r="H654" s="1100">
        <v>0.98088837108234317</v>
      </c>
      <c r="I654" s="1100">
        <v>1.0139012086938022</v>
      </c>
      <c r="K654">
        <v>2.1882046416357661</v>
      </c>
      <c r="L654">
        <v>0</v>
      </c>
      <c r="M654">
        <v>1.5742660333234325E-3</v>
      </c>
      <c r="N654">
        <v>0.1361114799837117</v>
      </c>
      <c r="O654">
        <v>1.9793871808959588E-2</v>
      </c>
      <c r="P654">
        <v>2.5497813421534399E-2</v>
      </c>
      <c r="Q654">
        <v>5.4284238877327206E-3</v>
      </c>
      <c r="R654">
        <v>1.5517084528053518E-3</v>
      </c>
      <c r="S654">
        <v>0.24562201702322622</v>
      </c>
      <c r="T654">
        <v>1.3176360968008631</v>
      </c>
      <c r="U654">
        <v>0.14229659039711104</v>
      </c>
      <c r="V654">
        <v>0.18664539562837898</v>
      </c>
      <c r="W654">
        <v>9.0307362692335802E-2</v>
      </c>
      <c r="X654">
        <v>1.4664908684444946E-2</v>
      </c>
      <c r="Y654">
        <v>4.2232388879821746E-3</v>
      </c>
    </row>
    <row r="655" spans="1:25" x14ac:dyDescent="0.25">
      <c r="A655" s="1096"/>
      <c r="B655" s="1455">
        <v>405</v>
      </c>
      <c r="C655" s="1100">
        <v>0.98220290418875877</v>
      </c>
      <c r="D655" s="1100">
        <v>0.98406909100707873</v>
      </c>
      <c r="E655" s="1100">
        <v>0.98912397921929229</v>
      </c>
      <c r="F655" s="1100">
        <v>1.0390102659363987</v>
      </c>
      <c r="G655" s="1100">
        <v>1.0178838979854812</v>
      </c>
      <c r="H655" s="1100">
        <v>0.99908558516554968</v>
      </c>
      <c r="I655" s="1100">
        <v>1.0192849719604609</v>
      </c>
      <c r="K655">
        <v>2.2902231718220194</v>
      </c>
      <c r="L655">
        <v>0</v>
      </c>
      <c r="M655">
        <v>1.6148188633380129E-3</v>
      </c>
      <c r="N655">
        <v>0.14208491713379937</v>
      </c>
      <c r="O655">
        <v>2.0174350174002768E-2</v>
      </c>
      <c r="P655">
        <v>2.6821839758589264E-2</v>
      </c>
      <c r="Q655">
        <v>5.5648299348923956E-3</v>
      </c>
      <c r="R655">
        <v>1.592101647839531E-3</v>
      </c>
      <c r="S655">
        <v>0.25248888135733671</v>
      </c>
      <c r="T655">
        <v>1.396271483859727</v>
      </c>
      <c r="U655">
        <v>0.14533403053680807</v>
      </c>
      <c r="V655">
        <v>0.18781318695749508</v>
      </c>
      <c r="W655">
        <v>9.3948063631757769E-2</v>
      </c>
      <c r="X655">
        <v>1.541112984385852E-2</v>
      </c>
      <c r="Y655">
        <v>4.3331758492520462E-3</v>
      </c>
    </row>
    <row r="656" spans="1:25" x14ac:dyDescent="0.25">
      <c r="A656" s="1096"/>
      <c r="B656" s="1455">
        <v>406</v>
      </c>
      <c r="C656" s="1100">
        <v>0.97643481438393853</v>
      </c>
      <c r="D656" s="1100">
        <v>0.98585092123235307</v>
      </c>
      <c r="E656" s="1100">
        <v>1.0212760009178263</v>
      </c>
      <c r="F656" s="1100">
        <v>0.97523358023741313</v>
      </c>
      <c r="G656" s="1100">
        <v>0.98642808017007266</v>
      </c>
      <c r="H656" s="1100">
        <v>1.0348182348201165</v>
      </c>
      <c r="I656" s="1100">
        <v>0.9718507174217268</v>
      </c>
      <c r="K656">
        <v>2.2108700428339279</v>
      </c>
      <c r="L656">
        <v>0</v>
      </c>
      <c r="M656">
        <v>1.5731958511105149E-3</v>
      </c>
      <c r="N656">
        <v>0.1526129447538577</v>
      </c>
      <c r="O656">
        <v>2.0306101202499722E-2</v>
      </c>
      <c r="P656">
        <v>2.6148350978812816E-2</v>
      </c>
      <c r="Q656">
        <v>5.7846171346722522E-3</v>
      </c>
      <c r="R656">
        <v>1.5518284011114536E-3</v>
      </c>
      <c r="S656">
        <v>0.24504888128333668</v>
      </c>
      <c r="T656">
        <v>1.310618766363645</v>
      </c>
      <c r="U656">
        <v>0.14626843241488049</v>
      </c>
      <c r="V656">
        <v>0.18464359066050118</v>
      </c>
      <c r="W656">
        <v>9.9006982573892621E-2</v>
      </c>
      <c r="X656">
        <v>1.6229177570094701E-2</v>
      </c>
      <c r="Y656">
        <v>4.2235653477304333E-3</v>
      </c>
    </row>
    <row r="657" spans="1:25" x14ac:dyDescent="0.25">
      <c r="A657" s="1096"/>
      <c r="B657" s="1455">
        <v>407</v>
      </c>
      <c r="C657" s="1100">
        <v>1.0363514810406287</v>
      </c>
      <c r="D657" s="1100">
        <v>1.0295249283284706</v>
      </c>
      <c r="E657" s="1100">
        <v>1.0156112393907037</v>
      </c>
      <c r="F657" s="1100">
        <v>1.0209178921908113</v>
      </c>
      <c r="G657" s="1100">
        <v>0.97923630107440796</v>
      </c>
      <c r="H657" s="1100">
        <v>0.97253461218875292</v>
      </c>
      <c r="I657" s="1100">
        <v>1.0225128662617775</v>
      </c>
      <c r="K657">
        <v>2.212774435753551</v>
      </c>
      <c r="L657">
        <v>0</v>
      </c>
      <c r="M657">
        <v>1.3961623531869678E-3</v>
      </c>
      <c r="N657">
        <v>0.13302666525874271</v>
      </c>
      <c r="O657">
        <v>1.8947116039685991E-2</v>
      </c>
      <c r="P657">
        <v>2.6541674885758211E-2</v>
      </c>
      <c r="Q657">
        <v>5.3671449250441393E-3</v>
      </c>
      <c r="R657">
        <v>1.3759849703811945E-3</v>
      </c>
      <c r="S657">
        <v>0.23282682265942747</v>
      </c>
      <c r="T657">
        <v>1.3720025174212713</v>
      </c>
      <c r="U657">
        <v>0.13779930206264218</v>
      </c>
      <c r="V657">
        <v>0.18031190528891961</v>
      </c>
      <c r="W657">
        <v>8.6587311180038151E-2</v>
      </c>
      <c r="X657">
        <v>1.5639175918771585E-2</v>
      </c>
      <c r="Y657">
        <v>3.7449774960540312E-3</v>
      </c>
    </row>
    <row r="658" spans="1:25" x14ac:dyDescent="0.25">
      <c r="A658" s="1096"/>
      <c r="B658" s="1455">
        <v>408</v>
      </c>
      <c r="C658" s="1100">
        <v>1.0049343800178194</v>
      </c>
      <c r="D658" s="1100">
        <v>0.99852025691579116</v>
      </c>
      <c r="E658" s="1100">
        <v>1.0062595414053053</v>
      </c>
      <c r="F658" s="1100">
        <v>1.0187949163265508</v>
      </c>
      <c r="G658" s="1100">
        <v>1.0172631640623515</v>
      </c>
      <c r="H658" s="1100">
        <v>0.99610689241537065</v>
      </c>
      <c r="I658" s="1100">
        <v>0.99934214828190793</v>
      </c>
      <c r="K658">
        <v>2.241207187530883</v>
      </c>
      <c r="L658">
        <v>0</v>
      </c>
      <c r="M658">
        <v>1.5137931233223231E-3</v>
      </c>
      <c r="N658">
        <v>0.14026828905974115</v>
      </c>
      <c r="O658">
        <v>1.9665521355359299E-2</v>
      </c>
      <c r="P658">
        <v>2.6561342282643924E-2</v>
      </c>
      <c r="Q658">
        <v>5.5188404248841978E-3</v>
      </c>
      <c r="R658">
        <v>1.4924334522848286E-3</v>
      </c>
      <c r="S658">
        <v>0.24008508644823126</v>
      </c>
      <c r="T658">
        <v>1.3691320487336947</v>
      </c>
      <c r="U658">
        <v>0.14208583833974348</v>
      </c>
      <c r="V658">
        <v>0.18639188075122601</v>
      </c>
      <c r="W658">
        <v>9.1805393576174593E-2</v>
      </c>
      <c r="X658">
        <v>1.5652394353658304E-2</v>
      </c>
      <c r="Y658">
        <v>4.0619118765639799E-3</v>
      </c>
    </row>
    <row r="659" spans="1:25" x14ac:dyDescent="0.25">
      <c r="A659" s="1096"/>
      <c r="B659" s="1455">
        <v>409</v>
      </c>
      <c r="C659" s="1100">
        <v>0.98860120414359554</v>
      </c>
      <c r="D659" s="1100">
        <v>0.97013347646087289</v>
      </c>
      <c r="E659" s="1100">
        <v>1.0001959188031386</v>
      </c>
      <c r="F659" s="1100">
        <v>1.0165564004045549</v>
      </c>
      <c r="G659" s="1100">
        <v>1.0242594081563074</v>
      </c>
      <c r="H659" s="1100">
        <v>1.0059743125409581</v>
      </c>
      <c r="I659" s="1100">
        <v>0.98267290924437656</v>
      </c>
      <c r="K659">
        <v>2.2537484438218387</v>
      </c>
      <c r="L659">
        <v>0</v>
      </c>
      <c r="M659">
        <v>1.5837434502818054E-3</v>
      </c>
      <c r="N659">
        <v>0.14410683851318015</v>
      </c>
      <c r="O659">
        <v>2.011380814653331E-2</v>
      </c>
      <c r="P659">
        <v>2.6512994504200364E-2</v>
      </c>
      <c r="Q659">
        <v>5.6104068931205056E-3</v>
      </c>
      <c r="R659">
        <v>1.561615972286714E-3</v>
      </c>
      <c r="S659">
        <v>0.24421874722196826</v>
      </c>
      <c r="T659">
        <v>1.3661135203955304</v>
      </c>
      <c r="U659">
        <v>0.14441918122263639</v>
      </c>
      <c r="V659">
        <v>0.18815271270214673</v>
      </c>
      <c r="W659">
        <v>9.4657374631617927E-2</v>
      </c>
      <c r="X659">
        <v>1.5614783178900974E-2</v>
      </c>
      <c r="Y659">
        <v>4.250203889997522E-3</v>
      </c>
    </row>
    <row r="660" spans="1:25" x14ac:dyDescent="0.25">
      <c r="A660" s="1096"/>
      <c r="B660" s="1455">
        <v>410</v>
      </c>
      <c r="C660" s="1100">
        <v>1.0207241528117961</v>
      </c>
      <c r="D660" s="1100">
        <v>1.0147705747634566</v>
      </c>
      <c r="E660" s="1100">
        <v>0.97413206808389141</v>
      </c>
      <c r="F660" s="1100">
        <v>0.98045396732119572</v>
      </c>
      <c r="G660" s="1100">
        <v>0.99769521470717226</v>
      </c>
      <c r="H660" s="1100">
        <v>1.005368072658297</v>
      </c>
      <c r="I660" s="1100">
        <v>0.98722838875767627</v>
      </c>
      <c r="K660">
        <v>2.1653035246550361</v>
      </c>
      <c r="L660">
        <v>0</v>
      </c>
      <c r="M660">
        <v>1.6020289358959785E-3</v>
      </c>
      <c r="N660">
        <v>0.13472116070788373</v>
      </c>
      <c r="O660">
        <v>1.9273103556224604E-2</v>
      </c>
      <c r="P660">
        <v>2.5057944256377977E-2</v>
      </c>
      <c r="Q660">
        <v>5.2359114092276485E-3</v>
      </c>
      <c r="R660">
        <v>1.5796324828679929E-3</v>
      </c>
      <c r="S660">
        <v>0.23211541241012887</v>
      </c>
      <c r="T660">
        <v>1.3175632471955558</v>
      </c>
      <c r="U660">
        <v>0.13981553408146499</v>
      </c>
      <c r="V660">
        <v>0.18323963657388265</v>
      </c>
      <c r="W660">
        <v>8.9888072249341006E-2</v>
      </c>
      <c r="X660">
        <v>1.4116659775317109E-2</v>
      </c>
      <c r="Y660">
        <v>4.299238892658647E-3</v>
      </c>
    </row>
    <row r="661" spans="1:25" x14ac:dyDescent="0.25">
      <c r="A661" s="1096"/>
      <c r="B661" s="1455">
        <v>411</v>
      </c>
      <c r="C661" s="1100">
        <v>0.99601911640366381</v>
      </c>
      <c r="D661" s="1100">
        <v>0.96859431880139424</v>
      </c>
      <c r="E661" s="1100">
        <v>1.0083715620503011</v>
      </c>
      <c r="F661" s="1100">
        <v>1.0097829015225663</v>
      </c>
      <c r="G661" s="1100">
        <v>0.98293651538754601</v>
      </c>
      <c r="H661" s="1100">
        <v>0.97400849164664438</v>
      </c>
      <c r="I661" s="1100">
        <v>1.0198923538798907</v>
      </c>
      <c r="K661">
        <v>2.2352997472176317</v>
      </c>
      <c r="L661">
        <v>0</v>
      </c>
      <c r="M661">
        <v>1.4969105995706062E-3</v>
      </c>
      <c r="N661">
        <v>0.13954602821217443</v>
      </c>
      <c r="O661">
        <v>1.9976151404045159E-2</v>
      </c>
      <c r="P661">
        <v>2.6533500182966688E-2</v>
      </c>
      <c r="Q661">
        <v>5.6178800350468973E-3</v>
      </c>
      <c r="R661">
        <v>1.475309935776795E-3</v>
      </c>
      <c r="S661">
        <v>0.24920462359717466</v>
      </c>
      <c r="T661">
        <v>1.3570247690809709</v>
      </c>
      <c r="U661">
        <v>0.14336252143311307</v>
      </c>
      <c r="V661">
        <v>0.18304213868389788</v>
      </c>
      <c r="W661">
        <v>9.1218758618259899E-2</v>
      </c>
      <c r="X661">
        <v>1.5779669324379443E-2</v>
      </c>
      <c r="Y661">
        <v>4.0153073093948137E-3</v>
      </c>
    </row>
    <row r="662" spans="1:25" x14ac:dyDescent="0.25">
      <c r="A662" s="1096"/>
      <c r="B662" s="1455">
        <v>412</v>
      </c>
      <c r="C662" s="1100">
        <v>0.98400975551655978</v>
      </c>
      <c r="D662" s="1100">
        <v>0.97411689757934228</v>
      </c>
      <c r="E662" s="1100">
        <v>0.99269004183678344</v>
      </c>
      <c r="F662" s="1100">
        <v>0.99665225632529386</v>
      </c>
      <c r="G662" s="1100">
        <v>0.9994132304871034</v>
      </c>
      <c r="H662" s="1100">
        <v>0.99913136228614685</v>
      </c>
      <c r="I662" s="1100">
        <v>0.97472917816688776</v>
      </c>
      <c r="K662">
        <v>2.2202759729889339</v>
      </c>
      <c r="L662">
        <v>0</v>
      </c>
      <c r="M662">
        <v>1.6036469146318633E-3</v>
      </c>
      <c r="N662">
        <v>0.14263146703351451</v>
      </c>
      <c r="O662">
        <v>2.0184661947394652E-2</v>
      </c>
      <c r="P662">
        <v>2.5949548117263143E-2</v>
      </c>
      <c r="Q662">
        <v>5.5877688050697859E-3</v>
      </c>
      <c r="R662">
        <v>1.5810878993504065E-3</v>
      </c>
      <c r="S662">
        <v>0.24227116125174841</v>
      </c>
      <c r="T662">
        <v>1.3393537272143599</v>
      </c>
      <c r="U662">
        <v>0.14507549792218727</v>
      </c>
      <c r="V662">
        <v>0.18561752835573103</v>
      </c>
      <c r="W662">
        <v>9.4108335224629733E-2</v>
      </c>
      <c r="X662">
        <v>1.5215636075770103E-2</v>
      </c>
      <c r="Y662">
        <v>4.3032000565458627E-3</v>
      </c>
    </row>
    <row r="663" spans="1:25" x14ac:dyDescent="0.25">
      <c r="A663" s="1096"/>
      <c r="B663" s="1455">
        <v>413</v>
      </c>
      <c r="C663" s="1100">
        <v>1.0156726065042812</v>
      </c>
      <c r="D663" s="1100">
        <v>0.98328433109897428</v>
      </c>
      <c r="E663" s="1100">
        <v>1.0138480190588774</v>
      </c>
      <c r="F663" s="1100">
        <v>1.0198504838327813</v>
      </c>
      <c r="G663" s="1100">
        <v>0.98619588711013551</v>
      </c>
      <c r="H663" s="1100">
        <v>0.97451496873669086</v>
      </c>
      <c r="I663" s="1100">
        <v>0.98315690734866723</v>
      </c>
      <c r="K663">
        <v>2.2251317980786824</v>
      </c>
      <c r="L663">
        <v>0</v>
      </c>
      <c r="M663">
        <v>1.4472895287600596E-3</v>
      </c>
      <c r="N663">
        <v>0.1371703119205103</v>
      </c>
      <c r="O663">
        <v>1.9528230455863639E-2</v>
      </c>
      <c r="P663">
        <v>2.6567467011670235E-2</v>
      </c>
      <c r="Q663">
        <v>5.5220408263553997E-3</v>
      </c>
      <c r="R663">
        <v>1.4264157593042836E-3</v>
      </c>
      <c r="S663">
        <v>0.23387872225223313</v>
      </c>
      <c r="T663">
        <v>1.3705646021339932</v>
      </c>
      <c r="U663">
        <v>0.14060086013870329</v>
      </c>
      <c r="V663">
        <v>0.18226273822975</v>
      </c>
      <c r="W663">
        <v>8.9376953126051234E-2</v>
      </c>
      <c r="X663">
        <v>1.5798512274011516E-2</v>
      </c>
      <c r="Y663">
        <v>3.8822334789975791E-3</v>
      </c>
    </row>
    <row r="664" spans="1:25" x14ac:dyDescent="0.25">
      <c r="A664" s="1096"/>
      <c r="B664" s="1455">
        <v>414</v>
      </c>
      <c r="C664" s="1100">
        <v>0.98743960821900478</v>
      </c>
      <c r="D664" s="1100">
        <v>1.022082657922964</v>
      </c>
      <c r="E664" s="1100">
        <v>0.98879074133510081</v>
      </c>
      <c r="F664" s="1100">
        <v>1.019022263357569</v>
      </c>
      <c r="G664" s="1100">
        <v>0.95692967964506115</v>
      </c>
      <c r="H664" s="1100">
        <v>0.97728787921979143</v>
      </c>
      <c r="I664" s="1100">
        <v>0.97434614363213468</v>
      </c>
      <c r="K664">
        <v>2.226757806466821</v>
      </c>
      <c r="L664">
        <v>0</v>
      </c>
      <c r="M664">
        <v>1.5592390108458401E-3</v>
      </c>
      <c r="N664">
        <v>0.13701276267369852</v>
      </c>
      <c r="O664">
        <v>1.9900517049532936E-2</v>
      </c>
      <c r="P664">
        <v>2.6091685783116447E-2</v>
      </c>
      <c r="Q664">
        <v>5.4874469655903898E-3</v>
      </c>
      <c r="R664">
        <v>1.53681443917734E-3</v>
      </c>
      <c r="S664">
        <v>0.23386725880623474</v>
      </c>
      <c r="T664">
        <v>1.3694101950973432</v>
      </c>
      <c r="U664">
        <v>0.14456250266806475</v>
      </c>
      <c r="V664">
        <v>0.18060241762926429</v>
      </c>
      <c r="W664">
        <v>9.061240302118595E-2</v>
      </c>
      <c r="X664">
        <v>1.5050339051759993E-2</v>
      </c>
      <c r="Y664">
        <v>4.1827022926970003E-3</v>
      </c>
    </row>
    <row r="665" spans="1:25" x14ac:dyDescent="0.25">
      <c r="A665" s="1096"/>
      <c r="B665" s="1455">
        <v>415</v>
      </c>
      <c r="C665" s="1100">
        <v>0.98664577729038294</v>
      </c>
      <c r="D665" s="1100">
        <v>1.0105075291987353</v>
      </c>
      <c r="E665" s="1100">
        <v>0.98923178393219957</v>
      </c>
      <c r="F665" s="1100">
        <v>1.0070350090996696</v>
      </c>
      <c r="G665" s="1100">
        <v>1.040439960588085</v>
      </c>
      <c r="H665" s="1100">
        <v>0.97720129906453368</v>
      </c>
      <c r="I665" s="1100">
        <v>0.99642166757333062</v>
      </c>
      <c r="K665">
        <v>2.2280594187174554</v>
      </c>
      <c r="L665">
        <v>0</v>
      </c>
      <c r="M665">
        <v>1.5628420378720218E-3</v>
      </c>
      <c r="N665">
        <v>0.13751244775427895</v>
      </c>
      <c r="O665">
        <v>1.9966774541449284E-2</v>
      </c>
      <c r="P665">
        <v>2.6105109928826233E-2</v>
      </c>
      <c r="Q665">
        <v>5.5081733596148812E-3</v>
      </c>
      <c r="R665">
        <v>1.540363656991012E-3</v>
      </c>
      <c r="S665">
        <v>0.24071819404147182</v>
      </c>
      <c r="T665">
        <v>1.3533017579500559</v>
      </c>
      <c r="U665">
        <v>0.14467984146920265</v>
      </c>
      <c r="V665">
        <v>0.19009106992205435</v>
      </c>
      <c r="W665">
        <v>9.091882238627369E-2</v>
      </c>
      <c r="X665">
        <v>1.5087343651520532E-2</v>
      </c>
      <c r="Y665">
        <v>4.1923620935864778E-3</v>
      </c>
    </row>
    <row r="666" spans="1:25" x14ac:dyDescent="0.25">
      <c r="A666" s="1096"/>
      <c r="B666" s="1455">
        <v>416</v>
      </c>
      <c r="C666" s="1100">
        <v>1.0035023323616212</v>
      </c>
      <c r="D666" s="1100">
        <v>0.96091102738894651</v>
      </c>
      <c r="E666" s="1100">
        <v>1.0386503631210646</v>
      </c>
      <c r="F666" s="1100">
        <v>0.98608233956114566</v>
      </c>
      <c r="G666" s="1100">
        <v>1.0148218061486727</v>
      </c>
      <c r="H666" s="1100">
        <v>0.98896854039728166</v>
      </c>
      <c r="I666" s="1100">
        <v>1.0350445932373542</v>
      </c>
      <c r="K666">
        <v>2.2183431102731461</v>
      </c>
      <c r="L666">
        <v>0</v>
      </c>
      <c r="M666">
        <v>1.4188974762926584E-3</v>
      </c>
      <c r="N666">
        <v>0.14495362060781256</v>
      </c>
      <c r="O666">
        <v>1.9881038807058365E-2</v>
      </c>
      <c r="P666">
        <v>2.6771871171490071E-2</v>
      </c>
      <c r="Q666">
        <v>5.76165995305863E-3</v>
      </c>
      <c r="R666">
        <v>1.398732277094339E-3</v>
      </c>
      <c r="S666">
        <v>0.25352514094866269</v>
      </c>
      <c r="T666">
        <v>1.325236725693524</v>
      </c>
      <c r="U666">
        <v>0.14236316830675261</v>
      </c>
      <c r="V666">
        <v>0.18622964808112949</v>
      </c>
      <c r="W666">
        <v>9.3094349016662414E-2</v>
      </c>
      <c r="X666">
        <v>1.6739164719913636E-2</v>
      </c>
      <c r="Y666">
        <v>3.8068881662795687E-3</v>
      </c>
    </row>
    <row r="667" spans="1:25" x14ac:dyDescent="0.25">
      <c r="A667" s="1096"/>
      <c r="B667" s="1455">
        <v>417</v>
      </c>
      <c r="C667" s="1100">
        <v>1.0191532541983106</v>
      </c>
      <c r="D667" s="1100">
        <v>0.9821025462124684</v>
      </c>
      <c r="E667" s="1100">
        <v>0.99228553223087068</v>
      </c>
      <c r="F667" s="1100">
        <v>0.95480022762648498</v>
      </c>
      <c r="G667" s="1100">
        <v>0.9776201293455139</v>
      </c>
      <c r="H667" s="1100">
        <v>0.98790066591062664</v>
      </c>
      <c r="I667" s="1100">
        <v>1.0010484416245855</v>
      </c>
      <c r="K667">
        <v>2.136672138133052</v>
      </c>
      <c r="L667">
        <v>0</v>
      </c>
      <c r="M667">
        <v>1.5294780919835002E-3</v>
      </c>
      <c r="N667">
        <v>0.13584647023975288</v>
      </c>
      <c r="O667">
        <v>1.9453411385149381E-2</v>
      </c>
      <c r="P667">
        <v>2.4996181852888842E-2</v>
      </c>
      <c r="Q667">
        <v>5.3831365567758721E-3</v>
      </c>
      <c r="R667">
        <v>1.5077178380391749E-3</v>
      </c>
      <c r="S667">
        <v>0.23836087089144881</v>
      </c>
      <c r="T667">
        <v>1.2831102178609357</v>
      </c>
      <c r="U667">
        <v>0.14007194153696156</v>
      </c>
      <c r="V667">
        <v>0.18107506127911938</v>
      </c>
      <c r="W667">
        <v>8.9653269884007306E-2</v>
      </c>
      <c r="X667">
        <v>1.4639825963864471E-2</v>
      </c>
      <c r="Y667">
        <v>4.1035109360909013E-3</v>
      </c>
    </row>
    <row r="668" spans="1:25" x14ac:dyDescent="0.25">
      <c r="A668" s="1096"/>
      <c r="B668" s="1455">
        <v>418</v>
      </c>
      <c r="C668" s="1100">
        <v>0.98186742871292887</v>
      </c>
      <c r="D668" s="1100">
        <v>1.0227462990629907</v>
      </c>
      <c r="E668" s="1100">
        <v>1.0140700105802076</v>
      </c>
      <c r="F668" s="1100">
        <v>1.0209721207401068</v>
      </c>
      <c r="G668" s="1100">
        <v>1.0209698726174614</v>
      </c>
      <c r="H668" s="1100">
        <v>0.99775196599472704</v>
      </c>
      <c r="I668" s="1100">
        <v>1.0152108650186886</v>
      </c>
      <c r="K668">
        <v>2.2633609022428298</v>
      </c>
      <c r="L668">
        <v>0</v>
      </c>
      <c r="M668">
        <v>1.5189043834940078E-3</v>
      </c>
      <c r="N668">
        <v>0.14410335908729013</v>
      </c>
      <c r="O668">
        <v>2.0026603345323548E-2</v>
      </c>
      <c r="P668">
        <v>2.6920356712237102E-2</v>
      </c>
      <c r="Q668">
        <v>5.6642209020088159E-3</v>
      </c>
      <c r="R668">
        <v>1.497507928716944E-3</v>
      </c>
      <c r="S668">
        <v>0.2468634250520067</v>
      </c>
      <c r="T668">
        <v>1.3720723854197174</v>
      </c>
      <c r="U668">
        <v>0.14544219526035054</v>
      </c>
      <c r="V668">
        <v>0.18820495512432653</v>
      </c>
      <c r="W668">
        <v>9.3882111803501672E-2</v>
      </c>
      <c r="X668">
        <v>1.6126963062229875E-2</v>
      </c>
      <c r="Y668">
        <v>4.0757229286114928E-3</v>
      </c>
    </row>
    <row r="669" spans="1:25" x14ac:dyDescent="0.25">
      <c r="A669" s="1096"/>
      <c r="B669" s="1455">
        <v>419</v>
      </c>
      <c r="C669" s="1100">
        <v>0.98140488962645844</v>
      </c>
      <c r="D669" s="1100">
        <v>0.97055938843201639</v>
      </c>
      <c r="E669" s="1100">
        <v>1.0040110056947209</v>
      </c>
      <c r="F669" s="1100">
        <v>0.97538090584090886</v>
      </c>
      <c r="G669" s="1100">
        <v>0.95512535830627054</v>
      </c>
      <c r="H669" s="1100">
        <v>1.0084790595030966</v>
      </c>
      <c r="I669" s="1100">
        <v>0.97957472762367126</v>
      </c>
      <c r="K669">
        <v>2.1956688731749914</v>
      </c>
      <c r="L669">
        <v>0</v>
      </c>
      <c r="M669">
        <v>1.5865648458588508E-3</v>
      </c>
      <c r="N669">
        <v>0.14604203004750343</v>
      </c>
      <c r="O669">
        <v>2.026178472570812E-2</v>
      </c>
      <c r="P669">
        <v>2.5761345557305068E-2</v>
      </c>
      <c r="Q669">
        <v>5.6733721004673171E-3</v>
      </c>
      <c r="R669">
        <v>1.5644530040168213E-3</v>
      </c>
      <c r="S669">
        <v>0.24541115443179159</v>
      </c>
      <c r="T669">
        <v>1.3107853509516663</v>
      </c>
      <c r="U669">
        <v>0.14548711178352081</v>
      </c>
      <c r="V669">
        <v>0.18078157769594944</v>
      </c>
      <c r="W669">
        <v>9.5711606383305392E-2</v>
      </c>
      <c r="X669">
        <v>1.5517725984472578E-2</v>
      </c>
      <c r="Y669">
        <v>4.2579253551396166E-3</v>
      </c>
    </row>
    <row r="670" spans="1:25" x14ac:dyDescent="0.25">
      <c r="A670" s="1096"/>
      <c r="B670" s="1455">
        <v>420</v>
      </c>
      <c r="C670" s="1100">
        <v>1.0032143612032511</v>
      </c>
      <c r="D670" s="1100">
        <v>1.0093123091203751</v>
      </c>
      <c r="E670" s="1100">
        <v>0.98818106120893812</v>
      </c>
      <c r="F670" s="1100">
        <v>1.0166532490697877</v>
      </c>
      <c r="G670" s="1100">
        <v>0.97751038429350801</v>
      </c>
      <c r="H670" s="1100">
        <v>1.0271416744041986</v>
      </c>
      <c r="I670" s="1100">
        <v>0.9818789811289047</v>
      </c>
      <c r="K670">
        <v>2.2344467572534854</v>
      </c>
      <c r="L670">
        <v>0</v>
      </c>
      <c r="M670">
        <v>1.619522102568694E-3</v>
      </c>
      <c r="N670">
        <v>0.14214842205959441</v>
      </c>
      <c r="O670">
        <v>1.9641475103385257E-2</v>
      </c>
      <c r="P670">
        <v>2.607132963467711E-2</v>
      </c>
      <c r="Q670">
        <v>5.4126783561500649E-3</v>
      </c>
      <c r="R670">
        <v>1.5973610437681352E-3</v>
      </c>
      <c r="S670">
        <v>0.23732502156445437</v>
      </c>
      <c r="T670">
        <v>1.3662257707664522</v>
      </c>
      <c r="U670">
        <v>0.14228797494418996</v>
      </c>
      <c r="V670">
        <v>0.18198380150237398</v>
      </c>
      <c r="W670">
        <v>9.4043217143650173E-2</v>
      </c>
      <c r="X670">
        <v>1.4981737046144894E-2</v>
      </c>
      <c r="Y670">
        <v>4.3474901912103053E-3</v>
      </c>
    </row>
    <row r="671" spans="1:25" x14ac:dyDescent="0.25">
      <c r="A671" s="1096"/>
      <c r="B671" s="1455">
        <v>421</v>
      </c>
      <c r="C671" s="1100">
        <v>0.99733532645735057</v>
      </c>
      <c r="D671" s="1100">
        <v>1.0277959290570597</v>
      </c>
      <c r="E671" s="1100">
        <v>1.0087643265511588</v>
      </c>
      <c r="F671" s="1100">
        <v>0.99874501375161562</v>
      </c>
      <c r="G671" s="1100">
        <v>0.99987254444757856</v>
      </c>
      <c r="H671" s="1100">
        <v>1.0114753246982597</v>
      </c>
      <c r="I671" s="1100">
        <v>1.028201523899408</v>
      </c>
      <c r="K671">
        <v>2.2246041120079174</v>
      </c>
      <c r="L671">
        <v>0</v>
      </c>
      <c r="M671">
        <v>1.5310603017960249E-3</v>
      </c>
      <c r="N671">
        <v>0.14297641621030838</v>
      </c>
      <c r="O671">
        <v>1.9691345758397372E-2</v>
      </c>
      <c r="P671">
        <v>2.6324792393307966E-2</v>
      </c>
      <c r="Q671">
        <v>5.5399607356304628E-3</v>
      </c>
      <c r="R671">
        <v>1.5097852326415361E-3</v>
      </c>
      <c r="S671">
        <v>0.24663047526182608</v>
      </c>
      <c r="T671">
        <v>1.3421918946038518</v>
      </c>
      <c r="U671">
        <v>0.14317422997482609</v>
      </c>
      <c r="V671">
        <v>0.18487822000900531</v>
      </c>
      <c r="W671">
        <v>9.3439474399030206E-2</v>
      </c>
      <c r="X671">
        <v>1.5669440028205923E-2</v>
      </c>
      <c r="Y671">
        <v>4.1091377026820823E-3</v>
      </c>
    </row>
    <row r="672" spans="1:25" x14ac:dyDescent="0.25">
      <c r="A672" s="1096"/>
      <c r="B672" s="1455">
        <v>422</v>
      </c>
      <c r="C672" s="1100">
        <v>1.0206297596309168</v>
      </c>
      <c r="D672" s="1100">
        <v>0.9808825650875157</v>
      </c>
      <c r="E672" s="1100">
        <v>1.0082110451778261</v>
      </c>
      <c r="F672" s="1100">
        <v>1.011303976123515</v>
      </c>
      <c r="G672" s="1100">
        <v>1.0385995593350448</v>
      </c>
      <c r="H672" s="1100">
        <v>1.0322112513429431</v>
      </c>
      <c r="I672" s="1100">
        <v>1.0432992547987678</v>
      </c>
      <c r="K672">
        <v>2.2483674598317007</v>
      </c>
      <c r="L672">
        <v>0</v>
      </c>
      <c r="M672">
        <v>1.5443346734519117E-3</v>
      </c>
      <c r="N672">
        <v>0.14401606813680345</v>
      </c>
      <c r="O672">
        <v>1.9440370564184746E-2</v>
      </c>
      <c r="P672">
        <v>2.6615796618514657E-2</v>
      </c>
      <c r="Q672">
        <v>5.4663247200516935E-3</v>
      </c>
      <c r="R672">
        <v>1.5233062453179136E-3</v>
      </c>
      <c r="S672">
        <v>0.25198793059355257</v>
      </c>
      <c r="T672">
        <v>1.3590686198141075</v>
      </c>
      <c r="U672">
        <v>0.13990523060891344</v>
      </c>
      <c r="V672">
        <v>0.18789740469697894</v>
      </c>
      <c r="W672">
        <v>9.414966740491057E-2</v>
      </c>
      <c r="X672">
        <v>1.5695137659828783E-2</v>
      </c>
      <c r="Y672">
        <v>4.1459374419865478E-3</v>
      </c>
    </row>
    <row r="673" spans="1:25" x14ac:dyDescent="0.25">
      <c r="A673" s="1096"/>
      <c r="B673" s="1455">
        <v>423</v>
      </c>
      <c r="C673" s="1100">
        <v>0.98526769995278063</v>
      </c>
      <c r="D673" s="1100">
        <v>0.97918768955048741</v>
      </c>
      <c r="E673" s="1100">
        <v>1.0084924784359857</v>
      </c>
      <c r="F673" s="1100">
        <v>0.9726397342469979</v>
      </c>
      <c r="G673" s="1100">
        <v>1.0005401225543353</v>
      </c>
      <c r="H673" s="1100">
        <v>1.011962839487963</v>
      </c>
      <c r="I673" s="1100">
        <v>0.98693233632521993</v>
      </c>
      <c r="K673">
        <v>2.1966842899320591</v>
      </c>
      <c r="L673">
        <v>0</v>
      </c>
      <c r="M673">
        <v>1.5680602914977769E-3</v>
      </c>
      <c r="N673">
        <v>0.14631247309788886</v>
      </c>
      <c r="O673">
        <v>2.014594415402619E-2</v>
      </c>
      <c r="P673">
        <v>2.5857571349699907E-2</v>
      </c>
      <c r="Q673">
        <v>5.6663161940790612E-3</v>
      </c>
      <c r="R673">
        <v>1.5462815806394558E-3</v>
      </c>
      <c r="S673">
        <v>0.24551082999719431</v>
      </c>
      <c r="T673">
        <v>1.3071091018855001</v>
      </c>
      <c r="U673">
        <v>0.14492720169526357</v>
      </c>
      <c r="V673">
        <v>0.18568208083053847</v>
      </c>
      <c r="W673">
        <v>9.5635035789935235E-2</v>
      </c>
      <c r="X673">
        <v>1.5651044917875001E-2</v>
      </c>
      <c r="Y673">
        <v>4.2084687309145337E-3</v>
      </c>
    </row>
    <row r="674" spans="1:25" x14ac:dyDescent="0.25">
      <c r="A674" s="1096"/>
      <c r="B674" s="1455">
        <v>424</v>
      </c>
      <c r="C674" s="1100">
        <v>1.0235706191296221</v>
      </c>
      <c r="D674" s="1100">
        <v>1.014294166709562</v>
      </c>
      <c r="E674" s="1100">
        <v>0.98527153908526133</v>
      </c>
      <c r="F674" s="1100">
        <v>0.97931286187216526</v>
      </c>
      <c r="G674" s="1100">
        <v>1.0138113426877184</v>
      </c>
      <c r="H674" s="1100">
        <v>1.0377388119449202</v>
      </c>
      <c r="I674" s="1100">
        <v>0.96670550475850325</v>
      </c>
      <c r="K674">
        <v>2.1713460480434104</v>
      </c>
      <c r="L674">
        <v>0</v>
      </c>
      <c r="M674">
        <v>1.6116313453012198E-3</v>
      </c>
      <c r="N674">
        <v>0.1402365088012196</v>
      </c>
      <c r="O674">
        <v>1.9228247230047381E-2</v>
      </c>
      <c r="P674">
        <v>2.5228976808836699E-2</v>
      </c>
      <c r="Q674">
        <v>5.2832151954323526E-3</v>
      </c>
      <c r="R674">
        <v>1.5898034620320147E-3</v>
      </c>
      <c r="S674">
        <v>0.22923168508191721</v>
      </c>
      <c r="T674">
        <v>1.3160423164051835</v>
      </c>
      <c r="U674">
        <v>0.13945169268301336</v>
      </c>
      <c r="V674">
        <v>0.18490902399887424</v>
      </c>
      <c r="W674">
        <v>9.294059672705475E-2</v>
      </c>
      <c r="X674">
        <v>1.4488692050017914E-2</v>
      </c>
      <c r="Y674">
        <v>4.3269209450807339E-3</v>
      </c>
    </row>
    <row r="675" spans="1:25" x14ac:dyDescent="0.25">
      <c r="A675" s="1096"/>
      <c r="B675" s="1455">
        <v>425</v>
      </c>
      <c r="C675" s="1100">
        <v>1.0449236230651511</v>
      </c>
      <c r="D675" s="1100">
        <v>1.0320846294700758</v>
      </c>
      <c r="E675" s="1100">
        <v>1.0377200625188074</v>
      </c>
      <c r="F675" s="1100">
        <v>1.005062582964712</v>
      </c>
      <c r="G675" s="1100">
        <v>1.0301907217519053</v>
      </c>
      <c r="H675" s="1100">
        <v>1.0040654649198097</v>
      </c>
      <c r="I675" s="1100">
        <v>1.0298807839925781</v>
      </c>
      <c r="K675">
        <v>2.2073688477707916</v>
      </c>
      <c r="L675">
        <v>0</v>
      </c>
      <c r="M675">
        <v>1.364521098811888E-3</v>
      </c>
      <c r="N675">
        <v>0.13903854246864966</v>
      </c>
      <c r="O675">
        <v>1.8794596562103926E-2</v>
      </c>
      <c r="P675">
        <v>2.6763060586044527E-2</v>
      </c>
      <c r="Q675">
        <v>5.4418164565842872E-3</v>
      </c>
      <c r="R675">
        <v>1.3454202704298712E-3</v>
      </c>
      <c r="S675">
        <v>0.23493274613195464</v>
      </c>
      <c r="T675">
        <v>1.3507428056181419</v>
      </c>
      <c r="U675">
        <v>0.13671776026422267</v>
      </c>
      <c r="V675">
        <v>0.18562102030801039</v>
      </c>
      <c r="W675">
        <v>8.9343401810125775E-2</v>
      </c>
      <c r="X675">
        <v>1.6330407934895718E-2</v>
      </c>
      <c r="Y675">
        <v>3.6617904584371605E-3</v>
      </c>
    </row>
    <row r="676" spans="1:25" x14ac:dyDescent="0.25">
      <c r="A676" s="1096"/>
      <c r="B676" s="1455">
        <v>426</v>
      </c>
      <c r="C676" s="1100">
        <v>0.97350360083822662</v>
      </c>
      <c r="D676" s="1100">
        <v>0.99259354549426138</v>
      </c>
      <c r="E676" s="1100">
        <v>0.99202623146599989</v>
      </c>
      <c r="F676" s="1100">
        <v>1.0163375844241223</v>
      </c>
      <c r="G676" s="1100">
        <v>0.99284695155358083</v>
      </c>
      <c r="H676" s="1100">
        <v>1.0380445094475501</v>
      </c>
      <c r="I676" s="1100">
        <v>1.0071854203839927</v>
      </c>
      <c r="K676">
        <v>2.2718183565215577</v>
      </c>
      <c r="L676">
        <v>0</v>
      </c>
      <c r="M676">
        <v>1.679445770808574E-3</v>
      </c>
      <c r="N676">
        <v>0.1491534610029861</v>
      </c>
      <c r="O676">
        <v>2.0317905321210503E-2</v>
      </c>
      <c r="P676">
        <v>2.6473036837303329E-2</v>
      </c>
      <c r="Q676">
        <v>5.6208871876194189E-3</v>
      </c>
      <c r="R676">
        <v>1.6567061097927215E-3</v>
      </c>
      <c r="S676">
        <v>0.25389474754341929</v>
      </c>
      <c r="T676">
        <v>1.3658069447609924</v>
      </c>
      <c r="U676">
        <v>0.14663960016676739</v>
      </c>
      <c r="V676">
        <v>0.18552525264690142</v>
      </c>
      <c r="W676">
        <v>9.8450620558286239E-2</v>
      </c>
      <c r="X676">
        <v>1.5449632259251304E-2</v>
      </c>
      <c r="Y676">
        <v>4.5090078978334714E-3</v>
      </c>
    </row>
    <row r="677" spans="1:25" x14ac:dyDescent="0.25">
      <c r="A677" s="1096"/>
      <c r="B677" s="1455">
        <v>427</v>
      </c>
      <c r="C677" s="1100">
        <v>1.0274349517004868</v>
      </c>
      <c r="D677" s="1100">
        <v>1.0113189014116784</v>
      </c>
      <c r="E677" s="1100">
        <v>0.9935608741800156</v>
      </c>
      <c r="F677" s="1100">
        <v>1.0067662334456122</v>
      </c>
      <c r="G677" s="1100">
        <v>1.0144381678166636</v>
      </c>
      <c r="H677" s="1100">
        <v>1.0024224446478271</v>
      </c>
      <c r="I677" s="1100">
        <v>1.0013143626364269</v>
      </c>
      <c r="K677">
        <v>2.2060590194976211</v>
      </c>
      <c r="L677">
        <v>0</v>
      </c>
      <c r="M677">
        <v>1.5255182392070561E-3</v>
      </c>
      <c r="N677">
        <v>0.1360465515707211</v>
      </c>
      <c r="O677">
        <v>1.9173330061384913E-2</v>
      </c>
      <c r="P677">
        <v>2.5946653622550886E-2</v>
      </c>
      <c r="Q677">
        <v>5.3124652723587403E-3</v>
      </c>
      <c r="R677">
        <v>1.5041287408523809E-3</v>
      </c>
      <c r="S677">
        <v>0.23419985600187224</v>
      </c>
      <c r="T677">
        <v>1.3529466862734016</v>
      </c>
      <c r="U677">
        <v>0.13894573837403235</v>
      </c>
      <c r="V677">
        <v>0.18476883772225272</v>
      </c>
      <c r="W677">
        <v>8.9716903432782019E-2</v>
      </c>
      <c r="X677">
        <v>1.492964406792404E-2</v>
      </c>
      <c r="Y677">
        <v>4.093742596694018E-3</v>
      </c>
    </row>
    <row r="678" spans="1:25" x14ac:dyDescent="0.25">
      <c r="A678" s="1096"/>
      <c r="B678" s="1455">
        <v>428</v>
      </c>
      <c r="C678" s="1100">
        <v>1.0168052028658467</v>
      </c>
      <c r="D678" s="1100">
        <v>1.0290486302308781</v>
      </c>
      <c r="E678" s="1100">
        <v>1.001594916350325</v>
      </c>
      <c r="F678" s="1100">
        <v>0.98536897577762794</v>
      </c>
      <c r="G678" s="1100">
        <v>0.96152030937871003</v>
      </c>
      <c r="H678" s="1100">
        <v>1.0112902130286494</v>
      </c>
      <c r="I678" s="1100">
        <v>0.9727427927294785</v>
      </c>
      <c r="K678">
        <v>2.17270621986505</v>
      </c>
      <c r="L678">
        <v>0</v>
      </c>
      <c r="M678">
        <v>1.5235744281534816E-3</v>
      </c>
      <c r="N678">
        <v>0.13922950527663192</v>
      </c>
      <c r="O678">
        <v>1.9304738629067127E-2</v>
      </c>
      <c r="P678">
        <v>2.5581257317816224E-2</v>
      </c>
      <c r="Q678">
        <v>5.3923044345924181E-3</v>
      </c>
      <c r="R678">
        <v>1.5023995047798182E-3</v>
      </c>
      <c r="S678">
        <v>0.22865637327410648</v>
      </c>
      <c r="T678">
        <v>1.3242040856288562</v>
      </c>
      <c r="U678">
        <v>0.14041647057139714</v>
      </c>
      <c r="V678">
        <v>0.17939765898951546</v>
      </c>
      <c r="W678">
        <v>9.1377713997548016E-2</v>
      </c>
      <c r="X678">
        <v>1.5078250482743574E-2</v>
      </c>
      <c r="Y678">
        <v>4.0890361861470204E-3</v>
      </c>
    </row>
    <row r="679" spans="1:25" x14ac:dyDescent="0.25">
      <c r="A679" s="1096"/>
      <c r="B679" s="1455">
        <v>429</v>
      </c>
      <c r="C679" s="1100">
        <v>0.95874581329456121</v>
      </c>
      <c r="D679" s="1100">
        <v>1.001475938839324</v>
      </c>
      <c r="E679" s="1100">
        <v>0.99747256626774283</v>
      </c>
      <c r="F679" s="1100">
        <v>1.022410247354133</v>
      </c>
      <c r="G679" s="1100">
        <v>1.0038453729012213</v>
      </c>
      <c r="H679" s="1100">
        <v>1.0232697890315376</v>
      </c>
      <c r="I679" s="1100">
        <v>1.0081539089399525</v>
      </c>
      <c r="K679">
        <v>2.2879002063732403</v>
      </c>
      <c r="L679">
        <v>0</v>
      </c>
      <c r="M679">
        <v>1.6589017902738526E-3</v>
      </c>
      <c r="N679">
        <v>0.14974448106095425</v>
      </c>
      <c r="O679">
        <v>2.0593803882542415E-2</v>
      </c>
      <c r="P679">
        <v>2.6777975086955695E-2</v>
      </c>
      <c r="Q679">
        <v>5.7285802122026344E-3</v>
      </c>
      <c r="R679">
        <v>1.6361159787618572E-3</v>
      </c>
      <c r="S679">
        <v>0.25571368848480863</v>
      </c>
      <c r="T679">
        <v>1.3739759319592164</v>
      </c>
      <c r="U679">
        <v>0.14890986287045843</v>
      </c>
      <c r="V679">
        <v>0.18771135103982203</v>
      </c>
      <c r="W679">
        <v>9.8519974583238565E-2</v>
      </c>
      <c r="X679">
        <v>1.5794374655850003E-2</v>
      </c>
      <c r="Y679">
        <v>4.4529683487023282E-3</v>
      </c>
    </row>
    <row r="680" spans="1:25" x14ac:dyDescent="0.25">
      <c r="A680" s="1096"/>
      <c r="B680" s="1455">
        <v>430</v>
      </c>
      <c r="C680" s="1100">
        <v>1.0248478442178257</v>
      </c>
      <c r="D680" s="1100">
        <v>1.0208239832023649</v>
      </c>
      <c r="E680" s="1100">
        <v>1.0062651635977087</v>
      </c>
      <c r="F680" s="1100">
        <v>1.006121404415002</v>
      </c>
      <c r="G680" s="1100">
        <v>0.98494057413741298</v>
      </c>
      <c r="H680" s="1100">
        <v>0.992416588770064</v>
      </c>
      <c r="I680" s="1100">
        <v>0.96070462410182866</v>
      </c>
      <c r="K680">
        <v>2.1919927785221569</v>
      </c>
      <c r="L680">
        <v>0</v>
      </c>
      <c r="M680">
        <v>1.471692795769102E-3</v>
      </c>
      <c r="N680">
        <v>0.13636232443917096</v>
      </c>
      <c r="O680">
        <v>1.9189920583341742E-2</v>
      </c>
      <c r="P680">
        <v>2.5997853538188453E-2</v>
      </c>
      <c r="Q680">
        <v>5.3854003660956879E-3</v>
      </c>
      <c r="R680">
        <v>1.4508499446821345E-3</v>
      </c>
      <c r="S680">
        <v>0.22356681745345627</v>
      </c>
      <c r="T680">
        <v>1.3521004547461777</v>
      </c>
      <c r="U680">
        <v>0.13932503017255843</v>
      </c>
      <c r="V680">
        <v>0.18159116122232472</v>
      </c>
      <c r="W680">
        <v>8.9248648589173987E-2</v>
      </c>
      <c r="X680">
        <v>1.5297274985885418E-2</v>
      </c>
      <c r="Y680">
        <v>3.9487352768690443E-3</v>
      </c>
    </row>
    <row r="681" spans="1:25" x14ac:dyDescent="0.25">
      <c r="A681" s="1096"/>
      <c r="B681" s="1455">
        <v>431</v>
      </c>
      <c r="C681" s="1100">
        <v>1.0461674118877229</v>
      </c>
      <c r="D681" s="1100">
        <v>0.97320018407779907</v>
      </c>
      <c r="E681" s="1100">
        <v>1.0041662632791699</v>
      </c>
      <c r="F681" s="1100">
        <v>0.98231926310529216</v>
      </c>
      <c r="G681" s="1100">
        <v>1.0045199560449181</v>
      </c>
      <c r="H681" s="1100">
        <v>1.0248588008142943</v>
      </c>
      <c r="I681" s="1100">
        <v>0.99297678620296947</v>
      </c>
      <c r="K681">
        <v>2.1730102997971379</v>
      </c>
      <c r="L681">
        <v>0</v>
      </c>
      <c r="M681">
        <v>1.5111321256397335E-3</v>
      </c>
      <c r="N681">
        <v>0.13919518672811293</v>
      </c>
      <c r="O681">
        <v>1.8996222391475213E-2</v>
      </c>
      <c r="P681">
        <v>2.5641790664879538E-2</v>
      </c>
      <c r="Q681">
        <v>5.3198384091087758E-3</v>
      </c>
      <c r="R681">
        <v>1.4904081830521465E-3</v>
      </c>
      <c r="S681">
        <v>0.23430563847901539</v>
      </c>
      <c r="T681">
        <v>1.3201098589734592</v>
      </c>
      <c r="U681">
        <v>0.1364811395762075</v>
      </c>
      <c r="V681">
        <v>0.18262277605904223</v>
      </c>
      <c r="W681">
        <v>9.1215998374208782E-2</v>
      </c>
      <c r="X681">
        <v>1.5086174322873723E-2</v>
      </c>
      <c r="Y681">
        <v>4.0563997613424427E-3</v>
      </c>
    </row>
    <row r="682" spans="1:25" x14ac:dyDescent="0.25">
      <c r="A682" s="1096"/>
      <c r="B682" s="1455">
        <v>432</v>
      </c>
      <c r="C682" s="1100">
        <v>0.9851713128722358</v>
      </c>
      <c r="D682" s="1100">
        <v>1.0159576810178985</v>
      </c>
      <c r="E682" s="1100">
        <v>1.023719816225976</v>
      </c>
      <c r="F682" s="1100">
        <v>0.99552253911902311</v>
      </c>
      <c r="G682" s="1100">
        <v>0.96997746550447739</v>
      </c>
      <c r="H682" s="1100">
        <v>0.97678053917279417</v>
      </c>
      <c r="I682" s="1100">
        <v>0.99768242538616081</v>
      </c>
      <c r="K682">
        <v>2.21240318376117</v>
      </c>
      <c r="L682">
        <v>0</v>
      </c>
      <c r="M682">
        <v>1.4546681927935399E-3</v>
      </c>
      <c r="N682">
        <v>0.14204249804313079</v>
      </c>
      <c r="O682">
        <v>1.9994821859858451E-2</v>
      </c>
      <c r="P682">
        <v>2.6465801701600976E-2</v>
      </c>
      <c r="Q682">
        <v>5.7097788002491313E-3</v>
      </c>
      <c r="R682">
        <v>1.4337366653537952E-3</v>
      </c>
      <c r="S682">
        <v>0.24096518619248047</v>
      </c>
      <c r="T682">
        <v>1.3378901983561096</v>
      </c>
      <c r="U682">
        <v>0.14497705474570444</v>
      </c>
      <c r="V682">
        <v>0.18224749596493842</v>
      </c>
      <c r="W682">
        <v>9.2018051798231928E-2</v>
      </c>
      <c r="X682">
        <v>1.6211069254375158E-2</v>
      </c>
      <c r="Y682">
        <v>3.9021585719283191E-3</v>
      </c>
    </row>
    <row r="683" spans="1:25" x14ac:dyDescent="0.25">
      <c r="A683" s="1096"/>
      <c r="B683" s="1455">
        <v>433</v>
      </c>
      <c r="C683" s="1100">
        <v>0.98593285446360512</v>
      </c>
      <c r="D683" s="1100">
        <v>0.96416480876216826</v>
      </c>
      <c r="E683" s="1100">
        <v>1.0102639431004854</v>
      </c>
      <c r="F683" s="1100">
        <v>0.9563050864108904</v>
      </c>
      <c r="G683" s="1100">
        <v>1.0079087267328593</v>
      </c>
      <c r="H683" s="1100">
        <v>0.96351750471241204</v>
      </c>
      <c r="I683" s="1100">
        <v>0.97759359801600498</v>
      </c>
      <c r="K683">
        <v>2.1595981325485698</v>
      </c>
      <c r="L683">
        <v>0</v>
      </c>
      <c r="M683">
        <v>1.491570498430366E-3</v>
      </c>
      <c r="N683">
        <v>0.13982262480309973</v>
      </c>
      <c r="O683">
        <v>2.0202081470942247E-2</v>
      </c>
      <c r="P683">
        <v>2.5537955688150937E-2</v>
      </c>
      <c r="Q683">
        <v>5.6921799536492346E-3</v>
      </c>
      <c r="R683">
        <v>1.4698125394976916E-3</v>
      </c>
      <c r="S683">
        <v>0.24104654028381567</v>
      </c>
      <c r="T683">
        <v>1.2851603694202645</v>
      </c>
      <c r="U683">
        <v>0.14483356997639393</v>
      </c>
      <c r="V683">
        <v>0.18647596171441289</v>
      </c>
      <c r="W683">
        <v>9.1297574950675225E-2</v>
      </c>
      <c r="X683">
        <v>1.5550687037160645E-2</v>
      </c>
      <c r="Y683">
        <v>4.0003452089392884E-3</v>
      </c>
    </row>
    <row r="684" spans="1:25" x14ac:dyDescent="0.25">
      <c r="A684" s="1096"/>
      <c r="B684" s="1455">
        <v>434</v>
      </c>
      <c r="C684" s="1100">
        <v>0.99011126013361983</v>
      </c>
      <c r="D684" s="1100">
        <v>0.97987863778801276</v>
      </c>
      <c r="E684" s="1100">
        <v>1.0031039135062036</v>
      </c>
      <c r="F684" s="1100">
        <v>0.99475585068140782</v>
      </c>
      <c r="G684" s="1100">
        <v>0.98568882947562519</v>
      </c>
      <c r="H684" s="1100">
        <v>1.0175409561978666</v>
      </c>
      <c r="I684" s="1100">
        <v>1.0031978609374026</v>
      </c>
      <c r="K684">
        <v>2.2261600448571377</v>
      </c>
      <c r="L684">
        <v>0</v>
      </c>
      <c r="M684">
        <v>1.5863961001214197E-3</v>
      </c>
      <c r="N684">
        <v>0.1456452909645323</v>
      </c>
      <c r="O684">
        <v>2.0040862667165992E-2</v>
      </c>
      <c r="P684">
        <v>2.6166908460647755E-2</v>
      </c>
      <c r="Q684">
        <v>5.6064089941770716E-3</v>
      </c>
      <c r="R684">
        <v>1.5644835101755277E-3</v>
      </c>
      <c r="S684">
        <v>0.2486612909099517</v>
      </c>
      <c r="T684">
        <v>1.3368212561159882</v>
      </c>
      <c r="U684">
        <v>0.14420568582395143</v>
      </c>
      <c r="V684">
        <v>0.18370393069004087</v>
      </c>
      <c r="W684">
        <v>9.5502925329173052E-2</v>
      </c>
      <c r="X684">
        <v>1.5569389108606248E-2</v>
      </c>
      <c r="Y684">
        <v>4.2580083828472623E-3</v>
      </c>
    </row>
    <row r="685" spans="1:25" x14ac:dyDescent="0.25">
      <c r="A685" s="1096"/>
      <c r="B685" s="1455">
        <v>435</v>
      </c>
      <c r="C685" s="1100">
        <v>1.0296405043269461</v>
      </c>
      <c r="D685" s="1100">
        <v>1.0040882243317109</v>
      </c>
      <c r="E685" s="1100">
        <v>1.0035348183110291</v>
      </c>
      <c r="F685" s="1100">
        <v>1.0167203469028627</v>
      </c>
      <c r="G685" s="1100">
        <v>0.990228799459001</v>
      </c>
      <c r="H685" s="1100">
        <v>0.98455379745725513</v>
      </c>
      <c r="I685" s="1100">
        <v>0.95821749479749074</v>
      </c>
      <c r="K685">
        <v>2.2030699117769754</v>
      </c>
      <c r="L685">
        <v>0</v>
      </c>
      <c r="M685">
        <v>1.4668215254643371E-3</v>
      </c>
      <c r="N685">
        <v>0.13477939045258339</v>
      </c>
      <c r="O685">
        <v>1.9168529839521709E-2</v>
      </c>
      <c r="P685">
        <v>2.6130179767465102E-2</v>
      </c>
      <c r="Q685">
        <v>5.3646937384925512E-3</v>
      </c>
      <c r="R685">
        <v>1.445881760636735E-3</v>
      </c>
      <c r="S685">
        <v>0.2231787472121432</v>
      </c>
      <c r="T685">
        <v>1.3663393842329299</v>
      </c>
      <c r="U685">
        <v>0.13867040515863846</v>
      </c>
      <c r="V685">
        <v>0.18191708999579892</v>
      </c>
      <c r="W685">
        <v>8.8355335535272125E-2</v>
      </c>
      <c r="X685">
        <v>1.5251882091296954E-2</v>
      </c>
      <c r="Y685">
        <v>3.9352135176588974E-3</v>
      </c>
    </row>
    <row r="686" spans="1:25" x14ac:dyDescent="0.25">
      <c r="A686" s="1096"/>
      <c r="B686" s="1455">
        <v>436</v>
      </c>
      <c r="C686" s="1100">
        <v>1.0241982707824424</v>
      </c>
      <c r="D686" s="1100">
        <v>1.0209738566746203</v>
      </c>
      <c r="E686" s="1100">
        <v>1.0240531901198775</v>
      </c>
      <c r="F686" s="1100">
        <v>0.97592918624416292</v>
      </c>
      <c r="G686" s="1100">
        <v>0.98747103653934465</v>
      </c>
      <c r="H686" s="1100">
        <v>0.99710556493567681</v>
      </c>
      <c r="I686" s="1100">
        <v>1.0334612917218384</v>
      </c>
      <c r="K686">
        <v>2.1741477560047682</v>
      </c>
      <c r="L686">
        <v>0</v>
      </c>
      <c r="M686">
        <v>1.4258170480514665E-3</v>
      </c>
      <c r="N686">
        <v>0.1394068255803001</v>
      </c>
      <c r="O686">
        <v>1.9212296009659468E-2</v>
      </c>
      <c r="P686">
        <v>2.6027946718945795E-2</v>
      </c>
      <c r="Q686">
        <v>5.488133170544536E-3</v>
      </c>
      <c r="R686">
        <v>1.405718872287512E-3</v>
      </c>
      <c r="S686">
        <v>0.24114646565299033</v>
      </c>
      <c r="T686">
        <v>1.3115592297571304</v>
      </c>
      <c r="U686">
        <v>0.13945347278229325</v>
      </c>
      <c r="V686">
        <v>0.18192965456040444</v>
      </c>
      <c r="W686">
        <v>9.0293050087098772E-2</v>
      </c>
      <c r="X686">
        <v>1.5824876485901054E-2</v>
      </c>
      <c r="Y686">
        <v>3.8259033752648984E-3</v>
      </c>
    </row>
    <row r="687" spans="1:25" x14ac:dyDescent="0.25">
      <c r="A687" s="1096"/>
      <c r="B687" s="1455">
        <v>437</v>
      </c>
      <c r="C687" s="1100">
        <v>0.99143633783724494</v>
      </c>
      <c r="D687" s="1100">
        <v>0.99476235549929004</v>
      </c>
      <c r="E687" s="1100">
        <v>1.0153923157232412</v>
      </c>
      <c r="F687" s="1100">
        <v>0.9976957937818256</v>
      </c>
      <c r="G687" s="1100">
        <v>0.97766996887908819</v>
      </c>
      <c r="H687" s="1100">
        <v>1.0256169407135074</v>
      </c>
      <c r="I687" s="1100">
        <v>0.99723155398017638</v>
      </c>
      <c r="K687">
        <v>2.2295484718941063</v>
      </c>
      <c r="L687">
        <v>0</v>
      </c>
      <c r="M687">
        <v>1.5514501546455423E-3</v>
      </c>
      <c r="N687">
        <v>0.14783701001035168</v>
      </c>
      <c r="O687">
        <v>1.9955572778667718E-2</v>
      </c>
      <c r="P687">
        <v>2.6404668666192989E-2</v>
      </c>
      <c r="Q687">
        <v>5.6515770145660546E-3</v>
      </c>
      <c r="R687">
        <v>1.5301890111712115E-3</v>
      </c>
      <c r="S687">
        <v>0.24575048306442873</v>
      </c>
      <c r="T687">
        <v>1.3407941241439525</v>
      </c>
      <c r="U687">
        <v>0.14404152853499644</v>
      </c>
      <c r="V687">
        <v>0.18272860348676642</v>
      </c>
      <c r="W687">
        <v>9.6239762420142039E-2</v>
      </c>
      <c r="X687">
        <v>1.6001732855781617E-2</v>
      </c>
      <c r="Y687">
        <v>4.1646700617360725E-3</v>
      </c>
    </row>
    <row r="688" spans="1:25" x14ac:dyDescent="0.25">
      <c r="A688" s="1096"/>
      <c r="B688" s="1455">
        <v>438</v>
      </c>
      <c r="C688" s="1100">
        <v>1.0001007090637042</v>
      </c>
      <c r="D688" s="1100">
        <v>1.0336540939477203</v>
      </c>
      <c r="E688" s="1100">
        <v>1.0145811279445009</v>
      </c>
      <c r="F688" s="1100">
        <v>0.98201703254674977</v>
      </c>
      <c r="G688" s="1100">
        <v>0.99636862889329691</v>
      </c>
      <c r="H688" s="1100">
        <v>0.99636895567470973</v>
      </c>
      <c r="I688" s="1100">
        <v>1.0233611022520337</v>
      </c>
      <c r="K688">
        <v>2.1935104747279763</v>
      </c>
      <c r="L688">
        <v>0</v>
      </c>
      <c r="M688">
        <v>1.48409629523617E-3</v>
      </c>
      <c r="N688">
        <v>0.14101557007703161</v>
      </c>
      <c r="O688">
        <v>1.9615972231001425E-2</v>
      </c>
      <c r="P688">
        <v>2.6063996875651117E-2</v>
      </c>
      <c r="Q688">
        <v>5.5509087824365342E-3</v>
      </c>
      <c r="R688">
        <v>1.4631611551985558E-3</v>
      </c>
      <c r="S688">
        <v>0.24291943018704842</v>
      </c>
      <c r="T688">
        <v>1.3197220564120937</v>
      </c>
      <c r="U688">
        <v>0.14279175321021417</v>
      </c>
      <c r="V688">
        <v>0.18432289473999608</v>
      </c>
      <c r="W688">
        <v>9.1842852682809617E-2</v>
      </c>
      <c r="X688">
        <v>1.5703732336223592E-2</v>
      </c>
      <c r="Y688">
        <v>3.9822423335052872E-3</v>
      </c>
    </row>
    <row r="689" spans="1:25" x14ac:dyDescent="0.25">
      <c r="A689" s="1096"/>
      <c r="B689" s="1455">
        <v>439</v>
      </c>
      <c r="C689" s="1100">
        <v>1.0357453472538543</v>
      </c>
      <c r="D689" s="1100">
        <v>1.0016088452765521</v>
      </c>
      <c r="E689" s="1100">
        <v>1.0079149485151819</v>
      </c>
      <c r="F689" s="1100">
        <v>0.98309049812879434</v>
      </c>
      <c r="G689" s="1100">
        <v>1.0200168321135026</v>
      </c>
      <c r="H689" s="1100">
        <v>0.99864124646297525</v>
      </c>
      <c r="I689" s="1100">
        <v>1.0292553491888765</v>
      </c>
      <c r="K689">
        <v>2.1790439734241378</v>
      </c>
      <c r="L689">
        <v>0</v>
      </c>
      <c r="M689">
        <v>1.4664484245824839E-3</v>
      </c>
      <c r="N689">
        <v>0.13656721832417856</v>
      </c>
      <c r="O689">
        <v>1.9068558106529708E-2</v>
      </c>
      <c r="P689">
        <v>2.58532518316507E-2</v>
      </c>
      <c r="Q689">
        <v>5.3601884442556862E-3</v>
      </c>
      <c r="R689">
        <v>1.4458093000908531E-3</v>
      </c>
      <c r="S689">
        <v>0.23976064947905351</v>
      </c>
      <c r="T689">
        <v>1.3211526484022669</v>
      </c>
      <c r="U689">
        <v>0.13786280547179108</v>
      </c>
      <c r="V689">
        <v>0.18494829131893162</v>
      </c>
      <c r="W689">
        <v>8.9295638710180911E-2</v>
      </c>
      <c r="X689">
        <v>1.5260346155848712E-2</v>
      </c>
      <c r="Y689">
        <v>3.9350163039396204E-3</v>
      </c>
    </row>
    <row r="690" spans="1:25" x14ac:dyDescent="0.25">
      <c r="A690" s="1096"/>
      <c r="B690" s="1455">
        <v>440</v>
      </c>
      <c r="C690" s="1100">
        <v>1.0066155008592736</v>
      </c>
      <c r="D690" s="1100">
        <v>1.027864149778458</v>
      </c>
      <c r="E690" s="1100">
        <v>0.96995425282134329</v>
      </c>
      <c r="F690" s="1100">
        <v>0.97210405922833787</v>
      </c>
      <c r="G690" s="1100">
        <v>1.005820265571064</v>
      </c>
      <c r="H690" s="1100">
        <v>0.997980064606935</v>
      </c>
      <c r="I690" s="1100">
        <v>1.0204664183467349</v>
      </c>
      <c r="K690">
        <v>2.1670672448669457</v>
      </c>
      <c r="L690">
        <v>0</v>
      </c>
      <c r="M690">
        <v>1.6219370151823833E-3</v>
      </c>
      <c r="N690">
        <v>0.13466690513967883</v>
      </c>
      <c r="O690">
        <v>1.9485624690149556E-2</v>
      </c>
      <c r="P690">
        <v>2.4997599671055328E-2</v>
      </c>
      <c r="Q690">
        <v>5.2711165808106133E-3</v>
      </c>
      <c r="R690">
        <v>1.5990943856624012E-3</v>
      </c>
      <c r="S690">
        <v>0.24112476272578412</v>
      </c>
      <c r="T690">
        <v>1.306338418541986</v>
      </c>
      <c r="U690">
        <v>0.14176566668627827</v>
      </c>
      <c r="V690">
        <v>0.18496894271503769</v>
      </c>
      <c r="W690">
        <v>9.0080263135180791E-2</v>
      </c>
      <c r="X690">
        <v>1.4038579834051716E-2</v>
      </c>
      <c r="Y690">
        <v>4.3522077764504953E-3</v>
      </c>
    </row>
    <row r="691" spans="1:25" x14ac:dyDescent="0.25">
      <c r="A691" s="1096"/>
      <c r="B691" s="1455">
        <v>441</v>
      </c>
      <c r="C691" s="1100">
        <v>0.96996746404104628</v>
      </c>
      <c r="D691" s="1100">
        <v>1.0382233502281999</v>
      </c>
      <c r="E691" s="1100">
        <v>1.0363581249170704</v>
      </c>
      <c r="F691" s="1100">
        <v>0.9769494072304542</v>
      </c>
      <c r="G691" s="1100">
        <v>1.0103808134149714</v>
      </c>
      <c r="H691" s="1100">
        <v>1.036025381760503</v>
      </c>
      <c r="I691" s="1100">
        <v>1.007554029244355</v>
      </c>
      <c r="K691">
        <v>2.2244553235629625</v>
      </c>
      <c r="L691">
        <v>0</v>
      </c>
      <c r="M691">
        <v>1.5190889251697625E-3</v>
      </c>
      <c r="N691">
        <v>0.15422194013064486</v>
      </c>
      <c r="O691">
        <v>2.0219713385293804E-2</v>
      </c>
      <c r="P691">
        <v>2.6589786691142359E-2</v>
      </c>
      <c r="Q691">
        <v>5.8465993632204312E-3</v>
      </c>
      <c r="R691">
        <v>1.4984804063564695E-3</v>
      </c>
      <c r="S691">
        <v>0.24950776611618017</v>
      </c>
      <c r="T691">
        <v>1.312957239713312</v>
      </c>
      <c r="U691">
        <v>0.14727964568733057</v>
      </c>
      <c r="V691">
        <v>0.18777061549287841</v>
      </c>
      <c r="W691">
        <v>9.9177896172936569E-2</v>
      </c>
      <c r="X691">
        <v>1.682635963666497E-2</v>
      </c>
      <c r="Y691">
        <v>4.0783696921691138E-3</v>
      </c>
    </row>
    <row r="692" spans="1:25" x14ac:dyDescent="0.25">
      <c r="A692" s="1096"/>
      <c r="B692" s="1455">
        <v>442</v>
      </c>
      <c r="C692" s="1100">
        <v>1.0179700680188815</v>
      </c>
      <c r="D692" s="1100">
        <v>1.010376687939222</v>
      </c>
      <c r="E692" s="1100">
        <v>0.98267578500075747</v>
      </c>
      <c r="F692" s="1100">
        <v>0.98364117938072371</v>
      </c>
      <c r="G692" s="1100">
        <v>1.0181246823233034</v>
      </c>
      <c r="H692" s="1100">
        <v>1.0072524730628953</v>
      </c>
      <c r="I692" s="1100">
        <v>0.99515526444280777</v>
      </c>
      <c r="K692">
        <v>2.1790775050961648</v>
      </c>
      <c r="L692">
        <v>0</v>
      </c>
      <c r="M692">
        <v>1.5827089559255307E-3</v>
      </c>
      <c r="N692">
        <v>0.13658595284305602</v>
      </c>
      <c r="O692">
        <v>1.9348916748138593E-2</v>
      </c>
      <c r="P692">
        <v>2.5361000492712081E-2</v>
      </c>
      <c r="Q692">
        <v>5.3023938250926815E-3</v>
      </c>
      <c r="R692">
        <v>1.5606239919900556E-3</v>
      </c>
      <c r="S692">
        <v>0.23532885387062177</v>
      </c>
      <c r="T692">
        <v>1.3218557228102776</v>
      </c>
      <c r="U692">
        <v>0.14021305632649839</v>
      </c>
      <c r="V692">
        <v>0.18571324198455313</v>
      </c>
      <c r="W692">
        <v>9.0662766143525669E-2</v>
      </c>
      <c r="X692">
        <v>1.4480180968986307E-2</v>
      </c>
      <c r="Y692">
        <v>4.2475040466362366E-3</v>
      </c>
    </row>
    <row r="693" spans="1:25" x14ac:dyDescent="0.25">
      <c r="A693" s="1096"/>
      <c r="B693" s="1455">
        <v>443</v>
      </c>
      <c r="C693" s="1100">
        <v>1.0003428426229162</v>
      </c>
      <c r="D693" s="1100">
        <v>0.96802412163254814</v>
      </c>
      <c r="E693" s="1100">
        <v>1.0114209118039004</v>
      </c>
      <c r="F693" s="1100">
        <v>0.97951741727707053</v>
      </c>
      <c r="G693" s="1100">
        <v>0.99381369726821123</v>
      </c>
      <c r="H693" s="1100">
        <v>0.99669823556513026</v>
      </c>
      <c r="I693" s="1100">
        <v>1.0159073540958776</v>
      </c>
      <c r="K693">
        <v>2.1992638447543547</v>
      </c>
      <c r="L693">
        <v>0</v>
      </c>
      <c r="M693">
        <v>1.515725817307261E-3</v>
      </c>
      <c r="N693">
        <v>0.14265438719800067</v>
      </c>
      <c r="O693">
        <v>1.9894307258057922E-2</v>
      </c>
      <c r="P693">
        <v>2.6037568041701122E-2</v>
      </c>
      <c r="Q693">
        <v>5.6119445932937342E-3</v>
      </c>
      <c r="R693">
        <v>1.494351564810831E-3</v>
      </c>
      <c r="S693">
        <v>0.24911587396730836</v>
      </c>
      <c r="T693">
        <v>1.3163570529796318</v>
      </c>
      <c r="U693">
        <v>0.14274990248920139</v>
      </c>
      <c r="V693">
        <v>0.18401689188809087</v>
      </c>
      <c r="W693">
        <v>9.308309792297087E-2</v>
      </c>
      <c r="X693">
        <v>1.5697060322037444E-2</v>
      </c>
      <c r="Y693">
        <v>4.0671323465541346E-3</v>
      </c>
    </row>
    <row r="694" spans="1:25" x14ac:dyDescent="0.25">
      <c r="A694" s="1096"/>
      <c r="B694" s="1455">
        <v>444</v>
      </c>
      <c r="C694" s="1100">
        <v>0.98134988192758954</v>
      </c>
      <c r="D694" s="1100">
        <v>0.99249655679101134</v>
      </c>
      <c r="E694" s="1100">
        <v>0.97231734551220161</v>
      </c>
      <c r="F694" s="1100">
        <v>0.98957429265972019</v>
      </c>
      <c r="G694" s="1100">
        <v>0.95413015369255194</v>
      </c>
      <c r="H694" s="1100">
        <v>0.9934340207836907</v>
      </c>
      <c r="I694" s="1100">
        <v>0.98096217060222424</v>
      </c>
      <c r="K694">
        <v>2.1989105733688685</v>
      </c>
      <c r="L694">
        <v>0</v>
      </c>
      <c r="M694">
        <v>1.6607997131930408E-3</v>
      </c>
      <c r="N694">
        <v>0.13887464449528839</v>
      </c>
      <c r="O694">
        <v>2.0143358521858088E-2</v>
      </c>
      <c r="P694">
        <v>2.5353845468556693E-2</v>
      </c>
      <c r="Q694">
        <v>5.4622106095080841E-3</v>
      </c>
      <c r="R694">
        <v>1.6373027244155959E-3</v>
      </c>
      <c r="S694">
        <v>0.24159029559755815</v>
      </c>
      <c r="T694">
        <v>1.3298176080237409</v>
      </c>
      <c r="U694">
        <v>0.14542105244031764</v>
      </c>
      <c r="V694">
        <v>0.18064423955897574</v>
      </c>
      <c r="W694">
        <v>9.2761478667633304E-2</v>
      </c>
      <c r="X694">
        <v>1.4409138695048602E-2</v>
      </c>
      <c r="Y694">
        <v>4.4561982791612052E-3</v>
      </c>
    </row>
    <row r="695" spans="1:25" x14ac:dyDescent="0.25">
      <c r="A695" s="1096"/>
      <c r="B695" s="1455">
        <v>445</v>
      </c>
      <c r="C695" s="1100">
        <v>0.9821497878986124</v>
      </c>
      <c r="D695" s="1100">
        <v>1.0088375002004852</v>
      </c>
      <c r="E695" s="1100">
        <v>1.0334536628232249</v>
      </c>
      <c r="F695" s="1100">
        <v>0.99141839124596376</v>
      </c>
      <c r="G695" s="1100">
        <v>0.9773001075463934</v>
      </c>
      <c r="H695" s="1100">
        <v>1.027266134141507</v>
      </c>
      <c r="I695" s="1100">
        <v>0.96153575464095142</v>
      </c>
      <c r="K695">
        <v>2.2212071627817189</v>
      </c>
      <c r="L695">
        <v>0</v>
      </c>
      <c r="M695">
        <v>1.5060829516022577E-3</v>
      </c>
      <c r="N695">
        <v>0.15155132382512843</v>
      </c>
      <c r="O695">
        <v>2.0093596869187973E-2</v>
      </c>
      <c r="P695">
        <v>2.6553451669811143E-2</v>
      </c>
      <c r="Q695">
        <v>5.7935164534999913E-3</v>
      </c>
      <c r="R695">
        <v>1.485476657290717E-3</v>
      </c>
      <c r="S695">
        <v>0.23779822653012025</v>
      </c>
      <c r="T695">
        <v>1.3323958882702904</v>
      </c>
      <c r="U695">
        <v>0.14544598414368926</v>
      </c>
      <c r="V695">
        <v>0.18326974463902668</v>
      </c>
      <c r="W695">
        <v>9.7624283462544537E-2</v>
      </c>
      <c r="X695">
        <v>1.6658775438834567E-2</v>
      </c>
      <c r="Y695">
        <v>4.0429777738968621E-3</v>
      </c>
    </row>
    <row r="696" spans="1:25" x14ac:dyDescent="0.25">
      <c r="A696" s="1096"/>
      <c r="B696" s="1455">
        <v>446</v>
      </c>
      <c r="C696" s="1100">
        <v>1.006839011721161</v>
      </c>
      <c r="D696" s="1100">
        <v>0.97968080607662733</v>
      </c>
      <c r="E696" s="1100">
        <v>1.040501554023268</v>
      </c>
      <c r="F696" s="1100">
        <v>1.0125463735511389</v>
      </c>
      <c r="G696" s="1100">
        <v>0.99739928183674642</v>
      </c>
      <c r="H696" s="1100">
        <v>1.0093627300019554</v>
      </c>
      <c r="I696" s="1100">
        <v>0.99922937955301172</v>
      </c>
      <c r="K696">
        <v>2.2448093353364533</v>
      </c>
      <c r="L696">
        <v>0</v>
      </c>
      <c r="M696">
        <v>1.4316873700497823E-3</v>
      </c>
      <c r="N696">
        <v>0.14712098876247973</v>
      </c>
      <c r="O696">
        <v>1.9732161218276863E-2</v>
      </c>
      <c r="P696">
        <v>2.7125650189961336E-2</v>
      </c>
      <c r="Q696">
        <v>5.7289352886858227E-3</v>
      </c>
      <c r="R696">
        <v>1.4117515132255429E-3</v>
      </c>
      <c r="S696">
        <v>0.24322208028571465</v>
      </c>
      <c r="T696">
        <v>1.3608074018606302</v>
      </c>
      <c r="U696">
        <v>0.14189563268377334</v>
      </c>
      <c r="V696">
        <v>0.18406614257753126</v>
      </c>
      <c r="W696">
        <v>9.4385590328113916E-2</v>
      </c>
      <c r="X696">
        <v>1.690236576287163E-2</v>
      </c>
      <c r="Y696">
        <v>3.8423222352386684E-3</v>
      </c>
    </row>
    <row r="697" spans="1:25" x14ac:dyDescent="0.25">
      <c r="A697" s="1096"/>
      <c r="B697" s="1455">
        <v>447</v>
      </c>
      <c r="C697" s="1100">
        <v>0.99176199542581156</v>
      </c>
      <c r="D697" s="1100">
        <v>1.0218561602042351</v>
      </c>
      <c r="E697" s="1100">
        <v>0.97046754615634656</v>
      </c>
      <c r="F697" s="1100">
        <v>1.025809174106618</v>
      </c>
      <c r="G697" s="1100">
        <v>0.98344401678020665</v>
      </c>
      <c r="H697" s="1100">
        <v>0.982431559131694</v>
      </c>
      <c r="I697" s="1100">
        <v>1.0059104164616923</v>
      </c>
      <c r="K697">
        <v>2.2412307642972507</v>
      </c>
      <c r="L697">
        <v>0</v>
      </c>
      <c r="M697">
        <v>1.6209531350964139E-3</v>
      </c>
      <c r="N697">
        <v>0.13476407199099424</v>
      </c>
      <c r="O697">
        <v>1.9803302293044847E-2</v>
      </c>
      <c r="P697">
        <v>2.5970960715312168E-2</v>
      </c>
      <c r="Q697">
        <v>5.3598633824037704E-3</v>
      </c>
      <c r="R697">
        <v>1.5977630613063314E-3</v>
      </c>
      <c r="S697">
        <v>0.24069450884912419</v>
      </c>
      <c r="T697">
        <v>1.3785092259111154</v>
      </c>
      <c r="U697">
        <v>0.14389006058936207</v>
      </c>
      <c r="V697">
        <v>0.1833220724901484</v>
      </c>
      <c r="W697">
        <v>9.0117106243329165E-2</v>
      </c>
      <c r="X697">
        <v>1.4474197555779321E-2</v>
      </c>
      <c r="Y697">
        <v>4.3485843504242295E-3</v>
      </c>
    </row>
    <row r="698" spans="1:25" x14ac:dyDescent="0.25">
      <c r="A698" s="1096"/>
      <c r="B698" s="1455">
        <v>448</v>
      </c>
      <c r="C698" s="1100">
        <v>0.98025335135038105</v>
      </c>
      <c r="D698" s="1100">
        <v>0.99961053187870175</v>
      </c>
      <c r="E698" s="1100">
        <v>0.96186087494182748</v>
      </c>
      <c r="F698" s="1100">
        <v>1.0185755427795051</v>
      </c>
      <c r="G698" s="1100">
        <v>1.0262226351274701</v>
      </c>
      <c r="H698" s="1100">
        <v>0.99786475195537006</v>
      </c>
      <c r="I698" s="1100">
        <v>1.0162418806531708</v>
      </c>
      <c r="K698">
        <v>2.254239156508334</v>
      </c>
      <c r="L698">
        <v>0</v>
      </c>
      <c r="M698">
        <v>1.7038200671704237E-3</v>
      </c>
      <c r="N698">
        <v>0.13803968168289904</v>
      </c>
      <c r="O698">
        <v>2.0127601664453602E-2</v>
      </c>
      <c r="P698">
        <v>2.5888917463334018E-2</v>
      </c>
      <c r="Q698">
        <v>5.3998238142946445E-3</v>
      </c>
      <c r="R698">
        <v>1.6798214607267562E-3</v>
      </c>
      <c r="S698">
        <v>0.249951560297454</v>
      </c>
      <c r="T698">
        <v>1.3687810522838573</v>
      </c>
      <c r="U698">
        <v>0.14555929628049777</v>
      </c>
      <c r="V698">
        <v>0.18885276196520712</v>
      </c>
      <c r="W698">
        <v>9.2793803927068819E-2</v>
      </c>
      <c r="X698">
        <v>1.4296735472609668E-2</v>
      </c>
      <c r="Y698">
        <v>4.5719202631025252E-3</v>
      </c>
    </row>
    <row r="699" spans="1:25" x14ac:dyDescent="0.25">
      <c r="A699" s="1096"/>
      <c r="B699" s="1455">
        <v>449</v>
      </c>
      <c r="C699" s="1100">
        <v>0.99376413844968936</v>
      </c>
      <c r="D699" s="1100">
        <v>1.0241402373206008</v>
      </c>
      <c r="E699" s="1100">
        <v>1.0315686198788629</v>
      </c>
      <c r="F699" s="1100">
        <v>0.99407998974961087</v>
      </c>
      <c r="G699" s="1100">
        <v>1.0111735108764683</v>
      </c>
      <c r="H699" s="1100">
        <v>0.98970819480233341</v>
      </c>
      <c r="I699" s="1100">
        <v>1.0178799828843901</v>
      </c>
      <c r="K699">
        <v>2.2184526787417185</v>
      </c>
      <c r="L699">
        <v>0</v>
      </c>
      <c r="M699">
        <v>1.4349462660688133E-3</v>
      </c>
      <c r="N699">
        <v>0.14349948201279814</v>
      </c>
      <c r="O699">
        <v>1.9791909417915147E-2</v>
      </c>
      <c r="P699">
        <v>2.6671581935532773E-2</v>
      </c>
      <c r="Q699">
        <v>5.6959210431863153E-3</v>
      </c>
      <c r="R699">
        <v>1.4145682242497205E-3</v>
      </c>
      <c r="S699">
        <v>0.24386250044161434</v>
      </c>
      <c r="T699">
        <v>1.3359685986031862</v>
      </c>
      <c r="U699">
        <v>0.14374173486817871</v>
      </c>
      <c r="V699">
        <v>0.18639029417391828</v>
      </c>
      <c r="W699">
        <v>9.253856009715003E-2</v>
      </c>
      <c r="X699">
        <v>1.6462485795939473E-2</v>
      </c>
      <c r="Y699">
        <v>3.84998839411794E-3</v>
      </c>
    </row>
    <row r="700" spans="1:25" x14ac:dyDescent="0.25">
      <c r="A700" s="1096"/>
      <c r="B700" s="1455">
        <v>450</v>
      </c>
      <c r="C700" s="1100">
        <v>0.99973509155826379</v>
      </c>
      <c r="D700" s="1100">
        <v>0.99951697446315202</v>
      </c>
      <c r="E700" s="1100">
        <v>1.0293944375193393</v>
      </c>
      <c r="F700" s="1100">
        <v>1.0175992837711076</v>
      </c>
      <c r="G700" s="1100">
        <v>0.98575919688680269</v>
      </c>
      <c r="H700" s="1100">
        <v>1.0024576085660157</v>
      </c>
      <c r="I700" s="1100">
        <v>0.98415251412063631</v>
      </c>
      <c r="K700">
        <v>2.2432310085265654</v>
      </c>
      <c r="L700">
        <v>0</v>
      </c>
      <c r="M700">
        <v>1.4591025903227233E-3</v>
      </c>
      <c r="N700">
        <v>0.14498855436526115</v>
      </c>
      <c r="O700">
        <v>1.9777953194770839E-2</v>
      </c>
      <c r="P700">
        <v>2.693438179478359E-2</v>
      </c>
      <c r="Q700">
        <v>5.6796856122729687E-3</v>
      </c>
      <c r="R700">
        <v>1.4386450324279194E-3</v>
      </c>
      <c r="S700">
        <v>0.23822291320305025</v>
      </c>
      <c r="T700">
        <v>1.3675717886561765</v>
      </c>
      <c r="U700">
        <v>0.1428782023093407</v>
      </c>
      <c r="V700">
        <v>0.1831590121663553</v>
      </c>
      <c r="W700">
        <v>9.3616849687753897E-2</v>
      </c>
      <c r="X700">
        <v>1.650660756563355E-2</v>
      </c>
      <c r="Y700">
        <v>3.915517529061315E-3</v>
      </c>
    </row>
    <row r="701" spans="1:25" x14ac:dyDescent="0.25">
      <c r="A701" s="1096"/>
      <c r="B701" s="1455">
        <v>451</v>
      </c>
      <c r="C701" s="1100">
        <v>1.0371153761849421</v>
      </c>
      <c r="D701" s="1100">
        <v>1.0177479828408964</v>
      </c>
      <c r="E701" s="1100">
        <v>0.98094172964842441</v>
      </c>
      <c r="F701" s="1100">
        <v>0.98255822455332753</v>
      </c>
      <c r="G701" s="1100">
        <v>1.0248688704562563</v>
      </c>
      <c r="H701" s="1100">
        <v>0.98959460239448771</v>
      </c>
      <c r="I701" s="1100">
        <v>1.0016097832146131</v>
      </c>
      <c r="K701">
        <v>2.1598412959353701</v>
      </c>
      <c r="L701">
        <v>0</v>
      </c>
      <c r="M701">
        <v>1.5292944922418829E-3</v>
      </c>
      <c r="N701">
        <v>0.13125266499867178</v>
      </c>
      <c r="O701">
        <v>1.8960348035485342E-2</v>
      </c>
      <c r="P701">
        <v>2.5200959635937485E-2</v>
      </c>
      <c r="Q701">
        <v>5.1867696379603164E-3</v>
      </c>
      <c r="R701">
        <v>1.5075740940131274E-3</v>
      </c>
      <c r="S701">
        <v>0.23027257539153009</v>
      </c>
      <c r="T701">
        <v>1.3203983706997884</v>
      </c>
      <c r="U701">
        <v>0.13762086366059931</v>
      </c>
      <c r="V701">
        <v>0.18539871593102414</v>
      </c>
      <c r="W701">
        <v>8.7213786287527045E-2</v>
      </c>
      <c r="X701">
        <v>1.4254842342837788E-2</v>
      </c>
      <c r="Y701">
        <v>4.1031197122372055E-3</v>
      </c>
    </row>
    <row r="702" spans="1:25" x14ac:dyDescent="0.25">
      <c r="A702" s="1096"/>
      <c r="B702" s="1455">
        <v>452</v>
      </c>
      <c r="C702" s="1100">
        <v>0.99050941647951718</v>
      </c>
      <c r="D702" s="1100">
        <v>1.02856405016297</v>
      </c>
      <c r="E702" s="1100">
        <v>0.99113274299705789</v>
      </c>
      <c r="F702" s="1100">
        <v>1.0024447558052725</v>
      </c>
      <c r="G702" s="1100">
        <v>0.95908197368630765</v>
      </c>
      <c r="H702" s="1100">
        <v>1.0111420266878473</v>
      </c>
      <c r="I702" s="1100">
        <v>1.0164272307604845</v>
      </c>
      <c r="K702">
        <v>2.2227288839898942</v>
      </c>
      <c r="L702">
        <v>0</v>
      </c>
      <c r="M702">
        <v>1.5982466332043843E-3</v>
      </c>
      <c r="N702">
        <v>0.14150749738481222</v>
      </c>
      <c r="O702">
        <v>1.9812735894868629E-2</v>
      </c>
      <c r="P702">
        <v>2.59846982134373E-2</v>
      </c>
      <c r="Q702">
        <v>5.476190105261413E-3</v>
      </c>
      <c r="R702">
        <v>1.5760306461569255E-3</v>
      </c>
      <c r="S702">
        <v>0.24523175614813233</v>
      </c>
      <c r="T702">
        <v>1.3471357823493075</v>
      </c>
      <c r="U702">
        <v>0.14411990644661138</v>
      </c>
      <c r="V702">
        <v>0.1806616169913372</v>
      </c>
      <c r="W702">
        <v>9.3453751656331727E-2</v>
      </c>
      <c r="X702">
        <v>1.5077728906364614E-2</v>
      </c>
      <c r="Y702">
        <v>4.2894358804762747E-3</v>
      </c>
    </row>
    <row r="703" spans="1:25" x14ac:dyDescent="0.25">
      <c r="A703" s="1096"/>
      <c r="B703" s="1455">
        <v>453</v>
      </c>
      <c r="C703" s="1100">
        <v>0.98962493080548408</v>
      </c>
      <c r="D703" s="1100">
        <v>0.98477689342574415</v>
      </c>
      <c r="E703" s="1100">
        <v>1.0146849406764771</v>
      </c>
      <c r="F703" s="1100">
        <v>0.96091589390791066</v>
      </c>
      <c r="G703" s="1100">
        <v>0.98868899593408566</v>
      </c>
      <c r="H703" s="1100">
        <v>0.95570373039337109</v>
      </c>
      <c r="I703" s="1100">
        <v>1.0040240052646343</v>
      </c>
      <c r="K703">
        <v>2.1621297724168786</v>
      </c>
      <c r="L703">
        <v>0</v>
      </c>
      <c r="M703">
        <v>1.4536932520890409E-3</v>
      </c>
      <c r="N703">
        <v>0.13808590247776836</v>
      </c>
      <c r="O703">
        <v>2.0036072636379597E-2</v>
      </c>
      <c r="P703">
        <v>2.5699242798065649E-2</v>
      </c>
      <c r="Q703">
        <v>5.6703752996240192E-3</v>
      </c>
      <c r="R703">
        <v>1.4323144449145296E-3</v>
      </c>
      <c r="S703">
        <v>0.24341345570112582</v>
      </c>
      <c r="T703">
        <v>1.2913646550143614</v>
      </c>
      <c r="U703">
        <v>0.14430353231436169</v>
      </c>
      <c r="V703">
        <v>0.18408300894840146</v>
      </c>
      <c r="W703">
        <v>8.9929287174504352E-2</v>
      </c>
      <c r="X703">
        <v>1.5667331102730924E-2</v>
      </c>
      <c r="Y703">
        <v>3.8982877567274804E-3</v>
      </c>
    </row>
    <row r="704" spans="1:25" x14ac:dyDescent="0.25">
      <c r="A704" s="1096"/>
      <c r="B704" s="1455">
        <v>454</v>
      </c>
      <c r="C704" s="1100">
        <v>0.97582439074783001</v>
      </c>
      <c r="D704" s="1100">
        <v>1.0128566435906143</v>
      </c>
      <c r="E704" s="1100">
        <v>0.99630977099015383</v>
      </c>
      <c r="F704" s="1100">
        <v>1.0112160480338599</v>
      </c>
      <c r="G704" s="1100">
        <v>0.97451251197035094</v>
      </c>
      <c r="H704" s="1100">
        <v>0.97125229933154111</v>
      </c>
      <c r="I704" s="1100">
        <v>0.96999195267744864</v>
      </c>
      <c r="K704">
        <v>2.2268479485137327</v>
      </c>
      <c r="L704">
        <v>0</v>
      </c>
      <c r="M704">
        <v>1.5468983011879686E-3</v>
      </c>
      <c r="N704">
        <v>0.13904065705273599</v>
      </c>
      <c r="O704">
        <v>2.0182398540471512E-2</v>
      </c>
      <c r="P704">
        <v>2.6189563330523569E-2</v>
      </c>
      <c r="Q704">
        <v>5.6075701885208822E-3</v>
      </c>
      <c r="R704">
        <v>1.5245129619921745E-3</v>
      </c>
      <c r="S704">
        <v>0.23623776982049879</v>
      </c>
      <c r="T704">
        <v>1.3589307060190792</v>
      </c>
      <c r="U704">
        <v>0.1463009462819016</v>
      </c>
      <c r="V704">
        <v>0.18331170371917294</v>
      </c>
      <c r="W704">
        <v>9.1541106351656354E-2</v>
      </c>
      <c r="X704">
        <v>1.5378690821387448E-2</v>
      </c>
      <c r="Y704">
        <v>4.1492217269798425E-3</v>
      </c>
    </row>
    <row r="705" spans="1:25" x14ac:dyDescent="0.25">
      <c r="A705" s="1096"/>
      <c r="B705" s="1455">
        <v>455</v>
      </c>
      <c r="C705" s="1100">
        <v>1.0132346685680365</v>
      </c>
      <c r="D705" s="1100">
        <v>0.97297166600172336</v>
      </c>
      <c r="E705" s="1100">
        <v>0.9607022214408667</v>
      </c>
      <c r="F705" s="1100">
        <v>1.0127528707756261</v>
      </c>
      <c r="G705" s="1100">
        <v>0.98642800171802203</v>
      </c>
      <c r="H705" s="1100">
        <v>1.0077657519657126</v>
      </c>
      <c r="I705" s="1100">
        <v>0.99167599994935829</v>
      </c>
      <c r="K705">
        <v>2.2196153795519744</v>
      </c>
      <c r="L705">
        <v>0</v>
      </c>
      <c r="M705">
        <v>1.6786417922583861E-3</v>
      </c>
      <c r="N705">
        <v>0.13554222260614013</v>
      </c>
      <c r="O705">
        <v>1.9587780578526844E-2</v>
      </c>
      <c r="P705">
        <v>2.5481243822488897E-2</v>
      </c>
      <c r="Q705">
        <v>5.2487510574347352E-3</v>
      </c>
      <c r="R705">
        <v>1.6552301212244178E-3</v>
      </c>
      <c r="S705">
        <v>0.23995443160328153</v>
      </c>
      <c r="T705">
        <v>1.3609555689536148</v>
      </c>
      <c r="U705">
        <v>0.14081864925524171</v>
      </c>
      <c r="V705">
        <v>0.18238441627816784</v>
      </c>
      <c r="W705">
        <v>9.1179671684259223E-2</v>
      </c>
      <c r="X705">
        <v>1.3981064640343294E-2</v>
      </c>
      <c r="Y705">
        <v>4.5049907435100491E-3</v>
      </c>
    </row>
    <row r="706" spans="1:25" x14ac:dyDescent="0.25">
      <c r="A706" s="1096"/>
      <c r="B706" s="1455">
        <v>456</v>
      </c>
      <c r="C706" s="1100">
        <v>1.0042515380576877</v>
      </c>
      <c r="D706" s="1100">
        <v>0.99776122390112354</v>
      </c>
      <c r="E706" s="1100">
        <v>0.98786739601677098</v>
      </c>
      <c r="F706" s="1100">
        <v>0.98030914801240776</v>
      </c>
      <c r="G706" s="1100">
        <v>1.0131560810085403</v>
      </c>
      <c r="H706" s="1100">
        <v>1.015614807094382</v>
      </c>
      <c r="I706" s="1100">
        <v>1.0179190893011587</v>
      </c>
      <c r="K706">
        <v>2.1952830749370276</v>
      </c>
      <c r="L706">
        <v>0</v>
      </c>
      <c r="M706">
        <v>1.6047914279238554E-3</v>
      </c>
      <c r="N706">
        <v>0.14069978981642545</v>
      </c>
      <c r="O706">
        <v>1.9670744742761388E-2</v>
      </c>
      <c r="P706">
        <v>2.5577213255042953E-2</v>
      </c>
      <c r="Q706">
        <v>5.419024089217901E-3</v>
      </c>
      <c r="R706">
        <v>1.5825827068983447E-3</v>
      </c>
      <c r="S706">
        <v>0.24624970138513547</v>
      </c>
      <c r="T706">
        <v>1.3173844735453393</v>
      </c>
      <c r="U706">
        <v>0.14214030419689189</v>
      </c>
      <c r="V706">
        <v>0.18595184427928391</v>
      </c>
      <c r="W706">
        <v>9.3102344330329365E-2</v>
      </c>
      <c r="X706">
        <v>1.480257558769789E-2</v>
      </c>
      <c r="Y706">
        <v>4.3072684299281742E-3</v>
      </c>
    </row>
    <row r="707" spans="1:25" x14ac:dyDescent="0.25">
      <c r="A707" s="1096"/>
      <c r="B707" s="1455">
        <v>457</v>
      </c>
      <c r="C707" s="1100">
        <v>0.97625943816880967</v>
      </c>
      <c r="D707" s="1100">
        <v>0.9522483531703273</v>
      </c>
      <c r="E707" s="1100">
        <v>1.0375103340640937</v>
      </c>
      <c r="F707" s="1100">
        <v>0.98684195383434037</v>
      </c>
      <c r="G707" s="1100">
        <v>0.99519225600472028</v>
      </c>
      <c r="H707" s="1100">
        <v>1.0054968398264101</v>
      </c>
      <c r="I707" s="1100">
        <v>0.98981257598337047</v>
      </c>
      <c r="K707">
        <v>2.2332210653214259</v>
      </c>
      <c r="L707">
        <v>0</v>
      </c>
      <c r="M707">
        <v>1.4893630251142736E-3</v>
      </c>
      <c r="N707">
        <v>0.15166657172924825</v>
      </c>
      <c r="O707">
        <v>2.0475840322192747E-2</v>
      </c>
      <c r="P707">
        <v>2.6786332047394449E-2</v>
      </c>
      <c r="Q707">
        <v>5.9273822746067316E-3</v>
      </c>
      <c r="R707">
        <v>1.4685443141959863E-3</v>
      </c>
      <c r="S707">
        <v>0.25170465733174396</v>
      </c>
      <c r="T707">
        <v>1.3262548954654874</v>
      </c>
      <c r="U707">
        <v>0.14633316333224686</v>
      </c>
      <c r="V707">
        <v>0.18566059820313208</v>
      </c>
      <c r="W707">
        <v>9.7469717065256298E-2</v>
      </c>
      <c r="X707">
        <v>1.6965832743296775E-2</v>
      </c>
      <c r="Y707">
        <v>3.9968935177384065E-3</v>
      </c>
    </row>
    <row r="708" spans="1:25" x14ac:dyDescent="0.25">
      <c r="A708" s="1096"/>
      <c r="B708" s="1455">
        <v>458</v>
      </c>
      <c r="C708" s="1100">
        <v>1.0037510988863476</v>
      </c>
      <c r="D708" s="1100">
        <v>0.9994588904081112</v>
      </c>
      <c r="E708" s="1100">
        <v>1.0096810776802818</v>
      </c>
      <c r="F708" s="1100">
        <v>0.97737023755059338</v>
      </c>
      <c r="G708" s="1100">
        <v>0.99076591517188117</v>
      </c>
      <c r="H708" s="1100">
        <v>0.98920798750570704</v>
      </c>
      <c r="I708" s="1100">
        <v>1.0311355982942352</v>
      </c>
      <c r="K708">
        <v>2.1884577131814047</v>
      </c>
      <c r="L708">
        <v>0</v>
      </c>
      <c r="M708">
        <v>1.4941148353268595E-3</v>
      </c>
      <c r="N708">
        <v>0.13986864259954956</v>
      </c>
      <c r="O708">
        <v>1.9686767076702465E-2</v>
      </c>
      <c r="P708">
        <v>2.5926027781496608E-2</v>
      </c>
      <c r="Q708">
        <v>5.5437528270203219E-3</v>
      </c>
      <c r="R708">
        <v>1.472885796058831E-3</v>
      </c>
      <c r="S708">
        <v>0.24735765993867295</v>
      </c>
      <c r="T708">
        <v>1.3134683989101292</v>
      </c>
      <c r="U708">
        <v>0.14226119524685807</v>
      </c>
      <c r="V708">
        <v>0.18346942922980228</v>
      </c>
      <c r="W708">
        <v>9.1359017944961443E-2</v>
      </c>
      <c r="X708">
        <v>1.5529341065279064E-2</v>
      </c>
      <c r="Y708">
        <v>4.0087096001999592E-3</v>
      </c>
    </row>
    <row r="709" spans="1:25" x14ac:dyDescent="0.25">
      <c r="A709" s="1096"/>
      <c r="B709" s="1455">
        <v>459</v>
      </c>
      <c r="C709" s="1100">
        <v>1.0185671955780877</v>
      </c>
      <c r="D709" s="1100">
        <v>1.0302491131403888</v>
      </c>
      <c r="E709" s="1100">
        <v>1.0133913920107711</v>
      </c>
      <c r="F709" s="1100">
        <v>0.99536357982205215</v>
      </c>
      <c r="G709" s="1100">
        <v>1.0204638401051245</v>
      </c>
      <c r="H709" s="1100">
        <v>0.97808396028643407</v>
      </c>
      <c r="I709" s="1100">
        <v>0.97140728680148825</v>
      </c>
      <c r="K709">
        <v>2.1836629213258756</v>
      </c>
      <c r="L709">
        <v>0</v>
      </c>
      <c r="M709">
        <v>1.4350314761664208E-3</v>
      </c>
      <c r="N709">
        <v>0.13582846187994918</v>
      </c>
      <c r="O709">
        <v>1.9273597053953807E-2</v>
      </c>
      <c r="P709">
        <v>2.6033484289759119E-2</v>
      </c>
      <c r="Q709">
        <v>5.4475553699663568E-3</v>
      </c>
      <c r="R709">
        <v>1.4144100229600729E-3</v>
      </c>
      <c r="S709">
        <v>0.22537904184266372</v>
      </c>
      <c r="T709">
        <v>1.3376560937804669</v>
      </c>
      <c r="U709">
        <v>0.1402002628879295</v>
      </c>
      <c r="V709">
        <v>0.18596970184429734</v>
      </c>
      <c r="W709">
        <v>8.8526400911303108E-2</v>
      </c>
      <c r="X709">
        <v>1.5519385096434798E-2</v>
      </c>
      <c r="Y709">
        <v>3.8495578223585606E-3</v>
      </c>
    </row>
    <row r="710" spans="1:25" x14ac:dyDescent="0.25">
      <c r="A710" s="1096"/>
      <c r="B710" s="1455">
        <v>460</v>
      </c>
      <c r="C710" s="1100">
        <v>1.0078097148168685</v>
      </c>
      <c r="D710" s="1100">
        <v>1.0199720087055424</v>
      </c>
      <c r="E710" s="1100">
        <v>1.0050828271788228</v>
      </c>
      <c r="F710" s="1100">
        <v>1.0403455100659627</v>
      </c>
      <c r="G710" s="1100">
        <v>0.99422949170386021</v>
      </c>
      <c r="H710" s="1100">
        <v>1.0357639836099031</v>
      </c>
      <c r="I710" s="1100">
        <v>0.9965701264872906</v>
      </c>
      <c r="K710">
        <v>2.2739409743489563</v>
      </c>
      <c r="L710">
        <v>0</v>
      </c>
      <c r="M710">
        <v>1.5660680664280825E-3</v>
      </c>
      <c r="N710">
        <v>0.14467656928435391</v>
      </c>
      <c r="O710">
        <v>1.9517201812613405E-2</v>
      </c>
      <c r="P710">
        <v>2.6881025087866189E-2</v>
      </c>
      <c r="Q710">
        <v>5.4707623120403837E-3</v>
      </c>
      <c r="R710">
        <v>1.5448168494482293E-3</v>
      </c>
      <c r="S710">
        <v>0.23934343162223937</v>
      </c>
      <c r="T710">
        <v>1.3980912329785284</v>
      </c>
      <c r="U710">
        <v>0.14167776932808995</v>
      </c>
      <c r="V710">
        <v>0.18361880402903558</v>
      </c>
      <c r="W710">
        <v>9.4756558124535289E-2</v>
      </c>
      <c r="X710">
        <v>1.5724388771171865E-2</v>
      </c>
      <c r="Y710">
        <v>4.2044822154605234E-3</v>
      </c>
    </row>
    <row r="711" spans="1:25" x14ac:dyDescent="0.25">
      <c r="A711" s="1096"/>
      <c r="B711" s="1455">
        <v>461</v>
      </c>
      <c r="C711" s="1100">
        <v>0.98607387870221874</v>
      </c>
      <c r="D711" s="1100">
        <v>0.95776628944174691</v>
      </c>
      <c r="E711" s="1100">
        <v>0.97890295438862263</v>
      </c>
      <c r="F711" s="1100">
        <v>1.0470250621983195</v>
      </c>
      <c r="G711" s="1100">
        <v>1.0007497567114623</v>
      </c>
      <c r="H711" s="1100">
        <v>0.98438804608895025</v>
      </c>
      <c r="I711" s="1100">
        <v>0.99694358670112437</v>
      </c>
      <c r="K711">
        <v>2.2885582695195597</v>
      </c>
      <c r="L711">
        <v>0</v>
      </c>
      <c r="M711">
        <v>1.6283672727209482E-3</v>
      </c>
      <c r="N711">
        <v>0.13888561080141351</v>
      </c>
      <c r="O711">
        <v>2.0208763849203972E-2</v>
      </c>
      <c r="P711">
        <v>2.6663146244631456E-2</v>
      </c>
      <c r="Q711">
        <v>5.5168403586851175E-3</v>
      </c>
      <c r="R711">
        <v>1.605117430450408E-3</v>
      </c>
      <c r="S711">
        <v>0.24807560161714007</v>
      </c>
      <c r="T711">
        <v>1.4070288497881605</v>
      </c>
      <c r="U711">
        <v>0.14473969761285235</v>
      </c>
      <c r="V711">
        <v>0.18563044925663333</v>
      </c>
      <c r="W711">
        <v>9.2399355042049505E-2</v>
      </c>
      <c r="X711">
        <v>1.5064604272191846E-2</v>
      </c>
      <c r="Y711">
        <v>4.3686005188672697E-3</v>
      </c>
    </row>
    <row r="712" spans="1:25" x14ac:dyDescent="0.25">
      <c r="A712" s="1096"/>
      <c r="B712" s="1455">
        <v>462</v>
      </c>
      <c r="C712" s="1100">
        <v>1.0048675544576291</v>
      </c>
      <c r="D712" s="1100">
        <v>1.0098888612776278</v>
      </c>
      <c r="E712" s="1100">
        <v>0.99869547587335894</v>
      </c>
      <c r="F712" s="1100">
        <v>1.0235750108858837</v>
      </c>
      <c r="G712" s="1100">
        <v>1.004162992067446</v>
      </c>
      <c r="H712" s="1100">
        <v>1.023629594464798</v>
      </c>
      <c r="I712" s="1100">
        <v>0.98400232059221759</v>
      </c>
      <c r="K712">
        <v>2.2475658989823488</v>
      </c>
      <c r="L712">
        <v>0</v>
      </c>
      <c r="M712">
        <v>1.5764035266472116E-3</v>
      </c>
      <c r="N712">
        <v>0.14282507971334898</v>
      </c>
      <c r="O712">
        <v>1.9613213136345637E-2</v>
      </c>
      <c r="P712">
        <v>2.6439796530996755E-2</v>
      </c>
      <c r="Q712">
        <v>5.4625269662127666E-3</v>
      </c>
      <c r="R712">
        <v>1.5547584792445941E-3</v>
      </c>
      <c r="S712">
        <v>0.23718373841299126</v>
      </c>
      <c r="T712">
        <v>1.3755431514907388</v>
      </c>
      <c r="U712">
        <v>0.1420779501040422</v>
      </c>
      <c r="V712">
        <v>0.18490839779201762</v>
      </c>
      <c r="W712">
        <v>9.3899181084304173E-2</v>
      </c>
      <c r="X712">
        <v>1.5402968744244846E-2</v>
      </c>
      <c r="Y712">
        <v>4.231540054508846E-3</v>
      </c>
    </row>
    <row r="713" spans="1:25" x14ac:dyDescent="0.25">
      <c r="A713" s="1096"/>
      <c r="B713" s="1455">
        <v>463</v>
      </c>
      <c r="C713" s="1100">
        <v>1.0054870855986926</v>
      </c>
      <c r="D713" s="1100">
        <v>1.0152002748577276</v>
      </c>
      <c r="E713" s="1100">
        <v>0.98781425734315087</v>
      </c>
      <c r="F713" s="1100">
        <v>1.0174501766474169</v>
      </c>
      <c r="G713" s="1100">
        <v>1.018982700850612</v>
      </c>
      <c r="H713" s="1100">
        <v>1.0093099886425956</v>
      </c>
      <c r="I713" s="1100">
        <v>0.99378005074390008</v>
      </c>
      <c r="K713">
        <v>2.2348140553664129</v>
      </c>
      <c r="L713">
        <v>0</v>
      </c>
      <c r="M713">
        <v>1.5869834882413737E-3</v>
      </c>
      <c r="N713">
        <v>0.1391039310623052</v>
      </c>
      <c r="O713">
        <v>1.9571790559393849E-2</v>
      </c>
      <c r="P713">
        <v>2.6138983766412282E-2</v>
      </c>
      <c r="Q713">
        <v>5.3914736151408045E-3</v>
      </c>
      <c r="R713">
        <v>1.5648840205091854E-3</v>
      </c>
      <c r="S713">
        <v>0.23756023687739589</v>
      </c>
      <c r="T713">
        <v>1.3672962225400314</v>
      </c>
      <c r="U713">
        <v>0.14196552004381696</v>
      </c>
      <c r="V713">
        <v>0.18653786297619754</v>
      </c>
      <c r="W713">
        <v>9.2049285118392582E-2</v>
      </c>
      <c r="X713">
        <v>1.4961749835108789E-2</v>
      </c>
      <c r="Y713">
        <v>4.2590984399472828E-3</v>
      </c>
    </row>
    <row r="714" spans="1:25" x14ac:dyDescent="0.25">
      <c r="A714" s="1096"/>
      <c r="B714" s="1455">
        <v>464</v>
      </c>
      <c r="C714" s="1100">
        <v>1.0319499637161924</v>
      </c>
      <c r="D714" s="1100">
        <v>1.001048040980703</v>
      </c>
      <c r="E714" s="1100">
        <v>0.96838573320771348</v>
      </c>
      <c r="F714" s="1100">
        <v>0.95675740500318052</v>
      </c>
      <c r="G714" s="1100">
        <v>1.0132114085785227</v>
      </c>
      <c r="H714" s="1100">
        <v>1.0190183801059896</v>
      </c>
      <c r="I714" s="1100">
        <v>1.0188915811303811</v>
      </c>
      <c r="K714">
        <v>2.1399391649269397</v>
      </c>
      <c r="L714">
        <v>0</v>
      </c>
      <c r="M714">
        <v>1.6301629095176386E-3</v>
      </c>
      <c r="N714">
        <v>0.13474828392220925</v>
      </c>
      <c r="O714">
        <v>1.9117171090690718E-2</v>
      </c>
      <c r="P714">
        <v>2.4617915660522481E-2</v>
      </c>
      <c r="Q714">
        <v>5.1631572775681098E-3</v>
      </c>
      <c r="R714">
        <v>1.6076784233604003E-3</v>
      </c>
      <c r="S714">
        <v>0.23959896009722056</v>
      </c>
      <c r="T714">
        <v>1.2857138177019798</v>
      </c>
      <c r="U714">
        <v>0.13828182518832446</v>
      </c>
      <c r="V714">
        <v>0.18435709295046437</v>
      </c>
      <c r="W714">
        <v>9.0220843619802912E-2</v>
      </c>
      <c r="X714">
        <v>1.3767011206975039E-2</v>
      </c>
      <c r="Y714">
        <v>4.3755706973371816E-3</v>
      </c>
    </row>
    <row r="715" spans="1:25" x14ac:dyDescent="0.25">
      <c r="A715" s="1096"/>
      <c r="B715" s="1455">
        <v>465</v>
      </c>
      <c r="C715" s="1100">
        <v>0.97764291010719173</v>
      </c>
      <c r="D715" s="1100">
        <v>1.000763043811459</v>
      </c>
      <c r="E715" s="1100">
        <v>1.0009231290365199</v>
      </c>
      <c r="F715" s="1100">
        <v>1.0098312357394328</v>
      </c>
      <c r="G715" s="1100">
        <v>0.95884125640301998</v>
      </c>
      <c r="H715" s="1100">
        <v>1.0069423326440365</v>
      </c>
      <c r="I715" s="1100">
        <v>0.98604678354480946</v>
      </c>
      <c r="K715">
        <v>2.2407861217457303</v>
      </c>
      <c r="L715">
        <v>0</v>
      </c>
      <c r="M715">
        <v>1.5897114401204173E-3</v>
      </c>
      <c r="N715">
        <v>0.14496998882112899</v>
      </c>
      <c r="O715">
        <v>2.0201109515971635E-2</v>
      </c>
      <c r="P715">
        <v>2.6332274840598635E-2</v>
      </c>
      <c r="Q715">
        <v>5.6388772408912475E-3</v>
      </c>
      <c r="R715">
        <v>1.5675219319021714E-3</v>
      </c>
      <c r="S715">
        <v>0.24406597490238366</v>
      </c>
      <c r="T715">
        <v>1.3570769919863657</v>
      </c>
      <c r="U715">
        <v>0.14603967296968326</v>
      </c>
      <c r="V715">
        <v>0.18143139358315757</v>
      </c>
      <c r="W715">
        <v>9.5183209463737511E-2</v>
      </c>
      <c r="X715">
        <v>1.5602539964856785E-2</v>
      </c>
      <c r="Y715">
        <v>4.2662779651717348E-3</v>
      </c>
    </row>
    <row r="716" spans="1:25" x14ac:dyDescent="0.25">
      <c r="A716" s="1096"/>
      <c r="B716" s="1455">
        <v>466</v>
      </c>
      <c r="C716" s="1100">
        <v>1.0113274946302937</v>
      </c>
      <c r="D716" s="1100">
        <v>1.0038557509196127</v>
      </c>
      <c r="E716" s="1100">
        <v>1.0220238905724466</v>
      </c>
      <c r="F716" s="1100">
        <v>0.98989950965948714</v>
      </c>
      <c r="G716" s="1100">
        <v>0.99558445743142254</v>
      </c>
      <c r="H716" s="1100">
        <v>1.0132361702108901</v>
      </c>
      <c r="I716" s="1100">
        <v>1.0422343021045624</v>
      </c>
      <c r="K716">
        <v>2.2132989487773136</v>
      </c>
      <c r="L716">
        <v>0</v>
      </c>
      <c r="M716">
        <v>1.4790254762874161E-3</v>
      </c>
      <c r="N716">
        <v>0.14375951190182432</v>
      </c>
      <c r="O716">
        <v>1.9528058713725469E-2</v>
      </c>
      <c r="P716">
        <v>2.641558940768848E-2</v>
      </c>
      <c r="Q716">
        <v>5.5671093872637772E-3</v>
      </c>
      <c r="R716">
        <v>1.4585091807248754E-3</v>
      </c>
      <c r="S716">
        <v>0.24968451161599886</v>
      </c>
      <c r="T716">
        <v>1.3303298680597033</v>
      </c>
      <c r="U716">
        <v>0.14122360755861338</v>
      </c>
      <c r="V716">
        <v>0.18358231274741091</v>
      </c>
      <c r="W716">
        <v>9.3222610548429355E-2</v>
      </c>
      <c r="X716">
        <v>1.603670393970788E-2</v>
      </c>
      <c r="Y716">
        <v>3.969581192510902E-3</v>
      </c>
    </row>
    <row r="717" spans="1:25" x14ac:dyDescent="0.25">
      <c r="A717" s="1096"/>
      <c r="B717" s="1455">
        <v>467</v>
      </c>
      <c r="C717" s="1100">
        <v>1.0281853807704515</v>
      </c>
      <c r="D717" s="1100">
        <v>0.9754034979886248</v>
      </c>
      <c r="E717" s="1100">
        <v>1.0356789118652785</v>
      </c>
      <c r="F717" s="1100">
        <v>0.9950410445101967</v>
      </c>
      <c r="G717" s="1100">
        <v>0.99930361545363977</v>
      </c>
      <c r="H717" s="1100">
        <v>1.0138403931846141</v>
      </c>
      <c r="I717" s="1100">
        <v>1.0047274109943152</v>
      </c>
      <c r="K717">
        <v>2.2083402754284736</v>
      </c>
      <c r="L717">
        <v>0</v>
      </c>
      <c r="M717">
        <v>1.42379275585082E-3</v>
      </c>
      <c r="N717">
        <v>0.14420827560899566</v>
      </c>
      <c r="O717">
        <v>1.9338144246630631E-2</v>
      </c>
      <c r="P717">
        <v>2.660565762592813E-2</v>
      </c>
      <c r="Q717">
        <v>5.5879492423477426E-3</v>
      </c>
      <c r="R717">
        <v>1.4040543913093337E-3</v>
      </c>
      <c r="S717">
        <v>0.24032446550331341</v>
      </c>
      <c r="T717">
        <v>1.3372696409868556</v>
      </c>
      <c r="U717">
        <v>0.1389388479116298</v>
      </c>
      <c r="V717">
        <v>0.18305288854437052</v>
      </c>
      <c r="W717">
        <v>9.2774652127699891E-2</v>
      </c>
      <c r="X717">
        <v>1.6438118788504961E-2</v>
      </c>
      <c r="Y717">
        <v>3.8213732067383052E-3</v>
      </c>
    </row>
    <row r="718" spans="1:25" x14ac:dyDescent="0.25">
      <c r="A718" s="1096"/>
      <c r="B718" s="1455">
        <v>468</v>
      </c>
      <c r="C718" s="1100">
        <v>1.0104541559514768</v>
      </c>
      <c r="D718" s="1100">
        <v>0.99832229934090277</v>
      </c>
      <c r="E718" s="1100">
        <v>1.0090147780394429</v>
      </c>
      <c r="F718" s="1100">
        <v>0.99762626908525165</v>
      </c>
      <c r="G718" s="1100">
        <v>1.013972317363</v>
      </c>
      <c r="H718" s="1100">
        <v>0.97848458557957863</v>
      </c>
      <c r="I718" s="1100">
        <v>0.97593870598785615</v>
      </c>
      <c r="K718">
        <v>2.1972763446263781</v>
      </c>
      <c r="L718">
        <v>0</v>
      </c>
      <c r="M718">
        <v>1.4705154621427077E-3</v>
      </c>
      <c r="N718">
        <v>0.13736108800655827</v>
      </c>
      <c r="O718">
        <v>1.9560654231006492E-2</v>
      </c>
      <c r="P718">
        <v>2.6091844791752517E-2</v>
      </c>
      <c r="Q718">
        <v>5.5045708000927701E-3</v>
      </c>
      <c r="R718">
        <v>1.4493927547058129E-3</v>
      </c>
      <c r="S718">
        <v>0.23186038085497435</v>
      </c>
      <c r="T718">
        <v>1.3406888836113111</v>
      </c>
      <c r="U718">
        <v>0.1413159557649501</v>
      </c>
      <c r="V718">
        <v>0.18569981385880635</v>
      </c>
      <c r="W718">
        <v>8.9756416859578969E-2</v>
      </c>
      <c r="X718">
        <v>1.5513089268665606E-2</v>
      </c>
      <c r="Y718">
        <v>3.9447692861160431E-3</v>
      </c>
    </row>
    <row r="719" spans="1:25" x14ac:dyDescent="0.25">
      <c r="A719" s="1096"/>
      <c r="B719" s="1455">
        <v>469</v>
      </c>
      <c r="C719" s="1100">
        <v>0.97749541788797467</v>
      </c>
      <c r="D719" s="1100">
        <v>1.0009774864846868</v>
      </c>
      <c r="E719" s="1100">
        <v>1.0325816207964129</v>
      </c>
      <c r="F719" s="1100">
        <v>1.0040019955544679</v>
      </c>
      <c r="G719" s="1100">
        <v>0.97856539242837015</v>
      </c>
      <c r="H719" s="1100">
        <v>1.0156958398841456</v>
      </c>
      <c r="I719" s="1100">
        <v>0.9944126209242321</v>
      </c>
      <c r="K719">
        <v>2.2477900868007499</v>
      </c>
      <c r="L719">
        <v>0</v>
      </c>
      <c r="M719">
        <v>1.5015141888116345E-3</v>
      </c>
      <c r="N719">
        <v>0.15067118833294602</v>
      </c>
      <c r="O719">
        <v>2.0223484077696276E-2</v>
      </c>
      <c r="P719">
        <v>2.6918784726908323E-2</v>
      </c>
      <c r="Q719">
        <v>5.82594949265248E-3</v>
      </c>
      <c r="R719">
        <v>1.480736380097328E-3</v>
      </c>
      <c r="S719">
        <v>0.24710881663201437</v>
      </c>
      <c r="T719">
        <v>1.3493053452208645</v>
      </c>
      <c r="U719">
        <v>0.14613646487977483</v>
      </c>
      <c r="V719">
        <v>0.18369968061530631</v>
      </c>
      <c r="W719">
        <v>9.7106356237922228E-2</v>
      </c>
      <c r="X719">
        <v>1.6784718091366287E-2</v>
      </c>
      <c r="Y719">
        <v>4.0300763020084144E-3</v>
      </c>
    </row>
    <row r="720" spans="1:25" x14ac:dyDescent="0.25">
      <c r="A720" s="1096"/>
      <c r="B720" s="1455">
        <v>470</v>
      </c>
      <c r="C720" s="1100">
        <v>0.98073221136220023</v>
      </c>
      <c r="D720" s="1100">
        <v>1.0053965806500715</v>
      </c>
      <c r="E720" s="1100">
        <v>0.98256200900466317</v>
      </c>
      <c r="F720" s="1100">
        <v>0.98208375395565861</v>
      </c>
      <c r="G720" s="1100">
        <v>1.0262027628057895</v>
      </c>
      <c r="H720" s="1100">
        <v>1.0021525696909617</v>
      </c>
      <c r="I720" s="1100">
        <v>1.0155090910931386</v>
      </c>
      <c r="K720">
        <v>2.2088988684281214</v>
      </c>
      <c r="L720">
        <v>0</v>
      </c>
      <c r="M720">
        <v>1.636648618826913E-3</v>
      </c>
      <c r="N720">
        <v>0.14118211124683896</v>
      </c>
      <c r="O720">
        <v>2.0105355958884658E-2</v>
      </c>
      <c r="P720">
        <v>2.5634638611103492E-2</v>
      </c>
      <c r="Q720">
        <v>5.5090528929672786E-3</v>
      </c>
      <c r="R720">
        <v>1.6136947666312974E-3</v>
      </c>
      <c r="S720">
        <v>0.2494496256528079</v>
      </c>
      <c r="T720">
        <v>1.3197626578024744</v>
      </c>
      <c r="U720">
        <v>0.1455366017482671</v>
      </c>
      <c r="V720">
        <v>0.18883841834977536</v>
      </c>
      <c r="W720">
        <v>9.3720020552883934E-2</v>
      </c>
      <c r="X720">
        <v>1.4791394263877747E-2</v>
      </c>
      <c r="Y720">
        <v>4.3919452004335374E-3</v>
      </c>
    </row>
    <row r="721" spans="1:25" x14ac:dyDescent="0.25">
      <c r="A721" s="1096"/>
      <c r="B721" s="1455">
        <v>471</v>
      </c>
      <c r="C721" s="1100">
        <v>0.99482292532698213</v>
      </c>
      <c r="D721" s="1100">
        <v>0.99101683424675979</v>
      </c>
      <c r="E721" s="1100">
        <v>1.0176591678108484</v>
      </c>
      <c r="F721" s="1100">
        <v>0.9799893631705876</v>
      </c>
      <c r="G721" s="1100">
        <v>1.0164559332028931</v>
      </c>
      <c r="H721" s="1100">
        <v>1.0132895616706441</v>
      </c>
      <c r="I721" s="1100">
        <v>0.9974231096991969</v>
      </c>
      <c r="K721">
        <v>2.2045020484531546</v>
      </c>
      <c r="L721">
        <v>0</v>
      </c>
      <c r="M721">
        <v>1.521662674441551E-3</v>
      </c>
      <c r="N721">
        <v>0.14596913617326915</v>
      </c>
      <c r="O721">
        <v>1.9905581580654211E-2</v>
      </c>
      <c r="P721">
        <v>2.6152889075373175E-2</v>
      </c>
      <c r="Q721">
        <v>5.6501621815632144E-3</v>
      </c>
      <c r="R721">
        <v>1.5005560493597033E-3</v>
      </c>
      <c r="S721">
        <v>0.24444554984941383</v>
      </c>
      <c r="T721">
        <v>1.3170029449152314</v>
      </c>
      <c r="U721">
        <v>0.14355644019930655</v>
      </c>
      <c r="V721">
        <v>0.18691097086872555</v>
      </c>
      <c r="W721">
        <v>9.4897519286984658E-2</v>
      </c>
      <c r="X721">
        <v>1.5947942039522642E-2</v>
      </c>
      <c r="Y721">
        <v>4.0840189081883839E-3</v>
      </c>
    </row>
    <row r="722" spans="1:25" x14ac:dyDescent="0.25">
      <c r="A722" s="1096"/>
      <c r="B722" s="1455">
        <v>472</v>
      </c>
      <c r="C722" s="1100">
        <v>0.98764471339546955</v>
      </c>
      <c r="D722" s="1100">
        <v>0.99686013095959436</v>
      </c>
      <c r="E722" s="1100">
        <v>0.97783918087652444</v>
      </c>
      <c r="F722" s="1100">
        <v>1.0377517348346745</v>
      </c>
      <c r="G722" s="1100">
        <v>0.99477852239057041</v>
      </c>
      <c r="H722" s="1100">
        <v>0.95488805685465028</v>
      </c>
      <c r="I722" s="1100">
        <v>1.0339977428842004</v>
      </c>
      <c r="K722">
        <v>2.2659873513560074</v>
      </c>
      <c r="L722">
        <v>0</v>
      </c>
      <c r="M722">
        <v>1.5666782938250955E-3</v>
      </c>
      <c r="N722">
        <v>0.13313502785882603</v>
      </c>
      <c r="O722">
        <v>1.9999146448957169E-2</v>
      </c>
      <c r="P722">
        <v>2.6477122412182412E-2</v>
      </c>
      <c r="Q722">
        <v>5.4537111975546792E-3</v>
      </c>
      <c r="R722">
        <v>1.5436181855690949E-3</v>
      </c>
      <c r="S722">
        <v>0.24928452303817286</v>
      </c>
      <c r="T722">
        <v>1.3945657938733129</v>
      </c>
      <c r="U722">
        <v>0.14450702006370425</v>
      </c>
      <c r="V722">
        <v>0.18485888275089571</v>
      </c>
      <c r="W722">
        <v>8.8630529030668551E-2</v>
      </c>
      <c r="X722">
        <v>1.4897434942465915E-2</v>
      </c>
      <c r="Y722">
        <v>4.2012198475209614E-3</v>
      </c>
    </row>
    <row r="723" spans="1:25" x14ac:dyDescent="0.25">
      <c r="A723" s="1096"/>
      <c r="B723" s="1455">
        <v>473</v>
      </c>
      <c r="C723" s="1100">
        <v>1.0128495111804523</v>
      </c>
      <c r="D723" s="1100">
        <v>0.98532114593535958</v>
      </c>
      <c r="E723" s="1100">
        <v>0.98015217846869662</v>
      </c>
      <c r="F723" s="1100">
        <v>1.0033180924524479</v>
      </c>
      <c r="G723" s="1100">
        <v>1.0198509854728275</v>
      </c>
      <c r="H723" s="1100">
        <v>0.99776051169751845</v>
      </c>
      <c r="I723" s="1100">
        <v>0.97292838839608931</v>
      </c>
      <c r="K723">
        <v>2.2052404196191233</v>
      </c>
      <c r="L723">
        <v>0</v>
      </c>
      <c r="M723">
        <v>1.5927408099885142E-3</v>
      </c>
      <c r="N723">
        <v>0.13638790867988848</v>
      </c>
      <c r="O723">
        <v>1.955290888663826E-2</v>
      </c>
      <c r="P723">
        <v>2.5657914688888131E-2</v>
      </c>
      <c r="Q723">
        <v>5.3445804288533077E-3</v>
      </c>
      <c r="R723">
        <v>1.5703044307140144E-3</v>
      </c>
      <c r="S723">
        <v>0.23339633972122342</v>
      </c>
      <c r="T723">
        <v>1.3482953310467511</v>
      </c>
      <c r="U723">
        <v>0.14091619741420222</v>
      </c>
      <c r="V723">
        <v>0.18620083333961004</v>
      </c>
      <c r="W723">
        <v>9.0669211957232237E-2</v>
      </c>
      <c r="X723">
        <v>1.456777882542073E-2</v>
      </c>
      <c r="Y723">
        <v>4.2738510096870849E-3</v>
      </c>
    </row>
    <row r="724" spans="1:25" x14ac:dyDescent="0.25">
      <c r="A724" s="1096"/>
      <c r="B724" s="1455">
        <v>474</v>
      </c>
      <c r="C724" s="1100">
        <v>1.0330403778409727</v>
      </c>
      <c r="D724" s="1100">
        <v>0.97082678712510551</v>
      </c>
      <c r="E724" s="1100">
        <v>0.97558207442567213</v>
      </c>
      <c r="F724" s="1100">
        <v>1.0230922905772246</v>
      </c>
      <c r="G724" s="1100">
        <v>0.98255117628083766</v>
      </c>
      <c r="H724" s="1100">
        <v>0.98429945038142141</v>
      </c>
      <c r="I724" s="1100">
        <v>0.96200256060531342</v>
      </c>
      <c r="K724">
        <v>2.2090555103670715</v>
      </c>
      <c r="L724">
        <v>0</v>
      </c>
      <c r="M724">
        <v>1.5602431193314948E-3</v>
      </c>
      <c r="N724">
        <v>0.131744345669501</v>
      </c>
      <c r="O724">
        <v>1.9230578316800948E-2</v>
      </c>
      <c r="P724">
        <v>2.5728927901506653E-2</v>
      </c>
      <c r="Q724">
        <v>5.232085968093104E-3</v>
      </c>
      <c r="R724">
        <v>1.5379639491803769E-3</v>
      </c>
      <c r="S724">
        <v>0.22691035345339045</v>
      </c>
      <c r="T724">
        <v>1.3748634400506021</v>
      </c>
      <c r="U724">
        <v>0.13815182875040077</v>
      </c>
      <c r="V724">
        <v>0.18083624369376636</v>
      </c>
      <c r="W724">
        <v>8.7824651664309916E-2</v>
      </c>
      <c r="X724">
        <v>1.4369503188860759E-2</v>
      </c>
      <c r="Y724">
        <v>4.1858308799893936E-3</v>
      </c>
    </row>
    <row r="725" spans="1:25" x14ac:dyDescent="0.25">
      <c r="A725" s="1096"/>
      <c r="B725" s="1455">
        <v>475</v>
      </c>
      <c r="C725" s="1100">
        <v>0.96862102561068808</v>
      </c>
      <c r="D725" s="1100">
        <v>1.0003407000450522</v>
      </c>
      <c r="E725" s="1100">
        <v>1.0015522214662989</v>
      </c>
      <c r="F725" s="1100">
        <v>0.98580497302698689</v>
      </c>
      <c r="G725" s="1100">
        <v>1.001863363543227</v>
      </c>
      <c r="H725" s="1100">
        <v>1.0237254744020592</v>
      </c>
      <c r="I725" s="1100">
        <v>1.0396664405462541</v>
      </c>
      <c r="K725">
        <v>2.2392442672192598</v>
      </c>
      <c r="L725">
        <v>0</v>
      </c>
      <c r="M725">
        <v>1.6292850459807284E-3</v>
      </c>
      <c r="N725">
        <v>0.14889599244119359</v>
      </c>
      <c r="O725">
        <v>2.0391565022408784E-2</v>
      </c>
      <c r="P725">
        <v>2.6231008867491412E-2</v>
      </c>
      <c r="Q725">
        <v>5.6956384585812331E-3</v>
      </c>
      <c r="R725">
        <v>1.6069159961004458E-3</v>
      </c>
      <c r="S725">
        <v>0.2612380797615283</v>
      </c>
      <c r="T725">
        <v>1.3247899391604752</v>
      </c>
      <c r="U725">
        <v>0.14740140441789515</v>
      </c>
      <c r="V725">
        <v>0.18686020457239774</v>
      </c>
      <c r="W725">
        <v>9.772440270322183E-2</v>
      </c>
      <c r="X725">
        <v>1.5664905242273978E-2</v>
      </c>
      <c r="Y725">
        <v>4.3734956216696643E-3</v>
      </c>
    </row>
    <row r="726" spans="1:25" x14ac:dyDescent="0.25">
      <c r="A726" s="1096"/>
      <c r="B726" s="1455">
        <v>476</v>
      </c>
      <c r="C726" s="1100">
        <v>0.98933918212055505</v>
      </c>
      <c r="D726" s="1100">
        <v>1.0023081536911653</v>
      </c>
      <c r="E726" s="1100">
        <v>0.97512873317043047</v>
      </c>
      <c r="F726" s="1100">
        <v>1.002468731679268</v>
      </c>
      <c r="G726" s="1100">
        <v>1.0021967466595278</v>
      </c>
      <c r="H726" s="1100">
        <v>0.97463116364977354</v>
      </c>
      <c r="I726" s="1100">
        <v>0.96053885143781514</v>
      </c>
      <c r="K726">
        <v>2.2040748333185238</v>
      </c>
      <c r="L726">
        <v>0</v>
      </c>
      <c r="M726">
        <v>1.6033750900724608E-3</v>
      </c>
      <c r="N726">
        <v>0.13518126965197835</v>
      </c>
      <c r="O726">
        <v>1.9939264437770346E-2</v>
      </c>
      <c r="P726">
        <v>2.5563327066605631E-2</v>
      </c>
      <c r="Q726">
        <v>5.422393479071118E-3</v>
      </c>
      <c r="R726">
        <v>1.5802529080729496E-3</v>
      </c>
      <c r="S726">
        <v>0.23205932460862155</v>
      </c>
      <c r="T726">
        <v>1.3471483781477818</v>
      </c>
      <c r="U726">
        <v>0.14425323526440087</v>
      </c>
      <c r="V726">
        <v>0.18559231724598138</v>
      </c>
      <c r="W726">
        <v>9.0140568723121109E-2</v>
      </c>
      <c r="X726">
        <v>1.4496949389647478E-2</v>
      </c>
      <c r="Y726">
        <v>4.3009274855434262E-3</v>
      </c>
    </row>
    <row r="727" spans="1:25" x14ac:dyDescent="0.25">
      <c r="A727" s="1096"/>
      <c r="B727" s="1455">
        <v>477</v>
      </c>
      <c r="C727" s="1100">
        <v>1.002712000764165</v>
      </c>
      <c r="D727" s="1100">
        <v>0.97063519440877444</v>
      </c>
      <c r="E727" s="1100">
        <v>1.0178183621161199</v>
      </c>
      <c r="F727" s="1100">
        <v>1.0221585314090973</v>
      </c>
      <c r="G727" s="1100">
        <v>0.98519151054239706</v>
      </c>
      <c r="H727" s="1100">
        <v>0.99812856261635785</v>
      </c>
      <c r="I727" s="1100">
        <v>0.98885832903289883</v>
      </c>
      <c r="K727">
        <v>2.2496379943290168</v>
      </c>
      <c r="L727">
        <v>0</v>
      </c>
      <c r="M727">
        <v>1.493422093660814E-3</v>
      </c>
      <c r="N727">
        <v>0.1432982975404021</v>
      </c>
      <c r="O727">
        <v>1.9839564452109451E-2</v>
      </c>
      <c r="P727">
        <v>2.6831073461121381E-2</v>
      </c>
      <c r="Q727">
        <v>5.6323157645185844E-3</v>
      </c>
      <c r="R727">
        <v>1.4723925395102291E-3</v>
      </c>
      <c r="S727">
        <v>0.2417453905566965</v>
      </c>
      <c r="T727">
        <v>1.3736742065731908</v>
      </c>
      <c r="U727">
        <v>0.1424273422390924</v>
      </c>
      <c r="V727">
        <v>0.18290794447187175</v>
      </c>
      <c r="W727">
        <v>9.3152460695300754E-2</v>
      </c>
      <c r="X727">
        <v>1.6143061010387622E-2</v>
      </c>
      <c r="Y727">
        <v>4.0073671184766412E-3</v>
      </c>
    </row>
    <row r="728" spans="1:25" x14ac:dyDescent="0.25">
      <c r="A728" s="1096"/>
      <c r="B728" s="1455">
        <v>478</v>
      </c>
      <c r="C728" s="1100">
        <v>0.98944516377570613</v>
      </c>
      <c r="D728" s="1100">
        <v>1.0104853664476683</v>
      </c>
      <c r="E728" s="1100">
        <v>0.98626110861976912</v>
      </c>
      <c r="F728" s="1100">
        <v>0.96984593537053565</v>
      </c>
      <c r="G728" s="1100">
        <v>1.0254885900122237</v>
      </c>
      <c r="H728" s="1100">
        <v>1.047938095711177</v>
      </c>
      <c r="I728" s="1100">
        <v>1.0178192773672896</v>
      </c>
      <c r="K728">
        <v>2.2009680782080112</v>
      </c>
      <c r="L728">
        <v>0</v>
      </c>
      <c r="M728">
        <v>1.6815482642173368E-3</v>
      </c>
      <c r="N728">
        <v>0.1467785265977441</v>
      </c>
      <c r="O728">
        <v>1.9908512092391355E-2</v>
      </c>
      <c r="P728">
        <v>2.5479759524759713E-2</v>
      </c>
      <c r="Q728">
        <v>5.4756139349504363E-3</v>
      </c>
      <c r="R728">
        <v>1.6589950894462717E-3</v>
      </c>
      <c r="S728">
        <v>0.25098666317851198</v>
      </c>
      <c r="T728">
        <v>1.3033214872286323</v>
      </c>
      <c r="U728">
        <v>0.1442636072952001</v>
      </c>
      <c r="V728">
        <v>0.18822833665690447</v>
      </c>
      <c r="W728">
        <v>9.7218422490959397E-2</v>
      </c>
      <c r="X728">
        <v>1.4814464636836971E-2</v>
      </c>
      <c r="Y728">
        <v>4.5152377458884943E-3</v>
      </c>
    </row>
    <row r="729" spans="1:25" x14ac:dyDescent="0.25">
      <c r="A729" s="1096"/>
      <c r="B729" s="1455">
        <v>479</v>
      </c>
      <c r="C729" s="1100">
        <v>1.0009455794589579</v>
      </c>
      <c r="D729" s="1100">
        <v>1.0053749890110883</v>
      </c>
      <c r="E729" s="1100">
        <v>1.0355042559787166</v>
      </c>
      <c r="F729" s="1100">
        <v>1.001122640130689</v>
      </c>
      <c r="G729" s="1100">
        <v>0.98042622826335502</v>
      </c>
      <c r="H729" s="1100">
        <v>0.99648085841705958</v>
      </c>
      <c r="I729" s="1100">
        <v>0.97215023619613783</v>
      </c>
      <c r="K729">
        <v>2.2146598724738844</v>
      </c>
      <c r="L729">
        <v>0</v>
      </c>
      <c r="M729">
        <v>1.4284783707561976E-3</v>
      </c>
      <c r="N729">
        <v>0.1445713152694669</v>
      </c>
      <c r="O729">
        <v>1.9732482036598761E-2</v>
      </c>
      <c r="P729">
        <v>2.667225653399587E-2</v>
      </c>
      <c r="Q729">
        <v>5.7009155597016088E-3</v>
      </c>
      <c r="R729">
        <v>1.408330057931482E-3</v>
      </c>
      <c r="S729">
        <v>0.23393018632532017</v>
      </c>
      <c r="T729">
        <v>1.3454424934509672</v>
      </c>
      <c r="U729">
        <v>0.14271953532775472</v>
      </c>
      <c r="V729">
        <v>0.18249016307195426</v>
      </c>
      <c r="W729">
        <v>9.3017598021459008E-2</v>
      </c>
      <c r="X729">
        <v>1.6570065027680433E-2</v>
      </c>
      <c r="Y729">
        <v>3.8330101618106686E-3</v>
      </c>
    </row>
    <row r="730" spans="1:25" x14ac:dyDescent="0.25">
      <c r="A730" s="1096"/>
      <c r="B730" s="1455">
        <v>480</v>
      </c>
      <c r="C730" s="1100">
        <v>1.0093127713078764</v>
      </c>
      <c r="D730" s="1100">
        <v>0.9961970402832685</v>
      </c>
      <c r="E730" s="1100">
        <v>0.97572971527567154</v>
      </c>
      <c r="F730" s="1100">
        <v>1.040603718547795</v>
      </c>
      <c r="G730" s="1100">
        <v>1.0245008418387838</v>
      </c>
      <c r="H730" s="1100">
        <v>1.0058236863363925</v>
      </c>
      <c r="I730" s="1100">
        <v>0.99224146421944026</v>
      </c>
      <c r="K730">
        <v>2.2635564537693331</v>
      </c>
      <c r="L730">
        <v>0</v>
      </c>
      <c r="M730">
        <v>1.6221131978984965E-3</v>
      </c>
      <c r="N730">
        <v>0.13707225020201555</v>
      </c>
      <c r="O730">
        <v>1.9571365399697411E-2</v>
      </c>
      <c r="P730">
        <v>2.632291490904037E-2</v>
      </c>
      <c r="Q730">
        <v>5.3256053540552493E-3</v>
      </c>
      <c r="R730">
        <v>1.599446238013021E-3</v>
      </c>
      <c r="S730">
        <v>0.23815785793164804</v>
      </c>
      <c r="T730">
        <v>1.3983960076304469</v>
      </c>
      <c r="U730">
        <v>0.14139993073269622</v>
      </c>
      <c r="V730">
        <v>0.1869279867273477</v>
      </c>
      <c r="W730">
        <v>9.1368215509765843E-2</v>
      </c>
      <c r="X730">
        <v>1.4683820929942406E-2</v>
      </c>
      <c r="Y730">
        <v>4.3531654025607859E-3</v>
      </c>
    </row>
    <row r="731" spans="1:25" x14ac:dyDescent="0.25">
      <c r="A731" s="1096"/>
      <c r="B731" s="1455">
        <v>481</v>
      </c>
      <c r="C731" s="1100">
        <v>1.0171688662465093</v>
      </c>
      <c r="D731" s="1100">
        <v>0.97923372136518128</v>
      </c>
      <c r="E731" s="1100">
        <v>0.99411195389448337</v>
      </c>
      <c r="F731" s="1100">
        <v>0.97096771156746997</v>
      </c>
      <c r="G731" s="1100">
        <v>0.99891685037424049</v>
      </c>
      <c r="H731" s="1100">
        <v>0.99638881493827125</v>
      </c>
      <c r="I731" s="1100">
        <v>1.0017749950753572</v>
      </c>
      <c r="K731">
        <v>2.1664369041824729</v>
      </c>
      <c r="L731">
        <v>0</v>
      </c>
      <c r="M731">
        <v>1.5407818789926894E-3</v>
      </c>
      <c r="N731">
        <v>0.13762498782374741</v>
      </c>
      <c r="O731">
        <v>1.9505036911912518E-2</v>
      </c>
      <c r="P731">
        <v>2.5386415126978625E-2</v>
      </c>
      <c r="Q731">
        <v>5.4073779435218914E-3</v>
      </c>
      <c r="R731">
        <v>1.5190475470655963E-3</v>
      </c>
      <c r="S731">
        <v>0.24003738506681746</v>
      </c>
      <c r="T731">
        <v>1.304839484668316</v>
      </c>
      <c r="U731">
        <v>0.14034933653378187</v>
      </c>
      <c r="V731">
        <v>0.18359750761963176</v>
      </c>
      <c r="W731">
        <v>9.072794865095081E-2</v>
      </c>
      <c r="X731">
        <v>1.4848811499517346E-2</v>
      </c>
      <c r="Y731">
        <v>4.1343466692232433E-3</v>
      </c>
    </row>
    <row r="732" spans="1:25" x14ac:dyDescent="0.25">
      <c r="A732" s="1096"/>
      <c r="B732" s="1455">
        <v>482</v>
      </c>
      <c r="C732" s="1100">
        <v>0.98932734843696268</v>
      </c>
      <c r="D732" s="1100">
        <v>0.95426157887728014</v>
      </c>
      <c r="E732" s="1100">
        <v>0.98694338478084442</v>
      </c>
      <c r="F732" s="1100">
        <v>1.0151864961631356</v>
      </c>
      <c r="G732" s="1100">
        <v>0.99738775722905304</v>
      </c>
      <c r="H732" s="1100">
        <v>0.99165687443148298</v>
      </c>
      <c r="I732" s="1100">
        <v>0.98430846119655546</v>
      </c>
      <c r="K732">
        <v>2.2439289657596273</v>
      </c>
      <c r="L732">
        <v>0</v>
      </c>
      <c r="M732">
        <v>1.6093232086472026E-3</v>
      </c>
      <c r="N732">
        <v>0.14065570308735401</v>
      </c>
      <c r="O732">
        <v>2.0163672891840598E-2</v>
      </c>
      <c r="P732">
        <v>2.619566026984502E-2</v>
      </c>
      <c r="Q732">
        <v>5.5496261056033162E-3</v>
      </c>
      <c r="R732">
        <v>1.5865137055418312E-3</v>
      </c>
      <c r="S732">
        <v>0.24522657680965956</v>
      </c>
      <c r="T732">
        <v>1.3642530207896282</v>
      </c>
      <c r="U732">
        <v>0.14428237148645831</v>
      </c>
      <c r="V732">
        <v>0.18505954776681807</v>
      </c>
      <c r="W732">
        <v>9.3124811564032364E-2</v>
      </c>
      <c r="X732">
        <v>1.5122817179109722E-2</v>
      </c>
      <c r="Y732">
        <v>4.3179673123823906E-3</v>
      </c>
    </row>
    <row r="733" spans="1:25" x14ac:dyDescent="0.25">
      <c r="A733" s="1096"/>
      <c r="B733" s="1455">
        <v>483</v>
      </c>
      <c r="C733" s="1100">
        <v>0.98074994135970817</v>
      </c>
      <c r="D733" s="1100">
        <v>0.9790818090831841</v>
      </c>
      <c r="E733" s="1100">
        <v>0.97386492755883536</v>
      </c>
      <c r="F733" s="1100">
        <v>0.97639672994531068</v>
      </c>
      <c r="G733" s="1100">
        <v>0.97089431667180992</v>
      </c>
      <c r="H733" s="1100">
        <v>0.99216796390734197</v>
      </c>
      <c r="I733" s="1100">
        <v>1.0159106269910054</v>
      </c>
      <c r="K733">
        <v>2.1945117686756586</v>
      </c>
      <c r="L733">
        <v>0</v>
      </c>
      <c r="M733">
        <v>1.6593614277114466E-3</v>
      </c>
      <c r="N733">
        <v>0.13940339024884535</v>
      </c>
      <c r="O733">
        <v>2.0217099719507067E-2</v>
      </c>
      <c r="P733">
        <v>2.5312986506784436E-2</v>
      </c>
      <c r="Q733">
        <v>5.4908701464094836E-3</v>
      </c>
      <c r="R733">
        <v>1.6358548304034226E-3</v>
      </c>
      <c r="S733">
        <v>0.25197037615648443</v>
      </c>
      <c r="T733">
        <v>1.3121107442470805</v>
      </c>
      <c r="U733">
        <v>0.1455136259553427</v>
      </c>
      <c r="V733">
        <v>0.18257762888368034</v>
      </c>
      <c r="W733">
        <v>9.3027205456114134E-2</v>
      </c>
      <c r="X733">
        <v>1.4459090363759588E-2</v>
      </c>
      <c r="Y733">
        <v>4.4522575889582037E-3</v>
      </c>
    </row>
    <row r="734" spans="1:25" x14ac:dyDescent="0.25">
      <c r="A734" s="1096"/>
      <c r="B734" s="1455">
        <v>484</v>
      </c>
      <c r="C734" s="1100">
        <v>1.0212897368822804</v>
      </c>
      <c r="D734" s="1100">
        <v>0.99915105458762909</v>
      </c>
      <c r="E734" s="1100">
        <v>1.0044868252925285</v>
      </c>
      <c r="F734" s="1100">
        <v>1.0028306422128415</v>
      </c>
      <c r="G734" s="1100">
        <v>0.96319699778719758</v>
      </c>
      <c r="H734" s="1100">
        <v>0.99625542512499632</v>
      </c>
      <c r="I734" s="1100">
        <v>0.99639788159033815</v>
      </c>
      <c r="K734">
        <v>2.2004728720534854</v>
      </c>
      <c r="L734">
        <v>0</v>
      </c>
      <c r="M734">
        <v>1.4950577721159822E-3</v>
      </c>
      <c r="N734">
        <v>0.1377928919715177</v>
      </c>
      <c r="O734">
        <v>1.9346815826811213E-2</v>
      </c>
      <c r="P734">
        <v>2.6041655390987448E-2</v>
      </c>
      <c r="Q734">
        <v>5.4197630240846624E-3</v>
      </c>
      <c r="R734">
        <v>1.4739656026250473E-3</v>
      </c>
      <c r="S734">
        <v>0.23546841190445483</v>
      </c>
      <c r="T734">
        <v>1.3476750377991182</v>
      </c>
      <c r="U734">
        <v>0.13980641725694831</v>
      </c>
      <c r="V734">
        <v>0.17933351765334596</v>
      </c>
      <c r="W734">
        <v>9.0279917054872011E-2</v>
      </c>
      <c r="X734">
        <v>1.531788786311997E-2</v>
      </c>
      <c r="Y734">
        <v>4.0116484777150607E-3</v>
      </c>
    </row>
    <row r="735" spans="1:25" x14ac:dyDescent="0.25">
      <c r="A735" s="1096"/>
      <c r="B735" s="1455">
        <v>485</v>
      </c>
      <c r="C735" s="1100">
        <v>1.0401632517087827</v>
      </c>
      <c r="D735" s="1100">
        <v>0.9750759181641997</v>
      </c>
      <c r="E735" s="1100">
        <v>1.0163332663059441</v>
      </c>
      <c r="F735" s="1100">
        <v>1.0220087810330949</v>
      </c>
      <c r="G735" s="1100">
        <v>1.0216568902110001</v>
      </c>
      <c r="H735" s="1100">
        <v>1.0215957624324343</v>
      </c>
      <c r="I735" s="1100">
        <v>0.99566114668380534</v>
      </c>
      <c r="K735">
        <v>2.2354290954098768</v>
      </c>
      <c r="L735">
        <v>0</v>
      </c>
      <c r="M735">
        <v>1.476573671857277E-3</v>
      </c>
      <c r="N735">
        <v>0.14109443765710544</v>
      </c>
      <c r="O735">
        <v>1.9105142136797305E-2</v>
      </c>
      <c r="P735">
        <v>2.667495110935806E-2</v>
      </c>
      <c r="Q735">
        <v>5.4158036275923473E-3</v>
      </c>
      <c r="R735">
        <v>1.4562589905063011E-3</v>
      </c>
      <c r="S735">
        <v>0.23590706122224989</v>
      </c>
      <c r="T735">
        <v>1.3734699823867087</v>
      </c>
      <c r="U735">
        <v>0.13729592634121501</v>
      </c>
      <c r="V735">
        <v>0.18489758578182988</v>
      </c>
      <c r="W735">
        <v>9.1799729971353994E-2</v>
      </c>
      <c r="X735">
        <v>1.5825332940504911E-2</v>
      </c>
      <c r="Y735">
        <v>3.9634569165109493E-3</v>
      </c>
    </row>
    <row r="736" spans="1:25" x14ac:dyDescent="0.25">
      <c r="A736" s="1096"/>
      <c r="B736" s="1455">
        <v>486</v>
      </c>
      <c r="C736" s="1100">
        <v>0.99593351632685845</v>
      </c>
      <c r="D736" s="1100">
        <v>0.98884150543122207</v>
      </c>
      <c r="E736" s="1100">
        <v>1.013579415995213</v>
      </c>
      <c r="F736" s="1100">
        <v>1.0191950564045535</v>
      </c>
      <c r="G736" s="1100">
        <v>1.0066216080994734</v>
      </c>
      <c r="H736" s="1100">
        <v>0.97130339284095246</v>
      </c>
      <c r="I736" s="1100">
        <v>1.0267055265771459</v>
      </c>
      <c r="K736">
        <v>2.2491093426641333</v>
      </c>
      <c r="L736">
        <v>0</v>
      </c>
      <c r="M736">
        <v>1.4701079354463137E-3</v>
      </c>
      <c r="N736">
        <v>0.13921333424396559</v>
      </c>
      <c r="O736">
        <v>1.9890427733361127E-2</v>
      </c>
      <c r="P736">
        <v>2.6832382009968524E-2</v>
      </c>
      <c r="Q736">
        <v>5.6229532411780532E-3</v>
      </c>
      <c r="R736">
        <v>1.4488349573469428E-3</v>
      </c>
      <c r="S736">
        <v>0.24810592019764716</v>
      </c>
      <c r="T736">
        <v>1.3696832643065033</v>
      </c>
      <c r="U736">
        <v>0.14338690287834246</v>
      </c>
      <c r="V736">
        <v>0.18572916237658596</v>
      </c>
      <c r="W736">
        <v>9.0722464805912034E-2</v>
      </c>
      <c r="X736">
        <v>1.6000552703183315E-2</v>
      </c>
      <c r="Y736">
        <v>3.9432511455830491E-3</v>
      </c>
    </row>
    <row r="737" spans="1:25" x14ac:dyDescent="0.25">
      <c r="A737" s="1096"/>
      <c r="B737" s="1455">
        <v>487</v>
      </c>
      <c r="C737" s="1100">
        <v>1.0423693219895458</v>
      </c>
      <c r="D737" s="1100">
        <v>0.98584817044054718</v>
      </c>
      <c r="E737" s="1100">
        <v>0.99226757278245226</v>
      </c>
      <c r="F737" s="1100">
        <v>1.019931788385716</v>
      </c>
      <c r="G737" s="1100">
        <v>1.0218371338430217</v>
      </c>
      <c r="H737" s="1100">
        <v>1.0071333956033401</v>
      </c>
      <c r="I737" s="1100">
        <v>1.0036545201980021</v>
      </c>
      <c r="K737">
        <v>2.2210916272214045</v>
      </c>
      <c r="L737">
        <v>0</v>
      </c>
      <c r="M737">
        <v>1.5233065508949289E-3</v>
      </c>
      <c r="N737">
        <v>0.13532826374014159</v>
      </c>
      <c r="O737">
        <v>1.9004204513936942E-2</v>
      </c>
      <c r="P737">
        <v>2.6141305068655533E-2</v>
      </c>
      <c r="Q737">
        <v>5.2587369544545154E-3</v>
      </c>
      <c r="R737">
        <v>1.5020479690418134E-3</v>
      </c>
      <c r="S737">
        <v>0.23470087123917877</v>
      </c>
      <c r="T737">
        <v>1.3706373714942839</v>
      </c>
      <c r="U737">
        <v>0.13695216343185043</v>
      </c>
      <c r="V737">
        <v>0.18477696509560559</v>
      </c>
      <c r="W737">
        <v>8.9312233354131035E-2</v>
      </c>
      <c r="X737">
        <v>1.4912691489266753E-2</v>
      </c>
      <c r="Y737">
        <v>4.088079421751897E-3</v>
      </c>
    </row>
    <row r="738" spans="1:25" x14ac:dyDescent="0.25">
      <c r="A738" s="1096"/>
      <c r="B738" s="1455">
        <v>488</v>
      </c>
      <c r="C738" s="1100">
        <v>0.98479465791058263</v>
      </c>
      <c r="D738" s="1100">
        <v>0.99361550692160794</v>
      </c>
      <c r="E738" s="1100">
        <v>0.99584181396394089</v>
      </c>
      <c r="F738" s="1100">
        <v>0.96563405619270071</v>
      </c>
      <c r="G738" s="1100">
        <v>0.96848809038224393</v>
      </c>
      <c r="H738" s="1100">
        <v>1.0002305404107681</v>
      </c>
      <c r="I738" s="1100">
        <v>1.0009619017379059</v>
      </c>
      <c r="K738">
        <v>2.1777323465094809</v>
      </c>
      <c r="L738">
        <v>0</v>
      </c>
      <c r="M738">
        <v>1.5867540712026604E-3</v>
      </c>
      <c r="N738">
        <v>0.14248206495597004</v>
      </c>
      <c r="O738">
        <v>2.0082827379175241E-2</v>
      </c>
      <c r="P738">
        <v>2.5448568255396927E-2</v>
      </c>
      <c r="Q738">
        <v>5.5772751110011046E-3</v>
      </c>
      <c r="R738">
        <v>1.5644572224812359E-3</v>
      </c>
      <c r="S738">
        <v>0.24625172775025797</v>
      </c>
      <c r="T738">
        <v>1.2976743039161156</v>
      </c>
      <c r="U738">
        <v>0.14496723139690382</v>
      </c>
      <c r="V738">
        <v>0.18207657787320849</v>
      </c>
      <c r="W738">
        <v>9.3833023523819892E-2</v>
      </c>
      <c r="X738">
        <v>1.5103106359945145E-2</v>
      </c>
      <c r="Y738">
        <v>4.2579368364091368E-3</v>
      </c>
    </row>
    <row r="739" spans="1:25" x14ac:dyDescent="0.25">
      <c r="A739" s="1096"/>
      <c r="B739" s="1455">
        <v>489</v>
      </c>
      <c r="C739" s="1100">
        <v>0.98228087846050094</v>
      </c>
      <c r="D739" s="1100">
        <v>0.97206456587890022</v>
      </c>
      <c r="E739" s="1100">
        <v>0.98907218963429133</v>
      </c>
      <c r="F739" s="1100">
        <v>0.9952595787623788</v>
      </c>
      <c r="G739" s="1100">
        <v>0.99722727368514774</v>
      </c>
      <c r="H739" s="1100">
        <v>1.0098433933461319</v>
      </c>
      <c r="I739" s="1100">
        <v>0.98445564243570005</v>
      </c>
      <c r="K739">
        <v>2.2249188080490159</v>
      </c>
      <c r="L739">
        <v>0</v>
      </c>
      <c r="M739">
        <v>1.6366656003774032E-3</v>
      </c>
      <c r="N739">
        <v>0.14400650847010243</v>
      </c>
      <c r="O739">
        <v>2.0227260785051479E-2</v>
      </c>
      <c r="P739">
        <v>2.590847748835751E-2</v>
      </c>
      <c r="Q739">
        <v>5.5791324276642526E-3</v>
      </c>
      <c r="R739">
        <v>1.6138863251045003E-3</v>
      </c>
      <c r="S739">
        <v>0.24621651236459779</v>
      </c>
      <c r="T739">
        <v>1.3374771567628789</v>
      </c>
      <c r="U739">
        <v>0.14532237262412551</v>
      </c>
      <c r="V739">
        <v>0.18547333956020592</v>
      </c>
      <c r="W739">
        <v>9.5221596655337359E-2</v>
      </c>
      <c r="X739">
        <v>1.5116763626515886E-2</v>
      </c>
      <c r="Y739">
        <v>4.3924665594503622E-3</v>
      </c>
    </row>
    <row r="740" spans="1:25" x14ac:dyDescent="0.25">
      <c r="A740" s="1096"/>
      <c r="B740" s="1455">
        <v>490</v>
      </c>
      <c r="C740" s="1100">
        <v>1.0080836968413291</v>
      </c>
      <c r="D740" s="1100">
        <v>1.0415084866229447</v>
      </c>
      <c r="E740" s="1100">
        <v>0.97798786663418391</v>
      </c>
      <c r="F740" s="1100">
        <v>0.99971066467565306</v>
      </c>
      <c r="G740" s="1100">
        <v>0.97806458453660094</v>
      </c>
      <c r="H740" s="1100">
        <v>0.99760638855004458</v>
      </c>
      <c r="I740" s="1100">
        <v>1.0360705003804942</v>
      </c>
      <c r="K740">
        <v>2.2036703878055084</v>
      </c>
      <c r="L740">
        <v>0</v>
      </c>
      <c r="M740">
        <v>1.5877092331049022E-3</v>
      </c>
      <c r="N740">
        <v>0.13506928911593774</v>
      </c>
      <c r="O740">
        <v>1.9405791468150746E-2</v>
      </c>
      <c r="P740">
        <v>2.5627392812584696E-2</v>
      </c>
      <c r="Q740">
        <v>5.2927056800364542E-3</v>
      </c>
      <c r="R740">
        <v>1.5653402765711355E-3</v>
      </c>
      <c r="S740">
        <v>0.2428975506553353</v>
      </c>
      <c r="T740">
        <v>1.3434450850778978</v>
      </c>
      <c r="U740">
        <v>0.1415774662015451</v>
      </c>
      <c r="V740">
        <v>0.18175220912759757</v>
      </c>
      <c r="W740">
        <v>8.9910117814744617E-2</v>
      </c>
      <c r="X740">
        <v>1.4454808589669191E-2</v>
      </c>
      <c r="Y740">
        <v>4.2603402185431415E-3</v>
      </c>
    </row>
    <row r="741" spans="1:25" x14ac:dyDescent="0.25">
      <c r="A741" s="1096"/>
      <c r="B741" s="1455">
        <v>491</v>
      </c>
      <c r="C741" s="1100">
        <v>0.97397446322959391</v>
      </c>
      <c r="D741" s="1100">
        <v>0.96304000409763091</v>
      </c>
      <c r="E741" s="1100">
        <v>1.0136875483903036</v>
      </c>
      <c r="F741" s="1100">
        <v>1.0264667430893162</v>
      </c>
      <c r="G741" s="1100">
        <v>1.0051450431779172</v>
      </c>
      <c r="H741" s="1100">
        <v>0.97853029100071087</v>
      </c>
      <c r="I741" s="1100">
        <v>0.99305104367788333</v>
      </c>
      <c r="K741">
        <v>2.2741816269396322</v>
      </c>
      <c r="L741">
        <v>0</v>
      </c>
      <c r="M741">
        <v>1.5229297498682438E-3</v>
      </c>
      <c r="N741">
        <v>0.144278066709293</v>
      </c>
      <c r="O741">
        <v>2.04575917210384E-2</v>
      </c>
      <c r="P741">
        <v>2.7046115215833912E-2</v>
      </c>
      <c r="Q741">
        <v>5.7839124018746026E-3</v>
      </c>
      <c r="R741">
        <v>1.501055177412251E-3</v>
      </c>
      <c r="S741">
        <v>0.24927519606406348</v>
      </c>
      <c r="T741">
        <v>1.3794558008805335</v>
      </c>
      <c r="U741">
        <v>0.14661993434914375</v>
      </c>
      <c r="V741">
        <v>0.18690562660484478</v>
      </c>
      <c r="W741">
        <v>9.4017068839470197E-2</v>
      </c>
      <c r="X741">
        <v>1.6278811355781471E-2</v>
      </c>
      <c r="Y741">
        <v>4.0853773702099003E-3</v>
      </c>
    </row>
    <row r="742" spans="1:25" x14ac:dyDescent="0.25">
      <c r="A742" s="1096"/>
      <c r="B742" s="1455">
        <v>492</v>
      </c>
      <c r="C742" s="1100">
        <v>0.99274910976489872</v>
      </c>
      <c r="D742" s="1100">
        <v>0.98717468795400154</v>
      </c>
      <c r="E742" s="1100">
        <v>0.99193106819734334</v>
      </c>
      <c r="F742" s="1100">
        <v>1.0099489515060021</v>
      </c>
      <c r="G742" s="1100">
        <v>1.0187856123792021</v>
      </c>
      <c r="H742" s="1100">
        <v>1.0084868593076639</v>
      </c>
      <c r="I742" s="1100">
        <v>1.0450859057646971</v>
      </c>
      <c r="K742">
        <v>2.2522970058379985</v>
      </c>
      <c r="L742">
        <v>0</v>
      </c>
      <c r="M742">
        <v>1.6022377741239224E-3</v>
      </c>
      <c r="N742">
        <v>0.14219837470104699</v>
      </c>
      <c r="O742">
        <v>1.9947970547500981E-2</v>
      </c>
      <c r="P742">
        <v>2.6375832996376053E-2</v>
      </c>
      <c r="Q742">
        <v>5.5180156403049864E-3</v>
      </c>
      <c r="R742">
        <v>1.579907672497199E-3</v>
      </c>
      <c r="S742">
        <v>0.25654403260664765</v>
      </c>
      <c r="T742">
        <v>1.3572214336185127</v>
      </c>
      <c r="U742">
        <v>0.14379661343017255</v>
      </c>
      <c r="V742">
        <v>0.18727602399806434</v>
      </c>
      <c r="W742">
        <v>9.3865170844770904E-2</v>
      </c>
      <c r="X742">
        <v>1.5275879688112308E-2</v>
      </c>
      <c r="Y742">
        <v>4.2999878681131091E-3</v>
      </c>
    </row>
    <row r="743" spans="1:25" x14ac:dyDescent="0.25">
      <c r="A743" s="1096"/>
      <c r="B743" s="1455">
        <v>493</v>
      </c>
      <c r="C743" s="1100">
        <v>1.0275478890346232</v>
      </c>
      <c r="D743" s="1100">
        <v>1.0257814713729532</v>
      </c>
      <c r="E743" s="1100">
        <v>1.0292464767393876</v>
      </c>
      <c r="F743" s="1100">
        <v>1.0255932935533256</v>
      </c>
      <c r="G743" s="1100">
        <v>1.0003865702068246</v>
      </c>
      <c r="H743" s="1100">
        <v>1.0004313440551831</v>
      </c>
      <c r="I743" s="1100">
        <v>1.0241910422525462</v>
      </c>
      <c r="K743">
        <v>2.24052166616665</v>
      </c>
      <c r="L743">
        <v>0</v>
      </c>
      <c r="M743">
        <v>1.409112363672845E-3</v>
      </c>
      <c r="N743">
        <v>0.13995463521004586</v>
      </c>
      <c r="O743">
        <v>1.9133038342192047E-2</v>
      </c>
      <c r="P743">
        <v>2.7024196965918155E-2</v>
      </c>
      <c r="Q743">
        <v>5.4936797396342805E-3</v>
      </c>
      <c r="R743">
        <v>1.3893156859821967E-3</v>
      </c>
      <c r="S743">
        <v>0.2379535199059514</v>
      </c>
      <c r="T743">
        <v>1.3783147593206941</v>
      </c>
      <c r="U743">
        <v>0.13901056294514499</v>
      </c>
      <c r="V743">
        <v>0.18320526986724714</v>
      </c>
      <c r="W743">
        <v>9.0374292390768038E-2</v>
      </c>
      <c r="X743">
        <v>1.6296248847292302E-2</v>
      </c>
      <c r="Y743">
        <v>3.7812593094507427E-3</v>
      </c>
    </row>
    <row r="744" spans="1:25" x14ac:dyDescent="0.25">
      <c r="A744" s="1096"/>
      <c r="B744" s="1455">
        <v>494</v>
      </c>
      <c r="C744" s="1100">
        <v>1.0150000245091104</v>
      </c>
      <c r="D744" s="1100">
        <v>0.9729183853818042</v>
      </c>
      <c r="E744" s="1100">
        <v>0.96157358812046201</v>
      </c>
      <c r="F744" s="1100">
        <v>1.0202106903103598</v>
      </c>
      <c r="G744" s="1100">
        <v>1.0122763097991048</v>
      </c>
      <c r="H744" s="1100">
        <v>1.0270881887794954</v>
      </c>
      <c r="I744" s="1100">
        <v>0.98400422351682748</v>
      </c>
      <c r="K744">
        <v>2.2359056266231523</v>
      </c>
      <c r="L744">
        <v>0</v>
      </c>
      <c r="M744">
        <v>1.7048071780809584E-3</v>
      </c>
      <c r="N744">
        <v>0.13805558273051588</v>
      </c>
      <c r="O744">
        <v>1.9554483852040474E-2</v>
      </c>
      <c r="P744">
        <v>2.5655441841975577E-2</v>
      </c>
      <c r="Q744">
        <v>5.2445207160004611E-3</v>
      </c>
      <c r="R744">
        <v>1.6814778888615013E-3</v>
      </c>
      <c r="S744">
        <v>0.23920541665089129</v>
      </c>
      <c r="T744">
        <v>1.3709781750783243</v>
      </c>
      <c r="U744">
        <v>0.14057569191387947</v>
      </c>
      <c r="V744">
        <v>0.1852054436578468</v>
      </c>
      <c r="W744">
        <v>9.2820828716946399E-2</v>
      </c>
      <c r="X744">
        <v>1.4056942239506532E-2</v>
      </c>
      <c r="Y744">
        <v>4.5764285144439133E-3</v>
      </c>
    </row>
    <row r="745" spans="1:25" x14ac:dyDescent="0.25">
      <c r="A745" s="1096"/>
      <c r="B745" s="1455">
        <v>495</v>
      </c>
      <c r="C745" s="1100">
        <v>1.029810347578241</v>
      </c>
      <c r="D745" s="1100">
        <v>1.0115432180735384</v>
      </c>
      <c r="E745" s="1100">
        <v>0.99705718590282244</v>
      </c>
      <c r="F745" s="1100">
        <v>1.0202399409249461</v>
      </c>
      <c r="G745" s="1100">
        <v>1.0080186560872453</v>
      </c>
      <c r="H745" s="1100">
        <v>0.98220425362061814</v>
      </c>
      <c r="I745" s="1100">
        <v>1.0293550633822381</v>
      </c>
      <c r="K745">
        <v>2.2231923414498054</v>
      </c>
      <c r="L745">
        <v>0</v>
      </c>
      <c r="M745">
        <v>1.4804608957561124E-3</v>
      </c>
      <c r="N745">
        <v>0.13339176213350776</v>
      </c>
      <c r="O745">
        <v>1.9130284793187645E-2</v>
      </c>
      <c r="P745">
        <v>2.6305068942808565E-2</v>
      </c>
      <c r="Q745">
        <v>5.3192481944101897E-3</v>
      </c>
      <c r="R745">
        <v>1.4592758646061318E-3</v>
      </c>
      <c r="S745">
        <v>0.2385878527451856</v>
      </c>
      <c r="T745">
        <v>1.371058695094868</v>
      </c>
      <c r="U745">
        <v>0.13863305218780531</v>
      </c>
      <c r="V745">
        <v>0.18391296036920743</v>
      </c>
      <c r="W745">
        <v>8.7782900356468213E-2</v>
      </c>
      <c r="X745">
        <v>1.5120033810204953E-2</v>
      </c>
      <c r="Y745">
        <v>3.9716678532984067E-3</v>
      </c>
    </row>
    <row r="746" spans="1:25" x14ac:dyDescent="0.25">
      <c r="A746" s="1096"/>
      <c r="B746" s="1455">
        <v>496</v>
      </c>
      <c r="C746" s="1100">
        <v>0.96803169469653827</v>
      </c>
      <c r="D746" s="1100">
        <v>1.0154889781723351</v>
      </c>
      <c r="E746" s="1100">
        <v>0.99658017453362302</v>
      </c>
      <c r="F746" s="1100">
        <v>1.0015003054773923</v>
      </c>
      <c r="G746" s="1100">
        <v>0.98998710436337445</v>
      </c>
      <c r="H746" s="1100">
        <v>1.0180303057128979</v>
      </c>
      <c r="I746" s="1100">
        <v>0.98226368937001496</v>
      </c>
      <c r="K746">
        <v>2.2392359492160159</v>
      </c>
      <c r="L746">
        <v>0</v>
      </c>
      <c r="M746">
        <v>1.6326047253743014E-3</v>
      </c>
      <c r="N746">
        <v>0.14696330432049634</v>
      </c>
      <c r="O746">
        <v>2.0333427477601054E-2</v>
      </c>
      <c r="P746">
        <v>2.6177975047891003E-2</v>
      </c>
      <c r="Q746">
        <v>5.6510715622168231E-3</v>
      </c>
      <c r="R746">
        <v>1.6100647042161236E-3</v>
      </c>
      <c r="S746">
        <v>0.24463229099672268</v>
      </c>
      <c r="T746">
        <v>1.3458745385472475</v>
      </c>
      <c r="U746">
        <v>0.14747931783620438</v>
      </c>
      <c r="V746">
        <v>0.18555051560820152</v>
      </c>
      <c r="W746">
        <v>9.6741598818873398E-2</v>
      </c>
      <c r="X746">
        <v>1.5472383654527409E-2</v>
      </c>
      <c r="Y746">
        <v>4.3820653671891871E-3</v>
      </c>
    </row>
    <row r="747" spans="1:25" x14ac:dyDescent="0.25">
      <c r="A747" s="1096"/>
      <c r="B747" s="1455">
        <v>497</v>
      </c>
      <c r="C747" s="1100">
        <v>0.99853903728057958</v>
      </c>
      <c r="D747" s="1100">
        <v>1.0397192957129353</v>
      </c>
      <c r="E747" s="1100">
        <v>1.002273922915468</v>
      </c>
      <c r="F747" s="1100">
        <v>0.99501550011549433</v>
      </c>
      <c r="G747" s="1100">
        <v>0.98042251507853184</v>
      </c>
      <c r="H747" s="1100">
        <v>0.95580873145147072</v>
      </c>
      <c r="I747" s="1100">
        <v>0.95578272774210704</v>
      </c>
      <c r="K747">
        <v>2.1775059733209701</v>
      </c>
      <c r="L747">
        <v>0</v>
      </c>
      <c r="M747">
        <v>1.4609456430151858E-3</v>
      </c>
      <c r="N747">
        <v>0.13367094280865927</v>
      </c>
      <c r="O747">
        <v>1.9613735795793393E-2</v>
      </c>
      <c r="P747">
        <v>2.5778488405289877E-2</v>
      </c>
      <c r="Q747">
        <v>5.4823517571764083E-3</v>
      </c>
      <c r="R747">
        <v>1.4394625385186941E-3</v>
      </c>
      <c r="S747">
        <v>0.22340358555839793</v>
      </c>
      <c r="T747">
        <v>1.3371688278744795</v>
      </c>
      <c r="U747">
        <v>0.1429866597852803</v>
      </c>
      <c r="V747">
        <v>0.18260218532587222</v>
      </c>
      <c r="W747">
        <v>8.7694230582189447E-2</v>
      </c>
      <c r="X747">
        <v>1.5208706021176853E-2</v>
      </c>
      <c r="Y747">
        <v>3.9177425111495924E-3</v>
      </c>
    </row>
    <row r="748" spans="1:25" x14ac:dyDescent="0.25">
      <c r="A748" s="1096"/>
      <c r="B748" s="1455">
        <v>498</v>
      </c>
      <c r="C748" s="1100">
        <v>1.0316343605456242</v>
      </c>
      <c r="D748" s="1100">
        <v>1.033886050181561</v>
      </c>
      <c r="E748" s="1100">
        <v>0.98969010165343874</v>
      </c>
      <c r="F748" s="1100">
        <v>1.0205948381631225</v>
      </c>
      <c r="G748" s="1100">
        <v>0.96438910518192844</v>
      </c>
      <c r="H748" s="1100">
        <v>0.99081707263518659</v>
      </c>
      <c r="I748" s="1100">
        <v>1.0279027435291512</v>
      </c>
      <c r="K748">
        <v>2.2142981348499</v>
      </c>
      <c r="L748">
        <v>0</v>
      </c>
      <c r="M748">
        <v>1.5064770015414219E-3</v>
      </c>
      <c r="N748">
        <v>0.13276339206517532</v>
      </c>
      <c r="O748">
        <v>1.9000471425543713E-2</v>
      </c>
      <c r="P748">
        <v>2.6058078262737556E-2</v>
      </c>
      <c r="Q748">
        <v>5.2440317290331634E-3</v>
      </c>
      <c r="R748">
        <v>1.485107076362542E-3</v>
      </c>
      <c r="S748">
        <v>0.23588698104960815</v>
      </c>
      <c r="T748">
        <v>1.3715247413119303</v>
      </c>
      <c r="U748">
        <v>0.13837151371714512</v>
      </c>
      <c r="V748">
        <v>0.17887310731474543</v>
      </c>
      <c r="W748">
        <v>8.7754791438543839E-2</v>
      </c>
      <c r="X748">
        <v>1.4800424564170404E-2</v>
      </c>
      <c r="Y748">
        <v>4.0419718964426919E-3</v>
      </c>
    </row>
    <row r="749" spans="1:25" x14ac:dyDescent="0.25">
      <c r="A749" s="1096"/>
      <c r="B749" s="1455">
        <v>499</v>
      </c>
      <c r="C749" s="1100">
        <v>0.96153293828212549</v>
      </c>
      <c r="D749" s="1100">
        <v>1.0261757724077971</v>
      </c>
      <c r="E749" s="1100">
        <v>0.98098675790448897</v>
      </c>
      <c r="F749" s="1100">
        <v>0.97282651423405275</v>
      </c>
      <c r="G749" s="1100">
        <v>1.0208482385162363</v>
      </c>
      <c r="H749" s="1100">
        <v>0.96362671230388519</v>
      </c>
      <c r="I749" s="1100">
        <v>1.0006634217503128</v>
      </c>
      <c r="K749">
        <v>2.1895707460469254</v>
      </c>
      <c r="L749">
        <v>0</v>
      </c>
      <c r="M749">
        <v>1.6031611126389989E-3</v>
      </c>
      <c r="N749">
        <v>0.1375576316969549</v>
      </c>
      <c r="O749">
        <v>2.0413707965176199E-2</v>
      </c>
      <c r="P749">
        <v>2.5423605724578722E-2</v>
      </c>
      <c r="Q749">
        <v>5.5846044498173847E-3</v>
      </c>
      <c r="R749">
        <v>1.579778000292567E-3</v>
      </c>
      <c r="S749">
        <v>0.24497242075456979</v>
      </c>
      <c r="T749">
        <v>1.3073205870861748</v>
      </c>
      <c r="U749">
        <v>0.14843882248465287</v>
      </c>
      <c r="V749">
        <v>0.1894392267428063</v>
      </c>
      <c r="W749">
        <v>9.1400780023056571E-2</v>
      </c>
      <c r="X749">
        <v>1.4743107288363628E-2</v>
      </c>
      <c r="Y749">
        <v>4.2996349431185322E-3</v>
      </c>
    </row>
    <row r="750" spans="1:25" x14ac:dyDescent="0.25">
      <c r="A750" s="1096"/>
      <c r="B750" s="1455">
        <v>500</v>
      </c>
      <c r="C750" s="1100">
        <v>0.9920726322912804</v>
      </c>
      <c r="D750" s="1100">
        <v>1.0012026586194835</v>
      </c>
      <c r="E750" s="1100">
        <v>1.0105259846392745</v>
      </c>
      <c r="F750" s="1100">
        <v>0.97065999947486348</v>
      </c>
      <c r="G750" s="1100">
        <v>1.0122860962671807</v>
      </c>
      <c r="H750" s="1100">
        <v>0.99972351475138588</v>
      </c>
      <c r="I750" s="1100">
        <v>1.0135951505845526</v>
      </c>
      <c r="K750">
        <v>2.1892688116242263</v>
      </c>
      <c r="L750">
        <v>0</v>
      </c>
      <c r="M750">
        <v>1.5245088644420546E-3</v>
      </c>
      <c r="N750">
        <v>0.14310010425668501</v>
      </c>
      <c r="O750">
        <v>1.9911410850623788E-2</v>
      </c>
      <c r="P750">
        <v>2.5874814558565384E-2</v>
      </c>
      <c r="Q750">
        <v>5.6117494703231182E-3</v>
      </c>
      <c r="R750">
        <v>1.5030758121532472E-3</v>
      </c>
      <c r="S750">
        <v>0.24666561345853297</v>
      </c>
      <c r="T750">
        <v>1.3044521284706161</v>
      </c>
      <c r="U750">
        <v>0.14393782742643929</v>
      </c>
      <c r="V750">
        <v>0.18659853978486729</v>
      </c>
      <c r="W750">
        <v>9.3423182011027298E-2</v>
      </c>
      <c r="X750">
        <v>1.5623997516960924E-2</v>
      </c>
      <c r="Y750">
        <v>4.0908768718728294E-3</v>
      </c>
    </row>
    <row r="751" spans="1:25" x14ac:dyDescent="0.25">
      <c r="A751" s="1096"/>
      <c r="B751" s="1455">
        <v>501</v>
      </c>
      <c r="C751" s="1100">
        <v>1.0278536847928224</v>
      </c>
      <c r="D751" s="1100">
        <v>0.98899802244801915</v>
      </c>
      <c r="E751" s="1100">
        <v>0.98228446708614481</v>
      </c>
      <c r="F751" s="1100">
        <v>1.008139878111842</v>
      </c>
      <c r="G751" s="1100">
        <v>1.0053825990348355</v>
      </c>
      <c r="H751" s="1100">
        <v>1.0158786850397485</v>
      </c>
      <c r="I751" s="1100">
        <v>1.0295787065765158</v>
      </c>
      <c r="K751">
        <v>2.2190484575553477</v>
      </c>
      <c r="L751">
        <v>0</v>
      </c>
      <c r="M751">
        <v>1.5896560487037247E-3</v>
      </c>
      <c r="N751">
        <v>0.13703964304737767</v>
      </c>
      <c r="O751">
        <v>1.9252996921874804E-2</v>
      </c>
      <c r="P751">
        <v>2.5873763826300571E-2</v>
      </c>
      <c r="Q751">
        <v>5.2740126911021657E-3</v>
      </c>
      <c r="R751">
        <v>1.5676625006919725E-3</v>
      </c>
      <c r="S751">
        <v>0.24440087707868791</v>
      </c>
      <c r="T751">
        <v>1.3547775612075059</v>
      </c>
      <c r="U751">
        <v>0.13886392410563139</v>
      </c>
      <c r="V751">
        <v>0.18371232064989618</v>
      </c>
      <c r="W751">
        <v>9.0985369681588837E-2</v>
      </c>
      <c r="X751">
        <v>1.462332134631272E-2</v>
      </c>
      <c r="Y751">
        <v>4.2666605470790845E-3</v>
      </c>
    </row>
    <row r="752" spans="1:25" x14ac:dyDescent="0.25">
      <c r="A752" s="1096"/>
      <c r="B752" s="1455">
        <v>502</v>
      </c>
      <c r="C752" s="1100">
        <v>1.0194906047892929</v>
      </c>
      <c r="D752" s="1100">
        <v>0.99076204306052085</v>
      </c>
      <c r="E752" s="1100">
        <v>0.98005090684271612</v>
      </c>
      <c r="F752" s="1100">
        <v>1.0054974837428381</v>
      </c>
      <c r="G752" s="1100">
        <v>1.0045847103470031</v>
      </c>
      <c r="H752" s="1100">
        <v>1.0286546201030289</v>
      </c>
      <c r="I752" s="1100">
        <v>0.97097545920171768</v>
      </c>
      <c r="K752">
        <v>2.2100553947421422</v>
      </c>
      <c r="L752">
        <v>0</v>
      </c>
      <c r="M752">
        <v>1.6297270565971333E-3</v>
      </c>
      <c r="N752">
        <v>0.13957218843242303</v>
      </c>
      <c r="O752">
        <v>1.9401957175424714E-2</v>
      </c>
      <c r="P752">
        <v>2.5651110259086764E-2</v>
      </c>
      <c r="Q752">
        <v>5.3027735545643573E-3</v>
      </c>
      <c r="R752">
        <v>1.6074591561212037E-3</v>
      </c>
      <c r="S752">
        <v>0.23313415721421277</v>
      </c>
      <c r="T752">
        <v>1.3512239585215975</v>
      </c>
      <c r="U752">
        <v>0.13999802311472584</v>
      </c>
      <c r="V752">
        <v>0.18409360147784887</v>
      </c>
      <c r="W752">
        <v>9.279176042464761E-2</v>
      </c>
      <c r="X752">
        <v>1.4533158543893207E-2</v>
      </c>
      <c r="Y752">
        <v>4.3749739241935133E-3</v>
      </c>
    </row>
    <row r="753" spans="1:25" x14ac:dyDescent="0.25">
      <c r="A753" s="1096"/>
      <c r="B753" s="1455">
        <v>503</v>
      </c>
      <c r="C753" s="1100">
        <v>0.98521044429414339</v>
      </c>
      <c r="D753" s="1100">
        <v>1.0406023036044374</v>
      </c>
      <c r="E753" s="1100">
        <v>1.0102429011765304</v>
      </c>
      <c r="F753" s="1100">
        <v>0.99859612448157453</v>
      </c>
      <c r="G753" s="1100">
        <v>0.97832012924209366</v>
      </c>
      <c r="H753" s="1100">
        <v>1.0276629826073873</v>
      </c>
      <c r="I753" s="1100">
        <v>1.0035168546942279</v>
      </c>
      <c r="K753">
        <v>2.228184091172678</v>
      </c>
      <c r="L753">
        <v>0</v>
      </c>
      <c r="M753">
        <v>1.5656072902817749E-3</v>
      </c>
      <c r="N753">
        <v>0.14688925047766888</v>
      </c>
      <c r="O753">
        <v>1.988038492937054E-2</v>
      </c>
      <c r="P753">
        <v>2.6308820441007168E-2</v>
      </c>
      <c r="Q753">
        <v>5.6014202687529923E-3</v>
      </c>
      <c r="R753">
        <v>1.544194853254594E-3</v>
      </c>
      <c r="S753">
        <v>0.24350952636249476</v>
      </c>
      <c r="T753">
        <v>1.3419944597491964</v>
      </c>
      <c r="U753">
        <v>0.14493972061907864</v>
      </c>
      <c r="V753">
        <v>0.18317557211333921</v>
      </c>
      <c r="W753">
        <v>9.5912937835941001E-2</v>
      </c>
      <c r="X753">
        <v>1.5790621465991677E-2</v>
      </c>
      <c r="Y753">
        <v>4.2027893468624374E-3</v>
      </c>
    </row>
    <row r="754" spans="1:25" x14ac:dyDescent="0.25">
      <c r="A754" s="1096"/>
      <c r="B754" s="1455">
        <v>504</v>
      </c>
      <c r="C754" s="1100">
        <v>1.0088140929468477</v>
      </c>
      <c r="D754" s="1100">
        <v>1.0320408128780842</v>
      </c>
      <c r="E754" s="1100">
        <v>0.98640350727458903</v>
      </c>
      <c r="F754" s="1100">
        <v>1.0132403882610888</v>
      </c>
      <c r="G754" s="1100">
        <v>1.0065064490453293</v>
      </c>
      <c r="H754" s="1100">
        <v>0.99604193543098563</v>
      </c>
      <c r="I754" s="1100">
        <v>1.0039267814115342</v>
      </c>
      <c r="K754">
        <v>2.2202816116603925</v>
      </c>
      <c r="L754">
        <v>0</v>
      </c>
      <c r="M754">
        <v>1.5598657025389724E-3</v>
      </c>
      <c r="N754">
        <v>0.13611929863105177</v>
      </c>
      <c r="O754">
        <v>1.9435899267835351E-2</v>
      </c>
      <c r="P754">
        <v>2.5988245176564968E-2</v>
      </c>
      <c r="Q754">
        <v>5.3463980840951376E-3</v>
      </c>
      <c r="R754">
        <v>1.5378545105162182E-3</v>
      </c>
      <c r="S754">
        <v>0.23619408904865985</v>
      </c>
      <c r="T754">
        <v>1.3616370421537327</v>
      </c>
      <c r="U754">
        <v>0.14149411341246593</v>
      </c>
      <c r="V754">
        <v>0.18493181650841858</v>
      </c>
      <c r="W754">
        <v>9.0150594125467234E-2</v>
      </c>
      <c r="X754">
        <v>1.4820593420100454E-2</v>
      </c>
      <c r="Y754">
        <v>4.1855330240220014E-3</v>
      </c>
    </row>
    <row r="755" spans="1:25" x14ac:dyDescent="0.25">
      <c r="A755" s="1096"/>
      <c r="B755" s="1455">
        <v>505</v>
      </c>
      <c r="C755" s="1100">
        <v>0.99141468888886386</v>
      </c>
      <c r="D755" s="1100">
        <v>1.0007460267459336</v>
      </c>
      <c r="E755" s="1100">
        <v>1.0248157924064352</v>
      </c>
      <c r="F755" s="1100">
        <v>0.98064840354188287</v>
      </c>
      <c r="G755" s="1100">
        <v>0.99779809394593022</v>
      </c>
      <c r="H755" s="1100">
        <v>0.98343290432795805</v>
      </c>
      <c r="I755" s="1100">
        <v>1.0079854208190933</v>
      </c>
      <c r="K755">
        <v>2.1984123146090386</v>
      </c>
      <c r="L755">
        <v>0</v>
      </c>
      <c r="M755">
        <v>1.4568622467944535E-3</v>
      </c>
      <c r="N755">
        <v>0.1427418112956361</v>
      </c>
      <c r="O755">
        <v>1.9935651253217092E-2</v>
      </c>
      <c r="P755">
        <v>2.6281419825241584E-2</v>
      </c>
      <c r="Q755">
        <v>5.6990734167216249E-3</v>
      </c>
      <c r="R755">
        <v>1.4360409521039809E-3</v>
      </c>
      <c r="S755">
        <v>0.24430219736842149</v>
      </c>
      <c r="T755">
        <v>1.3179030080746688</v>
      </c>
      <c r="U755">
        <v>0.14406662473841828</v>
      </c>
      <c r="V755">
        <v>0.1850137203214326</v>
      </c>
      <c r="W755">
        <v>9.2412005882849715E-2</v>
      </c>
      <c r="X755">
        <v>1.6169193646268145E-2</v>
      </c>
      <c r="Y755">
        <v>3.9084300808544022E-3</v>
      </c>
    </row>
    <row r="756" spans="1:25" x14ac:dyDescent="0.25">
      <c r="A756" s="1096"/>
      <c r="B756" s="1455">
        <v>506</v>
      </c>
      <c r="C756" s="1100">
        <v>0.99579376723621726</v>
      </c>
      <c r="D756" s="1100">
        <v>1.0416279646318147</v>
      </c>
      <c r="E756" s="1100">
        <v>1.0248192593733096</v>
      </c>
      <c r="F756" s="1100">
        <v>1.0279441175222785</v>
      </c>
      <c r="G756" s="1100">
        <v>1.0052450622772064</v>
      </c>
      <c r="H756" s="1100">
        <v>0.97906715718745774</v>
      </c>
      <c r="I756" s="1100">
        <v>1.026307126665154</v>
      </c>
      <c r="K756">
        <v>2.2565393793545336</v>
      </c>
      <c r="L756">
        <v>0</v>
      </c>
      <c r="M756">
        <v>1.4313423474241829E-3</v>
      </c>
      <c r="N756">
        <v>0.14023379793560442</v>
      </c>
      <c r="O756">
        <v>1.9673919702392004E-2</v>
      </c>
      <c r="P756">
        <v>2.7137554893585436E-2</v>
      </c>
      <c r="Q756">
        <v>5.6242706487550573E-3</v>
      </c>
      <c r="R756">
        <v>1.410794562327484E-3</v>
      </c>
      <c r="S756">
        <v>0.24240674418551189</v>
      </c>
      <c r="T756">
        <v>1.3814641895617454</v>
      </c>
      <c r="U756">
        <v>0.14343308891443013</v>
      </c>
      <c r="V756">
        <v>0.18559220562742898</v>
      </c>
      <c r="W756">
        <v>9.0788117759166245E-2</v>
      </c>
      <c r="X756">
        <v>1.6366320180656216E-2</v>
      </c>
      <c r="Y756">
        <v>3.8397177303529303E-3</v>
      </c>
    </row>
    <row r="757" spans="1:25" x14ac:dyDescent="0.25">
      <c r="A757" s="1096"/>
      <c r="B757" s="1455">
        <v>507</v>
      </c>
      <c r="C757" s="1100">
        <v>1.0232160244347013</v>
      </c>
      <c r="D757" s="1100">
        <v>1.0001120920125259</v>
      </c>
      <c r="E757" s="1100">
        <v>1.0117283729532249</v>
      </c>
      <c r="F757" s="1100">
        <v>0.98532125868443232</v>
      </c>
      <c r="G757" s="1100">
        <v>1.0212163014689699</v>
      </c>
      <c r="H757" s="1100">
        <v>1.0285913597632808</v>
      </c>
      <c r="I757" s="1100">
        <v>1.0010566124529685</v>
      </c>
      <c r="K757">
        <v>2.194735751669926</v>
      </c>
      <c r="L757">
        <v>0</v>
      </c>
      <c r="M757">
        <v>1.5173582965335331E-3</v>
      </c>
      <c r="N757">
        <v>0.14300402809163718</v>
      </c>
      <c r="O757">
        <v>1.9310736440179891E-2</v>
      </c>
      <c r="P757">
        <v>2.5986524596925312E-2</v>
      </c>
      <c r="Q757">
        <v>5.448999329388339E-3</v>
      </c>
      <c r="R757">
        <v>1.496624480127229E-3</v>
      </c>
      <c r="S757">
        <v>0.2386008471404043</v>
      </c>
      <c r="T757">
        <v>1.3241572963523207</v>
      </c>
      <c r="U757">
        <v>0.13955953480783886</v>
      </c>
      <c r="V757">
        <v>0.18578862852795938</v>
      </c>
      <c r="W757">
        <v>9.3294346268386688E-2</v>
      </c>
      <c r="X757">
        <v>1.5532225458511104E-2</v>
      </c>
      <c r="Y757">
        <v>4.0733184727790367E-3</v>
      </c>
    </row>
    <row r="758" spans="1:25" x14ac:dyDescent="0.25">
      <c r="A758" s="1096"/>
      <c r="B758" s="1455">
        <v>508</v>
      </c>
      <c r="C758" s="1100">
        <v>1.0344916863596925</v>
      </c>
      <c r="D758" s="1100">
        <v>0.98152414307491076</v>
      </c>
      <c r="E758" s="1100">
        <v>1.0197212299475391</v>
      </c>
      <c r="F758" s="1100">
        <v>1.0019429933315274</v>
      </c>
      <c r="G758" s="1100">
        <v>1.0384410888423747</v>
      </c>
      <c r="H758" s="1100">
        <v>0.99232014868559137</v>
      </c>
      <c r="I758" s="1100">
        <v>0.95652525259051036</v>
      </c>
      <c r="K758">
        <v>2.1947102197403487</v>
      </c>
      <c r="L758">
        <v>0</v>
      </c>
      <c r="M758">
        <v>1.4299210696020806E-3</v>
      </c>
      <c r="N758">
        <v>0.13798361710838036</v>
      </c>
      <c r="O758">
        <v>1.9184109602314744E-2</v>
      </c>
      <c r="P758">
        <v>2.6257873692528064E-2</v>
      </c>
      <c r="Q758">
        <v>5.4565561699127475E-3</v>
      </c>
      <c r="R758">
        <v>1.4096678424917316E-3</v>
      </c>
      <c r="S758">
        <v>0.22497278680943222</v>
      </c>
      <c r="T758">
        <v>1.3465104433907058</v>
      </c>
      <c r="U758">
        <v>0.13805620747368882</v>
      </c>
      <c r="V758">
        <v>0.18711044020735196</v>
      </c>
      <c r="W758">
        <v>8.9597701253932488E-2</v>
      </c>
      <c r="X758">
        <v>1.5764086088830884E-2</v>
      </c>
      <c r="Y758">
        <v>3.8366511703831069E-3</v>
      </c>
    </row>
    <row r="759" spans="1:25" x14ac:dyDescent="0.25">
      <c r="A759" s="1096"/>
      <c r="B759" s="1455">
        <v>509</v>
      </c>
      <c r="C759" s="1100">
        <v>0.99755777366026099</v>
      </c>
      <c r="D759" s="1100">
        <v>1.0368646382325455</v>
      </c>
      <c r="E759" s="1100">
        <v>1.0200866421030841</v>
      </c>
      <c r="F759" s="1100">
        <v>1.011881375702381</v>
      </c>
      <c r="G759" s="1100">
        <v>1.0145848147700163</v>
      </c>
      <c r="H759" s="1100">
        <v>1.0047828960910952</v>
      </c>
      <c r="I759" s="1100">
        <v>1.0084668364430058</v>
      </c>
      <c r="K759">
        <v>2.2381779845597647</v>
      </c>
      <c r="L759">
        <v>0</v>
      </c>
      <c r="M759">
        <v>1.4823494994550164E-3</v>
      </c>
      <c r="N759">
        <v>0.14322611561216617</v>
      </c>
      <c r="O759">
        <v>1.9655992988938008E-2</v>
      </c>
      <c r="P759">
        <v>2.6725678612074696E-2</v>
      </c>
      <c r="Q759">
        <v>5.5928059002908412E-3</v>
      </c>
      <c r="R759">
        <v>1.4616141024794518E-3</v>
      </c>
      <c r="S759">
        <v>0.24034483134678059</v>
      </c>
      <c r="T759">
        <v>1.3598673752721477</v>
      </c>
      <c r="U759">
        <v>0.14316849259754424</v>
      </c>
      <c r="V759">
        <v>0.18653815160530768</v>
      </c>
      <c r="W759">
        <v>9.2981961348072809E-2</v>
      </c>
      <c r="X759">
        <v>1.6119282907427927E-2</v>
      </c>
      <c r="Y759">
        <v>3.9780317659896779E-3</v>
      </c>
    </row>
    <row r="760" spans="1:25" x14ac:dyDescent="0.25">
      <c r="A760" s="1096"/>
      <c r="B760" s="1455">
        <v>510</v>
      </c>
      <c r="C760" s="1100">
        <v>0.97165872575918577</v>
      </c>
      <c r="D760" s="1100">
        <v>0.99054805309331795</v>
      </c>
      <c r="E760" s="1100">
        <v>1.0295144690303124</v>
      </c>
      <c r="F760" s="1100">
        <v>0.99285933058283971</v>
      </c>
      <c r="G760" s="1100">
        <v>1.0451604378260786</v>
      </c>
      <c r="H760" s="1100">
        <v>0.9661653476737061</v>
      </c>
      <c r="I760" s="1100">
        <v>1.0002924551162478</v>
      </c>
      <c r="K760">
        <v>2.2306394624135826</v>
      </c>
      <c r="L760">
        <v>0</v>
      </c>
      <c r="M760">
        <v>1.4494226757605067E-3</v>
      </c>
      <c r="N760">
        <v>0.14400184470755967</v>
      </c>
      <c r="O760">
        <v>2.038991419161057E-2</v>
      </c>
      <c r="P760">
        <v>2.6774153766126185E-2</v>
      </c>
      <c r="Q760">
        <v>5.8561191622520979E-3</v>
      </c>
      <c r="R760">
        <v>1.4283374832159564E-3</v>
      </c>
      <c r="S760">
        <v>0.2472473429422509</v>
      </c>
      <c r="T760">
        <v>1.33432354167708</v>
      </c>
      <c r="U760">
        <v>0.14700699583003865</v>
      </c>
      <c r="V760">
        <v>0.19158861879681688</v>
      </c>
      <c r="W760">
        <v>9.297326569487678E-2</v>
      </c>
      <c r="X760">
        <v>1.6611287059524815E-2</v>
      </c>
      <c r="Y760">
        <v>3.8874637779890355E-3</v>
      </c>
    </row>
    <row r="761" spans="1:25" x14ac:dyDescent="0.25">
      <c r="A761" s="1096"/>
      <c r="B761" s="1455">
        <v>511</v>
      </c>
      <c r="C761" s="1100">
        <v>1.0233417154543696</v>
      </c>
      <c r="D761" s="1100">
        <v>0.97124761862974363</v>
      </c>
      <c r="E761" s="1100">
        <v>1.0136368905393853</v>
      </c>
      <c r="F761" s="1100">
        <v>1.016341442986912</v>
      </c>
      <c r="G761" s="1100">
        <v>1.0125983524940312</v>
      </c>
      <c r="H761" s="1100">
        <v>0.97023052958925748</v>
      </c>
      <c r="I761" s="1100">
        <v>1.0186595226561574</v>
      </c>
      <c r="K761">
        <v>2.2274425672750202</v>
      </c>
      <c r="L761">
        <v>0</v>
      </c>
      <c r="M761">
        <v>1.4346379527379954E-3</v>
      </c>
      <c r="N761">
        <v>0.13587583147468679</v>
      </c>
      <c r="O761">
        <v>1.9434342919715141E-2</v>
      </c>
      <c r="P761">
        <v>2.6626180599498315E-2</v>
      </c>
      <c r="Q761">
        <v>5.4943347185700004E-3</v>
      </c>
      <c r="R761">
        <v>1.4138552820299811E-3</v>
      </c>
      <c r="S761">
        <v>0.24166026259824194</v>
      </c>
      <c r="T761">
        <v>1.3658484397198836</v>
      </c>
      <c r="U761">
        <v>0.13954669571669745</v>
      </c>
      <c r="V761">
        <v>0.18480906483068019</v>
      </c>
      <c r="W761">
        <v>8.854449051113919E-2</v>
      </c>
      <c r="X761">
        <v>1.5775658856199359E-2</v>
      </c>
      <c r="Y761">
        <v>3.8480480004171491E-3</v>
      </c>
    </row>
    <row r="762" spans="1:25" x14ac:dyDescent="0.25">
      <c r="A762" s="1096"/>
      <c r="B762" s="1455">
        <v>512</v>
      </c>
      <c r="C762" s="1100">
        <v>0.98883903450896804</v>
      </c>
      <c r="D762" s="1100">
        <v>0.99701290660983921</v>
      </c>
      <c r="E762" s="1100">
        <v>0.95623535833865259</v>
      </c>
      <c r="F762" s="1100">
        <v>0.96884310743733704</v>
      </c>
      <c r="G762" s="1100">
        <v>1.0381041752770512</v>
      </c>
      <c r="H762" s="1100">
        <v>1.0153188696055082</v>
      </c>
      <c r="I762" s="1100">
        <v>1.0160673927915618</v>
      </c>
      <c r="K762">
        <v>2.1859822894607128</v>
      </c>
      <c r="L762">
        <v>0</v>
      </c>
      <c r="M762">
        <v>1.7396047719889557E-3</v>
      </c>
      <c r="N762">
        <v>0.13859066028545058</v>
      </c>
      <c r="O762">
        <v>1.9960735048009586E-2</v>
      </c>
      <c r="P762">
        <v>2.4881777600707412E-2</v>
      </c>
      <c r="Q762">
        <v>5.3241673411136984E-3</v>
      </c>
      <c r="R762">
        <v>1.7155233510229226E-3</v>
      </c>
      <c r="S762">
        <v>0.24945301392540273</v>
      </c>
      <c r="T762">
        <v>1.3019459133555134</v>
      </c>
      <c r="U762">
        <v>0.14428245530562409</v>
      </c>
      <c r="V762">
        <v>0.18966626460464162</v>
      </c>
      <c r="W762">
        <v>9.3486514682236885E-2</v>
      </c>
      <c r="X762">
        <v>1.3745779693610538E-2</v>
      </c>
      <c r="Y762">
        <v>4.6690890393637184E-3</v>
      </c>
    </row>
    <row r="763" spans="1:25" x14ac:dyDescent="0.25">
      <c r="A763" s="1096"/>
      <c r="B763" s="1455">
        <v>513</v>
      </c>
      <c r="C763" s="1100">
        <v>1.006978622787811</v>
      </c>
      <c r="D763" s="1100">
        <v>1.0239049295899239</v>
      </c>
      <c r="E763" s="1100">
        <v>0.96249527290849179</v>
      </c>
      <c r="F763" s="1100">
        <v>0.98524932258712361</v>
      </c>
      <c r="G763" s="1100">
        <v>1.0371045584479905</v>
      </c>
      <c r="H763" s="1100">
        <v>1.0067746432441222</v>
      </c>
      <c r="I763" s="1100">
        <v>1.0009033532394442</v>
      </c>
      <c r="K763">
        <v>2.1854489956807268</v>
      </c>
      <c r="L763">
        <v>0</v>
      </c>
      <c r="M763">
        <v>1.662417089323505E-3</v>
      </c>
      <c r="N763">
        <v>0.13496147982057299</v>
      </c>
      <c r="O763">
        <v>1.9490565720277436E-2</v>
      </c>
      <c r="P763">
        <v>2.5086506242680426E-2</v>
      </c>
      <c r="Q763">
        <v>5.2323265020763777E-3</v>
      </c>
      <c r="R763">
        <v>1.6392088762646388E-3</v>
      </c>
      <c r="S763">
        <v>0.23750996591224363</v>
      </c>
      <c r="T763">
        <v>1.3239971223533618</v>
      </c>
      <c r="U763">
        <v>0.14169758550569664</v>
      </c>
      <c r="V763">
        <v>0.18847824930618923</v>
      </c>
      <c r="W763">
        <v>9.0689316136772363E-2</v>
      </c>
      <c r="X763">
        <v>1.3867700197780431E-2</v>
      </c>
      <c r="Y763">
        <v>4.4613861961315124E-3</v>
      </c>
    </row>
    <row r="764" spans="1:25" x14ac:dyDescent="0.25">
      <c r="A764" s="1096"/>
      <c r="B764" s="1455">
        <v>514</v>
      </c>
      <c r="C764" s="1100">
        <v>1.0141944794362294</v>
      </c>
      <c r="D764" s="1100">
        <v>0.97935211113513532</v>
      </c>
      <c r="E764" s="1100">
        <v>0.9782923204047963</v>
      </c>
      <c r="F764" s="1100">
        <v>1.014171994410642</v>
      </c>
      <c r="G764" s="1100">
        <v>1.026284772684767</v>
      </c>
      <c r="H764" s="1100">
        <v>0.99991004591934496</v>
      </c>
      <c r="I764" s="1100">
        <v>1.0101396453101879</v>
      </c>
      <c r="K764">
        <v>2.2303360400481385</v>
      </c>
      <c r="L764">
        <v>0</v>
      </c>
      <c r="M764">
        <v>1.6023374071829194E-3</v>
      </c>
      <c r="N764">
        <v>0.13644386988199411</v>
      </c>
      <c r="O764">
        <v>1.9551953143635021E-2</v>
      </c>
      <c r="P764">
        <v>2.5951133614008925E-2</v>
      </c>
      <c r="Q764">
        <v>5.3342216985149604E-3</v>
      </c>
      <c r="R764">
        <v>1.5798143667332392E-3</v>
      </c>
      <c r="S764">
        <v>0.24289773131720904</v>
      </c>
      <c r="T764">
        <v>1.3628790540370241</v>
      </c>
      <c r="U764">
        <v>0.14072511425810916</v>
      </c>
      <c r="V764">
        <v>0.18684894181016681</v>
      </c>
      <c r="W764">
        <v>9.0808400124402139E-2</v>
      </c>
      <c r="X764">
        <v>1.4618409282939785E-2</v>
      </c>
      <c r="Y764">
        <v>4.2997339205818495E-3</v>
      </c>
    </row>
    <row r="765" spans="1:25" x14ac:dyDescent="0.25">
      <c r="A765" s="1096"/>
      <c r="B765" s="1455">
        <v>515</v>
      </c>
      <c r="C765" s="1100">
        <v>0.99347976690381967</v>
      </c>
      <c r="D765" s="1100">
        <v>1.0378356485175673</v>
      </c>
      <c r="E765" s="1100">
        <v>1.0064372053586219</v>
      </c>
      <c r="F765" s="1100">
        <v>0.9947870325709276</v>
      </c>
      <c r="G765" s="1100">
        <v>1.0102256066235622</v>
      </c>
      <c r="H765" s="1100">
        <v>0.9869286655972529</v>
      </c>
      <c r="I765" s="1100">
        <v>1.0089574889114412</v>
      </c>
      <c r="K765">
        <v>2.2082118963178852</v>
      </c>
      <c r="L765">
        <v>0</v>
      </c>
      <c r="M765">
        <v>1.5037479261248408E-3</v>
      </c>
      <c r="N765">
        <v>0.13939372024309252</v>
      </c>
      <c r="O765">
        <v>1.9724082443555561E-2</v>
      </c>
      <c r="P765">
        <v>2.6139435678741999E-2</v>
      </c>
      <c r="Q765">
        <v>5.5362598718484519E-3</v>
      </c>
      <c r="R765">
        <v>1.4823326708852686E-3</v>
      </c>
      <c r="S765">
        <v>0.23979146570492821</v>
      </c>
      <c r="T765">
        <v>1.3368687824775174</v>
      </c>
      <c r="U765">
        <v>0.14372447035186517</v>
      </c>
      <c r="V765">
        <v>0.18627725697719635</v>
      </c>
      <c r="W765">
        <v>9.1223404547163822E-2</v>
      </c>
      <c r="X765">
        <v>1.5520012397898422E-2</v>
      </c>
      <c r="Y765">
        <v>4.0344208793160708E-3</v>
      </c>
    </row>
    <row r="766" spans="1:25" x14ac:dyDescent="0.25">
      <c r="A766" s="1096"/>
      <c r="B766" s="1455">
        <v>516</v>
      </c>
      <c r="C766" s="1100">
        <v>1.0033326352026688</v>
      </c>
      <c r="D766" s="1100">
        <v>1.0276338089763859</v>
      </c>
      <c r="E766" s="1100">
        <v>0.98755157500036617</v>
      </c>
      <c r="F766" s="1100">
        <v>0.96843785385985992</v>
      </c>
      <c r="G766" s="1100">
        <v>1.0189094279169761</v>
      </c>
      <c r="H766" s="1100">
        <v>1.032748643717893</v>
      </c>
      <c r="I766" s="1100">
        <v>1.0100876849893468</v>
      </c>
      <c r="K766">
        <v>2.1784641759044576</v>
      </c>
      <c r="L766">
        <v>0</v>
      </c>
      <c r="M766">
        <v>1.6238546297466243E-3</v>
      </c>
      <c r="N766">
        <v>0.14226836428982423</v>
      </c>
      <c r="O766">
        <v>1.9561198090210521E-2</v>
      </c>
      <c r="P766">
        <v>2.5314707342051167E-2</v>
      </c>
      <c r="Q766">
        <v>5.3871233222379114E-3</v>
      </c>
      <c r="R766">
        <v>1.6017549239859489E-3</v>
      </c>
      <c r="S766">
        <v>0.24239991720005108</v>
      </c>
      <c r="T766">
        <v>1.3014308781080508</v>
      </c>
      <c r="U766">
        <v>0.14226976020081444</v>
      </c>
      <c r="V766">
        <v>0.18665602310110657</v>
      </c>
      <c r="W766">
        <v>9.4158129444654293E-2</v>
      </c>
      <c r="X766">
        <v>1.4680725626495668E-2</v>
      </c>
      <c r="Y766">
        <v>4.3594488847209702E-3</v>
      </c>
    </row>
    <row r="767" spans="1:25" x14ac:dyDescent="0.25">
      <c r="A767" s="1096"/>
      <c r="B767" s="1455">
        <v>517</v>
      </c>
      <c r="C767" s="1100">
        <v>0.96244379022989091</v>
      </c>
      <c r="D767" s="1100">
        <v>1.0032568166497953</v>
      </c>
      <c r="E767" s="1100">
        <v>0.99689322453650075</v>
      </c>
      <c r="F767" s="1100">
        <v>1.0134524097228881</v>
      </c>
      <c r="G767" s="1100">
        <v>0.97884638541734326</v>
      </c>
      <c r="H767" s="1100">
        <v>0.99903423266609548</v>
      </c>
      <c r="I767" s="1100">
        <v>1.019023008437296</v>
      </c>
      <c r="K767">
        <v>2.2639988109730211</v>
      </c>
      <c r="L767">
        <v>0</v>
      </c>
      <c r="M767">
        <v>1.614696576213415E-3</v>
      </c>
      <c r="N767">
        <v>0.14545009620646621</v>
      </c>
      <c r="O767">
        <v>2.050628420061908E-2</v>
      </c>
      <c r="P767">
        <v>2.6545883177620674E-2</v>
      </c>
      <c r="Q767">
        <v>5.7009088224085555E-3</v>
      </c>
      <c r="R767">
        <v>1.5919799134208328E-3</v>
      </c>
      <c r="S767">
        <v>0.25519122592067406</v>
      </c>
      <c r="T767">
        <v>1.3619369561215062</v>
      </c>
      <c r="U767">
        <v>0.14833632446610442</v>
      </c>
      <c r="V767">
        <v>0.18464727602758543</v>
      </c>
      <c r="W767">
        <v>9.5727639959297117E-2</v>
      </c>
      <c r="X767">
        <v>1.5646088205236764E-2</v>
      </c>
      <c r="Y767">
        <v>4.3328445282940905E-3</v>
      </c>
    </row>
    <row r="768" spans="1:25" x14ac:dyDescent="0.25">
      <c r="A768" s="1096"/>
      <c r="B768" s="1455">
        <v>518</v>
      </c>
      <c r="C768" s="1100">
        <v>0.9957960468324808</v>
      </c>
      <c r="D768" s="1100">
        <v>1.041085889486802</v>
      </c>
      <c r="E768" s="1100">
        <v>0.97771718376468708</v>
      </c>
      <c r="F768" s="1100">
        <v>1.0154645517390222</v>
      </c>
      <c r="G768" s="1100">
        <v>0.99079704418440229</v>
      </c>
      <c r="H768" s="1100">
        <v>1.0194826773113908</v>
      </c>
      <c r="I768" s="1100">
        <v>0.96376489925086162</v>
      </c>
      <c r="K768">
        <v>2.2248789010552819</v>
      </c>
      <c r="L768">
        <v>0</v>
      </c>
      <c r="M768">
        <v>1.643612992982587E-3</v>
      </c>
      <c r="N768">
        <v>0.13975347671356553</v>
      </c>
      <c r="O768">
        <v>1.9646836097606056E-2</v>
      </c>
      <c r="P768">
        <v>2.5791678424180908E-2</v>
      </c>
      <c r="Q768">
        <v>5.3569720369715038E-3</v>
      </c>
      <c r="R768">
        <v>1.6209533171883887E-3</v>
      </c>
      <c r="S768">
        <v>0.23045861129831902</v>
      </c>
      <c r="T768">
        <v>1.3646153883481831</v>
      </c>
      <c r="U768">
        <v>0.14332384126080458</v>
      </c>
      <c r="V768">
        <v>0.1839171918712883</v>
      </c>
      <c r="W768">
        <v>9.3043422598413125E-2</v>
      </c>
      <c r="X768">
        <v>1.4582441499473126E-2</v>
      </c>
      <c r="Y768">
        <v>4.4117005822693926E-3</v>
      </c>
    </row>
    <row r="769" spans="1:25" x14ac:dyDescent="0.25">
      <c r="A769" s="1096"/>
      <c r="B769" s="1455">
        <v>519</v>
      </c>
      <c r="C769" s="1100">
        <v>0.99335723308127588</v>
      </c>
      <c r="D769" s="1100">
        <v>1.002493245521348</v>
      </c>
      <c r="E769" s="1100">
        <v>1.0111042009747611</v>
      </c>
      <c r="F769" s="1100">
        <v>0.9614738591445009</v>
      </c>
      <c r="G769" s="1100">
        <v>0.99383697121150893</v>
      </c>
      <c r="H769" s="1100">
        <v>0.99232356506089014</v>
      </c>
      <c r="I769" s="1100">
        <v>1.0324816084180923</v>
      </c>
      <c r="K769">
        <v>2.1757528508730628</v>
      </c>
      <c r="L769">
        <v>0</v>
      </c>
      <c r="M769">
        <v>1.5090252982140379E-3</v>
      </c>
      <c r="N769">
        <v>0.14187909423227937</v>
      </c>
      <c r="O769">
        <v>1.9880390703720656E-2</v>
      </c>
      <c r="P769">
        <v>2.5731915576145396E-2</v>
      </c>
      <c r="Q769">
        <v>5.6062449393723063E-3</v>
      </c>
      <c r="R769">
        <v>1.4876517220715792E-3</v>
      </c>
      <c r="S769">
        <v>0.25016411241362824</v>
      </c>
      <c r="T769">
        <v>1.2921080584485796</v>
      </c>
      <c r="U769">
        <v>0.14375303067989312</v>
      </c>
      <c r="V769">
        <v>0.1844363550594979</v>
      </c>
      <c r="W769">
        <v>9.2594487077246393E-2</v>
      </c>
      <c r="X769">
        <v>1.5571637735621036E-2</v>
      </c>
      <c r="Y769">
        <v>4.0488975832204573E-3</v>
      </c>
    </row>
    <row r="770" spans="1:25" x14ac:dyDescent="0.25">
      <c r="A770" s="1096"/>
      <c r="B770" s="1455">
        <v>520</v>
      </c>
      <c r="C770" s="1100">
        <v>1.0171225977378513</v>
      </c>
      <c r="D770" s="1100">
        <v>0.97737335199469311</v>
      </c>
      <c r="E770" s="1100">
        <v>1.0036860841137367</v>
      </c>
      <c r="F770" s="1100">
        <v>1.0396732984565906</v>
      </c>
      <c r="G770" s="1100">
        <v>1.0079113561282469</v>
      </c>
      <c r="H770" s="1100">
        <v>1.0235459340688871</v>
      </c>
      <c r="I770" s="1100">
        <v>1.0280543056558604</v>
      </c>
      <c r="K770">
        <v>2.2792315446648299</v>
      </c>
      <c r="L770">
        <v>0</v>
      </c>
      <c r="M770">
        <v>1.5523785523217882E-3</v>
      </c>
      <c r="N770">
        <v>0.1427847440625698</v>
      </c>
      <c r="O770">
        <v>1.9519995029972998E-2</v>
      </c>
      <c r="P770">
        <v>2.6967059173907064E-2</v>
      </c>
      <c r="Q770">
        <v>5.4638873110563896E-3</v>
      </c>
      <c r="R770">
        <v>1.5310616412548186E-3</v>
      </c>
      <c r="S770">
        <v>0.24886628709686365</v>
      </c>
      <c r="T770">
        <v>1.3971854166476365</v>
      </c>
      <c r="U770">
        <v>0.14037738880074752</v>
      </c>
      <c r="V770">
        <v>0.18462510469388582</v>
      </c>
      <c r="W770">
        <v>9.3594896035597536E-2</v>
      </c>
      <c r="X770">
        <v>1.5701037650497896E-2</v>
      </c>
      <c r="Y770">
        <v>4.1670450731612213E-3</v>
      </c>
    </row>
    <row r="771" spans="1:25" x14ac:dyDescent="0.25">
      <c r="A771" s="1096"/>
      <c r="B771" s="1455">
        <v>521</v>
      </c>
      <c r="C771" s="1100">
        <v>1.0275101202056935</v>
      </c>
      <c r="D771" s="1100">
        <v>0.95998962406531008</v>
      </c>
      <c r="E771" s="1100">
        <v>0.96140179514882584</v>
      </c>
      <c r="F771" s="1100">
        <v>1.0015483601755724</v>
      </c>
      <c r="G771" s="1100">
        <v>0.9831164153820231</v>
      </c>
      <c r="H771" s="1100">
        <v>0.98695702531138108</v>
      </c>
      <c r="I771" s="1100">
        <v>0.99789806755737975</v>
      </c>
      <c r="K771">
        <v>2.1916866028181827</v>
      </c>
      <c r="L771">
        <v>0</v>
      </c>
      <c r="M771">
        <v>1.6235949915203221E-3</v>
      </c>
      <c r="N771">
        <v>0.13133645405557864</v>
      </c>
      <c r="O771">
        <v>1.9373234084352924E-2</v>
      </c>
      <c r="P771">
        <v>2.5229195266267795E-2</v>
      </c>
      <c r="Q771">
        <v>5.1949928591660741E-3</v>
      </c>
      <c r="R771">
        <v>1.6004736282551316E-3</v>
      </c>
      <c r="S771">
        <v>0.23809057876191558</v>
      </c>
      <c r="T771">
        <v>1.34589925949931</v>
      </c>
      <c r="U771">
        <v>0.13886377848353734</v>
      </c>
      <c r="V771">
        <v>0.18119767859942754</v>
      </c>
      <c r="W771">
        <v>8.8312559612361868E-2</v>
      </c>
      <c r="X771">
        <v>1.3856031339408308E-2</v>
      </c>
      <c r="Y771">
        <v>4.3559616201207085E-3</v>
      </c>
    </row>
    <row r="772" spans="1:25" x14ac:dyDescent="0.25">
      <c r="A772" s="1096"/>
      <c r="B772" s="1455">
        <v>522</v>
      </c>
      <c r="C772" s="1100">
        <v>0.9848243826852795</v>
      </c>
      <c r="D772" s="1100">
        <v>0.9972557512569733</v>
      </c>
      <c r="E772" s="1100">
        <v>1.0260214788972239</v>
      </c>
      <c r="F772" s="1100">
        <v>0.99306449719000212</v>
      </c>
      <c r="G772" s="1100">
        <v>0.98869550218258739</v>
      </c>
      <c r="H772" s="1100">
        <v>0.97840157455510968</v>
      </c>
      <c r="I772" s="1100">
        <v>1.0055497861486342</v>
      </c>
      <c r="K772">
        <v>2.2178822801939098</v>
      </c>
      <c r="L772">
        <v>0</v>
      </c>
      <c r="M772">
        <v>1.4565684380389026E-3</v>
      </c>
      <c r="N772">
        <v>0.14322217243115642</v>
      </c>
      <c r="O772">
        <v>2.0085257600429739E-2</v>
      </c>
      <c r="P772">
        <v>2.6556192566568972E-2</v>
      </c>
      <c r="Q772">
        <v>5.7487078410712834E-3</v>
      </c>
      <c r="R772">
        <v>1.4356442926471327E-3</v>
      </c>
      <c r="S772">
        <v>0.2453691796367313</v>
      </c>
      <c r="T772">
        <v>1.3345916784589609</v>
      </c>
      <c r="U772">
        <v>0.14503352783267212</v>
      </c>
      <c r="V772">
        <v>0.1843865759538596</v>
      </c>
      <c r="W772">
        <v>9.265788975954202E-2</v>
      </c>
      <c r="X772">
        <v>1.6344671753734798E-2</v>
      </c>
      <c r="Y772">
        <v>3.9073505045716167E-3</v>
      </c>
    </row>
    <row r="773" spans="1:25" x14ac:dyDescent="0.25">
      <c r="A773" s="1096"/>
      <c r="B773" s="1455">
        <v>523</v>
      </c>
      <c r="C773" s="1100">
        <v>1.0150694489983836</v>
      </c>
      <c r="D773" s="1100">
        <v>1.0120320798859848</v>
      </c>
      <c r="E773" s="1100">
        <v>1.001980157553245</v>
      </c>
      <c r="F773" s="1100">
        <v>0.97242419362788635</v>
      </c>
      <c r="G773" s="1100">
        <v>0.9864882121011922</v>
      </c>
      <c r="H773" s="1100">
        <v>0.99575558211112181</v>
      </c>
      <c r="I773" s="1100">
        <v>1.0301804744091736</v>
      </c>
      <c r="K773">
        <v>2.1709743546683016</v>
      </c>
      <c r="L773">
        <v>0</v>
      </c>
      <c r="M773">
        <v>1.507053378882145E-3</v>
      </c>
      <c r="N773">
        <v>0.13784980141437017</v>
      </c>
      <c r="O773">
        <v>1.9409054417588247E-2</v>
      </c>
      <c r="P773">
        <v>2.5594638644242208E-2</v>
      </c>
      <c r="Q773">
        <v>5.4235401975450126E-3</v>
      </c>
      <c r="R773">
        <v>1.4857813035550711E-3</v>
      </c>
      <c r="S773">
        <v>0.2433253395773905</v>
      </c>
      <c r="T773">
        <v>1.3068086410602906</v>
      </c>
      <c r="U773">
        <v>0.14065745470036978</v>
      </c>
      <c r="V773">
        <v>0.18232002729100472</v>
      </c>
      <c r="W773">
        <v>9.045151707191984E-2</v>
      </c>
      <c r="X773">
        <v>1.5111805448304783E-2</v>
      </c>
      <c r="Y773">
        <v>4.043806920601821E-3</v>
      </c>
    </row>
    <row r="774" spans="1:25" x14ac:dyDescent="0.25">
      <c r="A774" s="1096"/>
      <c r="B774" s="1455">
        <v>524</v>
      </c>
      <c r="C774" s="1100">
        <v>1.0184057349995668</v>
      </c>
      <c r="D774" s="1100">
        <v>0.99802539903051835</v>
      </c>
      <c r="E774" s="1100">
        <v>0.97599561462203499</v>
      </c>
      <c r="F774" s="1100">
        <v>0.99284167527992129</v>
      </c>
      <c r="G774" s="1100">
        <v>1.006708388930027</v>
      </c>
      <c r="H774" s="1100">
        <v>1.0441775320064288</v>
      </c>
      <c r="I774" s="1100">
        <v>1.0416529611418912</v>
      </c>
      <c r="K774">
        <v>2.2136564289234371</v>
      </c>
      <c r="L774">
        <v>0</v>
      </c>
      <c r="M774">
        <v>1.6673422392188869E-3</v>
      </c>
      <c r="N774">
        <v>0.14108104024871904</v>
      </c>
      <c r="O774">
        <v>1.9388959431542837E-2</v>
      </c>
      <c r="P774">
        <v>2.5585558553655147E-2</v>
      </c>
      <c r="Q774">
        <v>5.27739984596286E-3</v>
      </c>
      <c r="R774">
        <v>1.6448990596018773E-3</v>
      </c>
      <c r="S774">
        <v>0.25070359902162154</v>
      </c>
      <c r="T774">
        <v>1.3342121522335175</v>
      </c>
      <c r="U774">
        <v>0.14013802244345669</v>
      </c>
      <c r="V774">
        <v>0.1843922980489493</v>
      </c>
      <c r="W774">
        <v>9.402520652597729E-2</v>
      </c>
      <c r="X774">
        <v>1.4397762750242913E-2</v>
      </c>
      <c r="Y774">
        <v>4.4768729994070439E-3</v>
      </c>
    </row>
    <row r="775" spans="1:25" x14ac:dyDescent="0.25">
      <c r="A775" s="1096"/>
      <c r="B775" s="1455">
        <v>525</v>
      </c>
      <c r="C775" s="1100">
        <v>1.0000420562224011</v>
      </c>
      <c r="D775" s="1100">
        <v>0.99914073746456233</v>
      </c>
      <c r="E775" s="1100">
        <v>1.0290794501884664</v>
      </c>
      <c r="F775" s="1100">
        <v>0.98632064729775493</v>
      </c>
      <c r="G775" s="1100">
        <v>0.97855924511438774</v>
      </c>
      <c r="H775" s="1100">
        <v>1.0053353336266062</v>
      </c>
      <c r="I775" s="1100">
        <v>1.0002625520210551</v>
      </c>
      <c r="K775">
        <v>2.2042671880261899</v>
      </c>
      <c r="L775">
        <v>0</v>
      </c>
      <c r="M775">
        <v>1.4639236445832943E-3</v>
      </c>
      <c r="N775">
        <v>0.14533545861826594</v>
      </c>
      <c r="O775">
        <v>1.9773322384088941E-2</v>
      </c>
      <c r="P775">
        <v>2.638723671231542E-2</v>
      </c>
      <c r="Q775">
        <v>5.676586916103875E-3</v>
      </c>
      <c r="R775">
        <v>1.4434572446850504E-3</v>
      </c>
      <c r="S775">
        <v>0.24232210281310657</v>
      </c>
      <c r="T775">
        <v>1.325535121381501</v>
      </c>
      <c r="U775">
        <v>0.14283361722497295</v>
      </c>
      <c r="V775">
        <v>0.18232669460961498</v>
      </c>
      <c r="W775">
        <v>9.3858010296208425E-2</v>
      </c>
      <c r="X775">
        <v>1.6310888685429108E-2</v>
      </c>
      <c r="Y775">
        <v>3.9286147844798808E-3</v>
      </c>
    </row>
    <row r="776" spans="1:25" x14ac:dyDescent="0.25">
      <c r="A776" s="1096"/>
      <c r="B776" s="1455">
        <v>526</v>
      </c>
      <c r="C776" s="1100">
        <v>0.98060429682438044</v>
      </c>
      <c r="D776" s="1100">
        <v>1.0088677870134632</v>
      </c>
      <c r="E776" s="1100">
        <v>0.9856315755160624</v>
      </c>
      <c r="F776" s="1100">
        <v>1.0225816454968972</v>
      </c>
      <c r="G776" s="1100">
        <v>0.96566697458726192</v>
      </c>
      <c r="H776" s="1100">
        <v>0.98910172536163365</v>
      </c>
      <c r="I776" s="1100">
        <v>0.97469529087570173</v>
      </c>
      <c r="K776">
        <v>2.243092897449205</v>
      </c>
      <c r="L776">
        <v>0</v>
      </c>
      <c r="M776">
        <v>1.6041004078952107E-3</v>
      </c>
      <c r="N776">
        <v>0.13963893696849486</v>
      </c>
      <c r="O776">
        <v>2.0094683979742116E-2</v>
      </c>
      <c r="P776">
        <v>2.618276243079818E-2</v>
      </c>
      <c r="Q776">
        <v>5.5232948610018208E-3</v>
      </c>
      <c r="R776">
        <v>1.5813061967583715E-3</v>
      </c>
      <c r="S776">
        <v>0.23803116792048842</v>
      </c>
      <c r="T776">
        <v>1.3741892191215215</v>
      </c>
      <c r="U776">
        <v>0.14556277478454632</v>
      </c>
      <c r="V776">
        <v>0.18200597712628341</v>
      </c>
      <c r="W776">
        <v>9.2524530723305659E-2</v>
      </c>
      <c r="X776">
        <v>1.5058549554027027E-2</v>
      </c>
      <c r="Y776">
        <v>4.3037941901286235E-3</v>
      </c>
    </row>
    <row r="777" spans="1:25" x14ac:dyDescent="0.25">
      <c r="A777" s="1096"/>
      <c r="B777" s="1455">
        <v>527</v>
      </c>
      <c r="C777" s="1100">
        <v>0.99987236547051728</v>
      </c>
      <c r="D777" s="1100">
        <v>1.0092663713168495</v>
      </c>
      <c r="E777" s="1100">
        <v>0.97863278481063121</v>
      </c>
      <c r="F777" s="1100">
        <v>0.9708919368779364</v>
      </c>
      <c r="G777" s="1100">
        <v>1.0032137504218224</v>
      </c>
      <c r="H777" s="1100">
        <v>1.0021440751944066</v>
      </c>
      <c r="I777" s="1100">
        <v>0.97814303943174175</v>
      </c>
      <c r="K777">
        <v>2.1661325700955212</v>
      </c>
      <c r="L777">
        <v>0</v>
      </c>
      <c r="M777">
        <v>1.6170352300769616E-3</v>
      </c>
      <c r="N777">
        <v>0.1378417479071784</v>
      </c>
      <c r="O777">
        <v>1.970138514102741E-2</v>
      </c>
      <c r="P777">
        <v>2.5076851636772438E-2</v>
      </c>
      <c r="Q777">
        <v>5.3768520936359207E-3</v>
      </c>
      <c r="R777">
        <v>1.5943562616920716E-3</v>
      </c>
      <c r="S777">
        <v>0.23519176317631318</v>
      </c>
      <c r="T777">
        <v>1.3047182010779452</v>
      </c>
      <c r="U777">
        <v>0.14274163389837646</v>
      </c>
      <c r="V777">
        <v>0.18507879104625879</v>
      </c>
      <c r="W777">
        <v>9.1719858483133701E-2</v>
      </c>
      <c r="X777">
        <v>1.436885243834065E-2</v>
      </c>
      <c r="Y777">
        <v>4.3393121649254037E-3</v>
      </c>
    </row>
    <row r="778" spans="1:25" x14ac:dyDescent="0.25">
      <c r="A778" s="1096"/>
      <c r="B778" s="1455">
        <v>528</v>
      </c>
      <c r="C778" s="1100">
        <v>0.97833364694521885</v>
      </c>
      <c r="D778" s="1100">
        <v>1.0379141038716893</v>
      </c>
      <c r="E778" s="1100">
        <v>1.0368498596132054</v>
      </c>
      <c r="F778" s="1100">
        <v>1.0042256439426973</v>
      </c>
      <c r="G778" s="1100">
        <v>1.0236170475125845</v>
      </c>
      <c r="H778" s="1100">
        <v>0.99023905640272603</v>
      </c>
      <c r="I778" s="1100">
        <v>0.99800015285999444</v>
      </c>
      <c r="K778">
        <v>2.2393169271055964</v>
      </c>
      <c r="L778">
        <v>0</v>
      </c>
      <c r="M778">
        <v>1.4381561793248728E-3</v>
      </c>
      <c r="N778">
        <v>0.14612893957923748</v>
      </c>
      <c r="O778">
        <v>2.0048432291233351E-2</v>
      </c>
      <c r="P778">
        <v>2.6994697511973191E-2</v>
      </c>
      <c r="Q778">
        <v>5.7998817345522261E-3</v>
      </c>
      <c r="R778">
        <v>1.417743501691797E-3</v>
      </c>
      <c r="S778">
        <v>0.24135141525448006</v>
      </c>
      <c r="T778">
        <v>1.3496159224233204</v>
      </c>
      <c r="U778">
        <v>0.1460213529413818</v>
      </c>
      <c r="V778">
        <v>0.18874381607211624</v>
      </c>
      <c r="W778">
        <v>9.3946723286083805E-2</v>
      </c>
      <c r="X778">
        <v>1.6827528236265665E-2</v>
      </c>
      <c r="Y778">
        <v>3.8586304525853447E-3</v>
      </c>
    </row>
    <row r="779" spans="1:25" x14ac:dyDescent="0.25">
      <c r="A779" s="1096"/>
      <c r="B779" s="1455">
        <v>529</v>
      </c>
      <c r="C779" s="1100">
        <v>0.97081751090805535</v>
      </c>
      <c r="D779" s="1100">
        <v>1.0393075855060392</v>
      </c>
      <c r="E779" s="1100">
        <v>1.0466922114326942</v>
      </c>
      <c r="F779" s="1100">
        <v>0.9920220518498567</v>
      </c>
      <c r="G779" s="1100">
        <v>0.99782719948981735</v>
      </c>
      <c r="H779" s="1100">
        <v>1.0322727026179619</v>
      </c>
      <c r="I779" s="1100">
        <v>1.0020216562190027</v>
      </c>
      <c r="K779">
        <v>2.2426842021278572</v>
      </c>
      <c r="L779">
        <v>0</v>
      </c>
      <c r="M779">
        <v>1.479650387568961E-3</v>
      </c>
      <c r="N779">
        <v>0.15495959036572043</v>
      </c>
      <c r="O779">
        <v>2.0204004525444876E-2</v>
      </c>
      <c r="P779">
        <v>2.7024787455932835E-2</v>
      </c>
      <c r="Q779">
        <v>5.9016733297996525E-3</v>
      </c>
      <c r="R779">
        <v>1.4595039321979506E-3</v>
      </c>
      <c r="S779">
        <v>0.24756675385411661</v>
      </c>
      <c r="T779">
        <v>1.3332393159744875</v>
      </c>
      <c r="U779">
        <v>0.14717534639597399</v>
      </c>
      <c r="V779">
        <v>0.18630823865801224</v>
      </c>
      <c r="W779">
        <v>9.906161618612383E-2</v>
      </c>
      <c r="X779">
        <v>1.729073325951248E-2</v>
      </c>
      <c r="Y779">
        <v>3.9722885781008788E-3</v>
      </c>
    </row>
    <row r="780" spans="1:25" x14ac:dyDescent="0.25">
      <c r="A780" s="1096"/>
      <c r="B780" s="1455">
        <v>530</v>
      </c>
      <c r="C780" s="1100">
        <v>1.0175776652264685</v>
      </c>
      <c r="D780" s="1100">
        <v>0.97883380326382385</v>
      </c>
      <c r="E780" s="1100">
        <v>0.99438341967684796</v>
      </c>
      <c r="F780" s="1100">
        <v>1.012881778119878</v>
      </c>
      <c r="G780" s="1100">
        <v>1.0126658101974031</v>
      </c>
      <c r="H780" s="1100">
        <v>1.0039965683060752</v>
      </c>
      <c r="I780" s="1100">
        <v>0.99562985912137214</v>
      </c>
      <c r="K780">
        <v>2.2261440008484854</v>
      </c>
      <c r="L780">
        <v>0</v>
      </c>
      <c r="M780">
        <v>1.5511890641082622E-3</v>
      </c>
      <c r="N780">
        <v>0.13868333866795632</v>
      </c>
      <c r="O780">
        <v>1.9499120508688076E-2</v>
      </c>
      <c r="P780">
        <v>2.616438967943898E-2</v>
      </c>
      <c r="Q780">
        <v>5.4072177231722354E-3</v>
      </c>
      <c r="R780">
        <v>1.5294737316454484E-3</v>
      </c>
      <c r="S780">
        <v>0.23911922926878165</v>
      </c>
      <c r="T780">
        <v>1.3611663017001454</v>
      </c>
      <c r="U780">
        <v>0.14029356660609907</v>
      </c>
      <c r="V780">
        <v>0.1851284615598098</v>
      </c>
      <c r="W780">
        <v>9.1410839261455781E-2</v>
      </c>
      <c r="X780">
        <v>1.5130527898738628E-2</v>
      </c>
      <c r="Y780">
        <v>4.1627233066587766E-3</v>
      </c>
    </row>
    <row r="781" spans="1:25" x14ac:dyDescent="0.25">
      <c r="A781" s="1096"/>
      <c r="B781" s="1455">
        <v>531</v>
      </c>
      <c r="C781" s="1100">
        <v>1.0092013694802946</v>
      </c>
      <c r="D781" s="1100">
        <v>1.0112304792329199</v>
      </c>
      <c r="E781" s="1100">
        <v>0.99778317159967023</v>
      </c>
      <c r="F781" s="1100">
        <v>1.0216568876405936</v>
      </c>
      <c r="G781" s="1100">
        <v>1.0127285828262045</v>
      </c>
      <c r="H781" s="1100">
        <v>0.98349848594936262</v>
      </c>
      <c r="I781" s="1100">
        <v>1.0167313973430721</v>
      </c>
      <c r="K781">
        <v>2.2375287998275213</v>
      </c>
      <c r="L781">
        <v>0</v>
      </c>
      <c r="M781">
        <v>1.5105115169638027E-3</v>
      </c>
      <c r="N781">
        <v>0.13640087337839915</v>
      </c>
      <c r="O781">
        <v>1.9522721896081487E-2</v>
      </c>
      <c r="P781">
        <v>2.6434880859473386E-2</v>
      </c>
      <c r="Q781">
        <v>5.4323352578388804E-3</v>
      </c>
      <c r="R781">
        <v>1.4889249130858916E-3</v>
      </c>
      <c r="S781">
        <v>0.24062120388344913</v>
      </c>
      <c r="T781">
        <v>1.3729640110567283</v>
      </c>
      <c r="U781">
        <v>0.14146574385263691</v>
      </c>
      <c r="V781">
        <v>0.18562231776351659</v>
      </c>
      <c r="W781">
        <v>8.9724344273619763E-2</v>
      </c>
      <c r="X781">
        <v>1.5309591420198443E-2</v>
      </c>
      <c r="Y781">
        <v>4.0523627894541083E-3</v>
      </c>
    </row>
    <row r="782" spans="1:25" x14ac:dyDescent="0.25">
      <c r="A782" s="1096"/>
      <c r="B782" s="1455">
        <v>532</v>
      </c>
      <c r="C782" s="1100">
        <v>0.98428638288787274</v>
      </c>
      <c r="D782" s="1100">
        <v>0.98877399063097704</v>
      </c>
      <c r="E782" s="1100">
        <v>0.99913494367312394</v>
      </c>
      <c r="F782" s="1100">
        <v>0.9911110769220034</v>
      </c>
      <c r="G782" s="1100">
        <v>1.0084808901613243</v>
      </c>
      <c r="H782" s="1100">
        <v>1.001913859201899</v>
      </c>
      <c r="I782" s="1100">
        <v>0.99296789508187355</v>
      </c>
      <c r="K782">
        <v>2.2178018737615557</v>
      </c>
      <c r="L782">
        <v>0</v>
      </c>
      <c r="M782">
        <v>1.5811217168326215E-3</v>
      </c>
      <c r="N782">
        <v>0.14339961510781021</v>
      </c>
      <c r="O782">
        <v>2.0116895989339165E-2</v>
      </c>
      <c r="P782">
        <v>2.6026618937409832E-2</v>
      </c>
      <c r="Q782">
        <v>5.6052860273970665E-3</v>
      </c>
      <c r="R782">
        <v>1.5589413412131652E-3</v>
      </c>
      <c r="S782">
        <v>0.24517057686798413</v>
      </c>
      <c r="T782">
        <v>1.3319168004487345</v>
      </c>
      <c r="U782">
        <v>0.14504979075951457</v>
      </c>
      <c r="V782">
        <v>0.18663128373359822</v>
      </c>
      <c r="W782">
        <v>9.4252262091367417E-2</v>
      </c>
      <c r="X782">
        <v>1.5411999748110798E-2</v>
      </c>
      <c r="Y782">
        <v>4.2429244259072204E-3</v>
      </c>
    </row>
    <row r="783" spans="1:25" x14ac:dyDescent="0.25">
      <c r="A783" s="1096"/>
      <c r="B783" s="1455">
        <v>533</v>
      </c>
      <c r="C783" s="1100">
        <v>0.95174014645793747</v>
      </c>
      <c r="D783" s="1100">
        <v>0.98678225622594273</v>
      </c>
      <c r="E783" s="1100">
        <v>0.98694292871749822</v>
      </c>
      <c r="F783" s="1100">
        <v>0.96516066734181627</v>
      </c>
      <c r="G783" s="1100">
        <v>0.9944492997815545</v>
      </c>
      <c r="H783" s="1100">
        <v>1.0451112061227716</v>
      </c>
      <c r="I783" s="1100">
        <v>0.99580008444691726</v>
      </c>
      <c r="K783">
        <v>2.2184939101880969</v>
      </c>
      <c r="L783">
        <v>0</v>
      </c>
      <c r="M783">
        <v>1.7501067142843964E-3</v>
      </c>
      <c r="N783">
        <v>0.15307252401288235</v>
      </c>
      <c r="O783">
        <v>2.080603889862128E-2</v>
      </c>
      <c r="P783">
        <v>2.556547022621803E-2</v>
      </c>
      <c r="Q783">
        <v>5.7264211698116307E-3</v>
      </c>
      <c r="R783">
        <v>1.7265705328413582E-3</v>
      </c>
      <c r="S783">
        <v>0.25806726690927173</v>
      </c>
      <c r="T783">
        <v>1.2970260738896964</v>
      </c>
      <c r="U783">
        <v>0.1499805335440739</v>
      </c>
      <c r="V783">
        <v>0.18709505190971221</v>
      </c>
      <c r="W783">
        <v>0.1013457225369184</v>
      </c>
      <c r="X783">
        <v>1.513318744576117E-2</v>
      </c>
      <c r="Y783">
        <v>4.6991558265709913E-3</v>
      </c>
    </row>
    <row r="784" spans="1:25" x14ac:dyDescent="0.25">
      <c r="A784" s="1096"/>
      <c r="B784" s="1455">
        <v>534</v>
      </c>
      <c r="C784" s="1100">
        <v>0.97573067198900476</v>
      </c>
      <c r="D784" s="1100">
        <v>0.98805665573375978</v>
      </c>
      <c r="E784" s="1100">
        <v>1.0193347024333348</v>
      </c>
      <c r="F784" s="1100">
        <v>1.0384520604515426</v>
      </c>
      <c r="G784" s="1100">
        <v>0.99942142446010851</v>
      </c>
      <c r="H784" s="1100">
        <v>0.97525966299310451</v>
      </c>
      <c r="I784" s="1100">
        <v>1.0345909139701552</v>
      </c>
      <c r="K784">
        <v>2.2944860144136179</v>
      </c>
      <c r="L784">
        <v>0</v>
      </c>
      <c r="M784">
        <v>1.488994265872417E-3</v>
      </c>
      <c r="N784">
        <v>0.1434805008217134</v>
      </c>
      <c r="O784">
        <v>2.0309516463191207E-2</v>
      </c>
      <c r="P784">
        <v>2.7456339597797537E-2</v>
      </c>
      <c r="Q784">
        <v>5.7744368978851646E-3</v>
      </c>
      <c r="R784">
        <v>1.4675354012405023E-3</v>
      </c>
      <c r="S784">
        <v>0.25567375352753258</v>
      </c>
      <c r="T784">
        <v>1.3955741436209961</v>
      </c>
      <c r="U784">
        <v>0.14636939313029171</v>
      </c>
      <c r="V784">
        <v>0.18615427558896427</v>
      </c>
      <c r="W784">
        <v>9.3188103505243342E-2</v>
      </c>
      <c r="X784">
        <v>1.6532862535373703E-2</v>
      </c>
      <c r="Y784">
        <v>3.9941475892616447E-3</v>
      </c>
    </row>
    <row r="785" spans="1:25" x14ac:dyDescent="0.25">
      <c r="A785" s="1096"/>
      <c r="B785" s="1455">
        <v>535</v>
      </c>
      <c r="C785" s="1100">
        <v>1.0225800190765817</v>
      </c>
      <c r="D785" s="1100">
        <v>1.0019804258301077</v>
      </c>
      <c r="E785" s="1100">
        <v>0.98981119741047996</v>
      </c>
      <c r="F785" s="1100">
        <v>1.0054009208191619</v>
      </c>
      <c r="G785" s="1100">
        <v>0.99958445876767676</v>
      </c>
      <c r="H785" s="1100">
        <v>1.0365307488998468</v>
      </c>
      <c r="I785" s="1100">
        <v>0.98821315629699513</v>
      </c>
      <c r="K785">
        <v>2.2141235267967834</v>
      </c>
      <c r="L785">
        <v>0</v>
      </c>
      <c r="M785">
        <v>1.6005371232929526E-3</v>
      </c>
      <c r="N785">
        <v>0.14119395924252265</v>
      </c>
      <c r="O785">
        <v>1.9301430179512614E-2</v>
      </c>
      <c r="P785">
        <v>2.5861804684474219E-2</v>
      </c>
      <c r="Q785">
        <v>5.3277469501946256E-3</v>
      </c>
      <c r="R785">
        <v>1.5788342348239887E-3</v>
      </c>
      <c r="S785">
        <v>0.23591927071950408</v>
      </c>
      <c r="T785">
        <v>1.3511065864162064</v>
      </c>
      <c r="U785">
        <v>0.13959698385993274</v>
      </c>
      <c r="V785">
        <v>0.18336074485136075</v>
      </c>
      <c r="W785">
        <v>9.3320509962415879E-2</v>
      </c>
      <c r="X785">
        <v>1.4859126494503673E-2</v>
      </c>
      <c r="Y785">
        <v>4.2970663246252646E-3</v>
      </c>
    </row>
    <row r="786" spans="1:25" x14ac:dyDescent="0.25">
      <c r="A786" s="1096"/>
      <c r="B786" s="1455">
        <v>536</v>
      </c>
      <c r="C786" s="1100">
        <v>1.0288659015973396</v>
      </c>
      <c r="D786" s="1100">
        <v>0.97795461135175143</v>
      </c>
      <c r="E786" s="1100">
        <v>1.0034010228810546</v>
      </c>
      <c r="F786" s="1100">
        <v>0.98905050260555005</v>
      </c>
      <c r="G786" s="1100">
        <v>0.99223095677037854</v>
      </c>
      <c r="H786" s="1100">
        <v>0.9870689918371095</v>
      </c>
      <c r="I786" s="1100">
        <v>1.0036230713881957</v>
      </c>
      <c r="K786">
        <v>2.1821626663079807</v>
      </c>
      <c r="L786">
        <v>0</v>
      </c>
      <c r="M786">
        <v>1.4806502033019688E-3</v>
      </c>
      <c r="N786">
        <v>0.13600009213014105</v>
      </c>
      <c r="O786">
        <v>1.9294499159198213E-2</v>
      </c>
      <c r="P786">
        <v>2.5816486208043561E-2</v>
      </c>
      <c r="Q786">
        <v>5.3992239643773409E-3</v>
      </c>
      <c r="R786">
        <v>1.459566886312567E-3</v>
      </c>
      <c r="S786">
        <v>0.23723991552573687</v>
      </c>
      <c r="T786">
        <v>1.3291545059579537</v>
      </c>
      <c r="U786">
        <v>0.13877450644926775</v>
      </c>
      <c r="V786">
        <v>0.18218666901149411</v>
      </c>
      <c r="W786">
        <v>8.9162643529605373E-2</v>
      </c>
      <c r="X786">
        <v>1.518274777070152E-2</v>
      </c>
      <c r="Y786">
        <v>3.9724599184480453E-3</v>
      </c>
    </row>
    <row r="787" spans="1:25" x14ac:dyDescent="0.25">
      <c r="A787" s="1096"/>
      <c r="B787" s="1455">
        <v>537</v>
      </c>
      <c r="C787" s="1100">
        <v>1.0132423087864508</v>
      </c>
      <c r="D787" s="1100">
        <v>1.0327403530706849</v>
      </c>
      <c r="E787" s="1100">
        <v>1.0179163163068541</v>
      </c>
      <c r="F787" s="1100">
        <v>0.97801190794568316</v>
      </c>
      <c r="G787" s="1100">
        <v>0.98574817617554999</v>
      </c>
      <c r="H787" s="1100">
        <v>0.9721369729827497</v>
      </c>
      <c r="I787" s="1100">
        <v>1.0032208132028222</v>
      </c>
      <c r="K787">
        <v>2.1657915090674291</v>
      </c>
      <c r="L787">
        <v>0</v>
      </c>
      <c r="M787">
        <v>1.419620416089776E-3</v>
      </c>
      <c r="N787">
        <v>0.13620503995403369</v>
      </c>
      <c r="O787">
        <v>1.9367370204253134E-2</v>
      </c>
      <c r="P787">
        <v>2.5867441982778964E-2</v>
      </c>
      <c r="Q787">
        <v>5.4987991475194979E-3</v>
      </c>
      <c r="R787">
        <v>1.3990956246617019E-3</v>
      </c>
      <c r="S787">
        <v>0.23326762121343989</v>
      </c>
      <c r="T787">
        <v>1.3143459492870828</v>
      </c>
      <c r="U787">
        <v>0.14094736293606708</v>
      </c>
      <c r="V787">
        <v>0.18235590831184775</v>
      </c>
      <c r="W787">
        <v>8.8536336644717176E-2</v>
      </c>
      <c r="X787">
        <v>1.5612327098535456E-2</v>
      </c>
      <c r="Y787">
        <v>3.8078770785804359E-3</v>
      </c>
    </row>
    <row r="788" spans="1:25" x14ac:dyDescent="0.25">
      <c r="A788" s="1096"/>
      <c r="B788" s="1455">
        <v>538</v>
      </c>
      <c r="C788" s="1100">
        <v>1.001023814750583</v>
      </c>
      <c r="D788" s="1100">
        <v>1.0442341740734029</v>
      </c>
      <c r="E788" s="1100">
        <v>0.97949704227574075</v>
      </c>
      <c r="F788" s="1100">
        <v>0.99539941059964621</v>
      </c>
      <c r="G788" s="1100">
        <v>1.0001122150302475</v>
      </c>
      <c r="H788" s="1100">
        <v>1.0067862606007281</v>
      </c>
      <c r="I788" s="1100">
        <v>0.99715485649289248</v>
      </c>
      <c r="K788">
        <v>2.1987484839473415</v>
      </c>
      <c r="L788">
        <v>0</v>
      </c>
      <c r="M788">
        <v>1.6076684230976531E-3</v>
      </c>
      <c r="N788">
        <v>0.13741115529851114</v>
      </c>
      <c r="O788">
        <v>1.9532349798830156E-2</v>
      </c>
      <c r="P788">
        <v>2.5536904016053227E-2</v>
      </c>
      <c r="Q788">
        <v>5.3354065544747292E-3</v>
      </c>
      <c r="R788">
        <v>1.5852247890685532E-3</v>
      </c>
      <c r="S788">
        <v>0.2358559893418867</v>
      </c>
      <c r="T788">
        <v>1.3376531681784827</v>
      </c>
      <c r="U788">
        <v>0.14257942331229381</v>
      </c>
      <c r="V788">
        <v>0.18466069048929207</v>
      </c>
      <c r="W788">
        <v>9.1385604072632062E-2</v>
      </c>
      <c r="X788">
        <v>1.45057772122791E-2</v>
      </c>
      <c r="Y788">
        <v>4.3144593066333286E-3</v>
      </c>
    </row>
    <row r="789" spans="1:25" x14ac:dyDescent="0.25">
      <c r="A789" s="1096"/>
      <c r="B789" s="1455">
        <v>539</v>
      </c>
      <c r="C789" s="1100">
        <v>1.002676355968509</v>
      </c>
      <c r="D789" s="1100">
        <v>0.96480880444309924</v>
      </c>
      <c r="E789" s="1100">
        <v>1.0021478995471462</v>
      </c>
      <c r="F789" s="1100">
        <v>1.0112039038884193</v>
      </c>
      <c r="G789" s="1100">
        <v>0.98897585895096229</v>
      </c>
      <c r="H789" s="1100">
        <v>1.0023753865072926</v>
      </c>
      <c r="I789" s="1100">
        <v>0.96321713300572676</v>
      </c>
      <c r="K789">
        <v>2.2275210912064178</v>
      </c>
      <c r="L789">
        <v>0</v>
      </c>
      <c r="M789">
        <v>1.5515142415359589E-3</v>
      </c>
      <c r="N789">
        <v>0.14200197933668715</v>
      </c>
      <c r="O789">
        <v>1.9856711668969834E-2</v>
      </c>
      <c r="P789">
        <v>2.6252960064944604E-2</v>
      </c>
      <c r="Q789">
        <v>5.549565204183547E-3</v>
      </c>
      <c r="R789">
        <v>1.529759228426621E-3</v>
      </c>
      <c r="S789">
        <v>0.23641196715163196</v>
      </c>
      <c r="T789">
        <v>1.3589236859022769</v>
      </c>
      <c r="U789">
        <v>0.14239636799064131</v>
      </c>
      <c r="V789">
        <v>0.18332375093706013</v>
      </c>
      <c r="W789">
        <v>9.3166736124587535E-2</v>
      </c>
      <c r="X789">
        <v>1.5495621503757778E-2</v>
      </c>
      <c r="Y789">
        <v>4.1635003347831418E-3</v>
      </c>
    </row>
    <row r="790" spans="1:25" x14ac:dyDescent="0.25">
      <c r="A790" s="1096"/>
      <c r="B790" s="1455">
        <v>540</v>
      </c>
      <c r="C790" s="1100">
        <v>1.000586342838198</v>
      </c>
      <c r="D790" s="1100">
        <v>0.99836360190529139</v>
      </c>
      <c r="E790" s="1100">
        <v>1.0355716577993186</v>
      </c>
      <c r="F790" s="1100">
        <v>1.0097987514317346</v>
      </c>
      <c r="G790" s="1100">
        <v>0.95968516261641268</v>
      </c>
      <c r="H790" s="1100">
        <v>0.99766338217187556</v>
      </c>
      <c r="I790" s="1100">
        <v>0.9873346502254694</v>
      </c>
      <c r="K790">
        <v>2.2298073662284512</v>
      </c>
      <c r="L790">
        <v>0</v>
      </c>
      <c r="M790">
        <v>1.4326900443964639E-3</v>
      </c>
      <c r="N790">
        <v>0.1450294761196525</v>
      </c>
      <c r="O790">
        <v>1.977002393583794E-2</v>
      </c>
      <c r="P790">
        <v>2.6870374369741958E-2</v>
      </c>
      <c r="Q790">
        <v>5.7121412867282353E-3</v>
      </c>
      <c r="R790">
        <v>1.4125062790921626E-3</v>
      </c>
      <c r="S790">
        <v>0.23859455957634365</v>
      </c>
      <c r="T790">
        <v>1.3571027722895552</v>
      </c>
      <c r="U790">
        <v>0.14277093128143137</v>
      </c>
      <c r="V790">
        <v>0.18016721295405302</v>
      </c>
      <c r="W790">
        <v>9.3308745057800777E-2</v>
      </c>
      <c r="X790">
        <v>1.6656936663488983E-2</v>
      </c>
      <c r="Y790">
        <v>3.8443764591191056E-3</v>
      </c>
    </row>
    <row r="791" spans="1:25" x14ac:dyDescent="0.25">
      <c r="A791" s="1096"/>
      <c r="B791" s="1455">
        <v>541</v>
      </c>
      <c r="C791" s="1100">
        <v>0.98380886378668753</v>
      </c>
      <c r="D791" s="1100">
        <v>0.97472095365926947</v>
      </c>
      <c r="E791" s="1100">
        <v>0.9894314391333261</v>
      </c>
      <c r="F791" s="1100">
        <v>1.0039929800036123</v>
      </c>
      <c r="G791" s="1100">
        <v>1.0189277823524738</v>
      </c>
      <c r="H791" s="1100">
        <v>0.96844738097477467</v>
      </c>
      <c r="I791" s="1100">
        <v>1.0226507236571007</v>
      </c>
      <c r="K791">
        <v>2.2338325176060208</v>
      </c>
      <c r="L791">
        <v>0</v>
      </c>
      <c r="M791">
        <v>1.5650314961214605E-3</v>
      </c>
      <c r="N791">
        <v>0.13777007423868046</v>
      </c>
      <c r="O791">
        <v>2.018395263148285E-2</v>
      </c>
      <c r="P791">
        <v>2.6175584779676096E-2</v>
      </c>
      <c r="Q791">
        <v>5.5692098143341109E-3</v>
      </c>
      <c r="R791">
        <v>1.5423181546563693E-3</v>
      </c>
      <c r="S791">
        <v>0.25155927046078819</v>
      </c>
      <c r="T791">
        <v>1.3492140064211371</v>
      </c>
      <c r="U791">
        <v>0.1450975070359449</v>
      </c>
      <c r="V791">
        <v>0.18783287737527338</v>
      </c>
      <c r="W791">
        <v>9.1078256874855351E-2</v>
      </c>
      <c r="X791">
        <v>1.5176809723380287E-2</v>
      </c>
      <c r="Y791">
        <v>4.1976815919315957E-3</v>
      </c>
    </row>
    <row r="792" spans="1:25" x14ac:dyDescent="0.25">
      <c r="A792" s="1096"/>
      <c r="B792" s="1455">
        <v>542</v>
      </c>
      <c r="C792" s="1100">
        <v>0.97081590372838589</v>
      </c>
      <c r="D792" s="1100">
        <v>1.0125782028238213</v>
      </c>
      <c r="E792" s="1100">
        <v>0.97718536669435441</v>
      </c>
      <c r="F792" s="1100">
        <v>0.97904257007522311</v>
      </c>
      <c r="G792" s="1100">
        <v>1.0202834589164094</v>
      </c>
      <c r="H792" s="1100">
        <v>0.9954300662570007</v>
      </c>
      <c r="I792" s="1100">
        <v>1.0289724020994213</v>
      </c>
      <c r="K792">
        <v>2.2101339460041833</v>
      </c>
      <c r="L792">
        <v>0</v>
      </c>
      <c r="M792">
        <v>1.6580366777439316E-3</v>
      </c>
      <c r="N792">
        <v>0.14070564269081706</v>
      </c>
      <c r="O792">
        <v>2.0275501808201257E-2</v>
      </c>
      <c r="P792">
        <v>2.555302523474548E-2</v>
      </c>
      <c r="Q792">
        <v>5.5253943980393492E-3</v>
      </c>
      <c r="R792">
        <v>1.6346258183731032E-3</v>
      </c>
      <c r="S792">
        <v>0.2538240836847302</v>
      </c>
      <c r="T792">
        <v>1.3156697336936454</v>
      </c>
      <c r="U792">
        <v>0.14701046206208529</v>
      </c>
      <c r="V792">
        <v>0.18878232013285992</v>
      </c>
      <c r="W792">
        <v>9.370749214318333E-2</v>
      </c>
      <c r="X792">
        <v>1.4654788391889871E-2</v>
      </c>
      <c r="Y792">
        <v>4.4489126233553805E-3</v>
      </c>
    </row>
    <row r="793" spans="1:25" x14ac:dyDescent="0.25">
      <c r="A793" s="1096"/>
      <c r="B793" s="1455">
        <v>543</v>
      </c>
      <c r="C793" s="1100">
        <v>0.99319653515159856</v>
      </c>
      <c r="D793" s="1100">
        <v>0.95324968098896301</v>
      </c>
      <c r="E793" s="1100">
        <v>0.96831243261694711</v>
      </c>
      <c r="F793" s="1100">
        <v>0.99370566870756938</v>
      </c>
      <c r="G793" s="1100">
        <v>1.0000616473682695</v>
      </c>
      <c r="H793" s="1100">
        <v>0.99969636802151318</v>
      </c>
      <c r="I793" s="1100">
        <v>1.025551461954002</v>
      </c>
      <c r="K793">
        <v>2.2209472590572221</v>
      </c>
      <c r="L793">
        <v>0</v>
      </c>
      <c r="M793">
        <v>1.6798900841401725E-3</v>
      </c>
      <c r="N793">
        <v>0.13879035569088466</v>
      </c>
      <c r="O793">
        <v>2.0078010821811185E-2</v>
      </c>
      <c r="P793">
        <v>2.5567257946052854E-2</v>
      </c>
      <c r="Q793">
        <v>5.4222538369273739E-3</v>
      </c>
      <c r="R793">
        <v>1.6562718877674361E-3</v>
      </c>
      <c r="S793">
        <v>0.25516491390363771</v>
      </c>
      <c r="T793">
        <v>1.3353657257757698</v>
      </c>
      <c r="U793">
        <v>0.14367725978208662</v>
      </c>
      <c r="V793">
        <v>0.18511245884161456</v>
      </c>
      <c r="W793">
        <v>9.2931367986936325E-2</v>
      </c>
      <c r="X793">
        <v>1.4353446579250194E-2</v>
      </c>
      <c r="Y793">
        <v>4.5078260886218975E-3</v>
      </c>
    </row>
    <row r="794" spans="1:25" x14ac:dyDescent="0.25">
      <c r="A794" s="1096"/>
      <c r="B794" s="1455">
        <v>544</v>
      </c>
      <c r="C794" s="1100">
        <v>0.98898269166323061</v>
      </c>
      <c r="D794" s="1100">
        <v>0.96972059955569345</v>
      </c>
      <c r="E794" s="1100">
        <v>0.96695771133343511</v>
      </c>
      <c r="F794" s="1100">
        <v>1.0075577453290687</v>
      </c>
      <c r="G794" s="1100">
        <v>1.0157032207225978</v>
      </c>
      <c r="H794" s="1100">
        <v>1.0124586703422904</v>
      </c>
      <c r="I794" s="1100">
        <v>0.95836722869792024</v>
      </c>
      <c r="K794">
        <v>2.2283925311009276</v>
      </c>
      <c r="L794">
        <v>0</v>
      </c>
      <c r="M794">
        <v>1.7069229899794231E-3</v>
      </c>
      <c r="N794">
        <v>0.14047163760626583</v>
      </c>
      <c r="O794">
        <v>2.0086851634109039E-2</v>
      </c>
      <c r="P794">
        <v>2.5600116445660955E-2</v>
      </c>
      <c r="Q794">
        <v>5.4171255562999662E-3</v>
      </c>
      <c r="R794">
        <v>1.683227232253172E-3</v>
      </c>
      <c r="S794">
        <v>0.23839396041013577</v>
      </c>
      <c r="T794">
        <v>1.3539792798460921</v>
      </c>
      <c r="U794">
        <v>0.144286300740079</v>
      </c>
      <c r="V794">
        <v>0.18713391529589304</v>
      </c>
      <c r="W794">
        <v>9.4134852911213623E-2</v>
      </c>
      <c r="X794">
        <v>1.4330996762416139E-2</v>
      </c>
      <c r="Y794">
        <v>4.5811896504851478E-3</v>
      </c>
    </row>
    <row r="795" spans="1:25" x14ac:dyDescent="0.25">
      <c r="A795" s="1096"/>
      <c r="B795" s="1455">
        <v>545</v>
      </c>
      <c r="C795" s="1100">
        <v>1.0430023684005538</v>
      </c>
      <c r="D795" s="1100">
        <v>0.97225139655200543</v>
      </c>
      <c r="E795" s="1100">
        <v>1.0112554810341237</v>
      </c>
      <c r="F795" s="1100">
        <v>1.0044250963353207</v>
      </c>
      <c r="G795" s="1100">
        <v>0.99847274122257812</v>
      </c>
      <c r="H795" s="1100">
        <v>0.97532990091108407</v>
      </c>
      <c r="I795" s="1100">
        <v>1.0034410063604886</v>
      </c>
      <c r="K795">
        <v>2.1934637311616121</v>
      </c>
      <c r="L795">
        <v>0</v>
      </c>
      <c r="M795">
        <v>1.421690413220174E-3</v>
      </c>
      <c r="N795">
        <v>0.13369541775466479</v>
      </c>
      <c r="O795">
        <v>1.9062233855670154E-2</v>
      </c>
      <c r="P795">
        <v>2.6177873336901608E-2</v>
      </c>
      <c r="Q795">
        <v>5.376338195275234E-3</v>
      </c>
      <c r="R795">
        <v>1.4012029836740583E-3</v>
      </c>
      <c r="S795">
        <v>0.23381893658526287</v>
      </c>
      <c r="T795">
        <v>1.3498297604674923</v>
      </c>
      <c r="U795">
        <v>0.13691096590534368</v>
      </c>
      <c r="V795">
        <v>0.18211736694978842</v>
      </c>
      <c r="W795">
        <v>8.7245802129993361E-2</v>
      </c>
      <c r="X795">
        <v>1.5435910795645361E-2</v>
      </c>
      <c r="Y795">
        <v>3.8136126151213589E-3</v>
      </c>
    </row>
    <row r="796" spans="1:25" x14ac:dyDescent="0.25">
      <c r="A796" s="1096"/>
      <c r="B796" s="1455">
        <v>546</v>
      </c>
      <c r="C796" s="1100">
        <v>1.0063389958642626</v>
      </c>
      <c r="D796" s="1100">
        <v>1.0045064471189049</v>
      </c>
      <c r="E796" s="1100">
        <v>1.0049410839133681</v>
      </c>
      <c r="F796" s="1100">
        <v>0.99040935663417007</v>
      </c>
      <c r="G796" s="1100">
        <v>0.98464459475246402</v>
      </c>
      <c r="H796" s="1100">
        <v>1.0050138085071192</v>
      </c>
      <c r="I796" s="1100">
        <v>1.0231538454945666</v>
      </c>
      <c r="K796">
        <v>2.2049021242629339</v>
      </c>
      <c r="L796">
        <v>0</v>
      </c>
      <c r="M796">
        <v>1.5273680485859132E-3</v>
      </c>
      <c r="N796">
        <v>0.14098162824059682</v>
      </c>
      <c r="O796">
        <v>1.9611447910370321E-2</v>
      </c>
      <c r="P796">
        <v>2.6032046232008776E-2</v>
      </c>
      <c r="Q796">
        <v>5.4963989307592921E-3</v>
      </c>
      <c r="R796">
        <v>1.5060078321323816E-3</v>
      </c>
      <c r="S796">
        <v>0.24544663923800134</v>
      </c>
      <c r="T796">
        <v>1.3309831943244281</v>
      </c>
      <c r="U796">
        <v>0.14188450044834772</v>
      </c>
      <c r="V796">
        <v>0.18262128697034002</v>
      </c>
      <c r="W796">
        <v>9.2344288627417462E-2</v>
      </c>
      <c r="X796">
        <v>1.5423196693398946E-2</v>
      </c>
      <c r="Y796">
        <v>4.0988568637159066E-3</v>
      </c>
    </row>
    <row r="797" spans="1:25" x14ac:dyDescent="0.25">
      <c r="A797" s="1096"/>
      <c r="B797" s="1455">
        <v>547</v>
      </c>
      <c r="C797" s="1100">
        <v>1.0189297274533691</v>
      </c>
      <c r="D797" s="1100">
        <v>1.0031413757897685</v>
      </c>
      <c r="E797" s="1100">
        <v>0.9973785232104464</v>
      </c>
      <c r="F797" s="1100">
        <v>1.0044484741021442</v>
      </c>
      <c r="G797" s="1100">
        <v>0.98728255310447965</v>
      </c>
      <c r="H797" s="1100">
        <v>0.99728909313837233</v>
      </c>
      <c r="I797" s="1100">
        <v>0.97191134850135563</v>
      </c>
      <c r="K797">
        <v>2.1992024727214372</v>
      </c>
      <c r="L797">
        <v>0</v>
      </c>
      <c r="M797">
        <v>1.521026458691877E-3</v>
      </c>
      <c r="N797">
        <v>0.13721004470408601</v>
      </c>
      <c r="O797">
        <v>1.937027432980485E-2</v>
      </c>
      <c r="P797">
        <v>2.5899150125790811E-2</v>
      </c>
      <c r="Q797">
        <v>5.3877208378663435E-3</v>
      </c>
      <c r="R797">
        <v>1.4995901660984103E-3</v>
      </c>
      <c r="S797">
        <v>0.22978372435627512</v>
      </c>
      <c r="T797">
        <v>1.349837683576171</v>
      </c>
      <c r="U797">
        <v>0.14011416814076372</v>
      </c>
      <c r="V797">
        <v>0.18218441473084637</v>
      </c>
      <c r="W797">
        <v>9.0278367200251911E-2</v>
      </c>
      <c r="X797">
        <v>1.5076970919817658E-2</v>
      </c>
      <c r="Y797">
        <v>4.0813900923544755E-3</v>
      </c>
    </row>
    <row r="798" spans="1:25" x14ac:dyDescent="0.25">
      <c r="A798" s="1096"/>
      <c r="B798" s="1455">
        <v>548</v>
      </c>
      <c r="C798" s="1100">
        <v>0.968853764722864</v>
      </c>
      <c r="D798" s="1100">
        <v>0.99276093118603526</v>
      </c>
      <c r="E798" s="1100">
        <v>0.97947720600944832</v>
      </c>
      <c r="F798" s="1100">
        <v>0.99211593815777877</v>
      </c>
      <c r="G798" s="1100">
        <v>1.0106713915347987</v>
      </c>
      <c r="H798" s="1100">
        <v>0.99478110736260561</v>
      </c>
      <c r="I798" s="1100">
        <v>1.0328781220365106</v>
      </c>
      <c r="K798">
        <v>2.2334746000148966</v>
      </c>
      <c r="L798">
        <v>0</v>
      </c>
      <c r="M798">
        <v>1.6596649793808643E-3</v>
      </c>
      <c r="N798">
        <v>0.14182267177439434</v>
      </c>
      <c r="O798">
        <v>2.0406574517750013E-2</v>
      </c>
      <c r="P798">
        <v>2.5878179783313311E-2</v>
      </c>
      <c r="Q798">
        <v>5.5740951200364056E-3</v>
      </c>
      <c r="R798">
        <v>1.6362158416094717E-3</v>
      </c>
      <c r="S798">
        <v>0.25779602376886829</v>
      </c>
      <c r="T798">
        <v>1.3332406985104437</v>
      </c>
      <c r="U798">
        <v>0.14731361729406067</v>
      </c>
      <c r="V798">
        <v>0.18782144859018177</v>
      </c>
      <c r="W798">
        <v>9.4320623412987706E-2</v>
      </c>
      <c r="X798">
        <v>1.4870876238176046E-2</v>
      </c>
      <c r="Y798">
        <v>4.4532401424537569E-3</v>
      </c>
    </row>
    <row r="799" spans="1:25" x14ac:dyDescent="0.25">
      <c r="A799" s="1096"/>
      <c r="B799" s="1455">
        <v>549</v>
      </c>
      <c r="C799" s="1100">
        <v>1.0348174826073657</v>
      </c>
      <c r="D799" s="1100">
        <v>0.9666653972527961</v>
      </c>
      <c r="E799" s="1100">
        <v>0.98923412673347777</v>
      </c>
      <c r="F799" s="1100">
        <v>0.96182400746982644</v>
      </c>
      <c r="G799" s="1100">
        <v>0.97049963757823565</v>
      </c>
      <c r="H799" s="1100">
        <v>1.0204068811650302</v>
      </c>
      <c r="I799" s="1100">
        <v>1.0170788694635762</v>
      </c>
      <c r="K799">
        <v>2.1509889955496271</v>
      </c>
      <c r="L799">
        <v>0</v>
      </c>
      <c r="M799">
        <v>1.5712227856902912E-3</v>
      </c>
      <c r="N799">
        <v>0.13833626146655126</v>
      </c>
      <c r="O799">
        <v>1.9223983906885921E-2</v>
      </c>
      <c r="P799">
        <v>2.5077426933774953E-2</v>
      </c>
      <c r="Q799">
        <v>5.3032745302185342E-3</v>
      </c>
      <c r="R799">
        <v>1.5495807371466042E-3</v>
      </c>
      <c r="S799">
        <v>0.24297626784873047</v>
      </c>
      <c r="T799">
        <v>1.2925450569898462</v>
      </c>
      <c r="U799">
        <v>0.13794486702099798</v>
      </c>
      <c r="V799">
        <v>0.17938659698838855</v>
      </c>
      <c r="W799">
        <v>9.1463373159766131E-2</v>
      </c>
      <c r="X799">
        <v>1.4536080805647252E-2</v>
      </c>
      <c r="Y799">
        <v>4.217447947360343E-3</v>
      </c>
    </row>
    <row r="800" spans="1:25" x14ac:dyDescent="0.25">
      <c r="A800" s="1096"/>
      <c r="B800" s="1455">
        <v>550</v>
      </c>
      <c r="C800" s="1100">
        <v>0.99587516653296493</v>
      </c>
      <c r="D800" s="1100">
        <v>1.0185537548693087</v>
      </c>
      <c r="E800" s="1100">
        <v>0.99540514089550136</v>
      </c>
      <c r="F800" s="1100">
        <v>1.0254763477202791</v>
      </c>
      <c r="G800" s="1100">
        <v>0.96625125659566313</v>
      </c>
      <c r="H800" s="1100">
        <v>1.0094223974594219</v>
      </c>
      <c r="I800" s="1100">
        <v>1.0245983965154633</v>
      </c>
      <c r="K800">
        <v>2.2553767308443944</v>
      </c>
      <c r="L800">
        <v>0</v>
      </c>
      <c r="M800">
        <v>1.5763327957959792E-3</v>
      </c>
      <c r="N800">
        <v>0.14137795916409512</v>
      </c>
      <c r="O800">
        <v>1.9751096539344211E-2</v>
      </c>
      <c r="P800">
        <v>2.6508710994403238E-2</v>
      </c>
      <c r="Q800">
        <v>5.4827359980166154E-3</v>
      </c>
      <c r="R800">
        <v>1.5543840882763097E-3</v>
      </c>
      <c r="S800">
        <v>0.24695578404783897</v>
      </c>
      <c r="T800">
        <v>1.3780931294907368</v>
      </c>
      <c r="U800">
        <v>0.14335325870434334</v>
      </c>
      <c r="V800">
        <v>0.18115313638912561</v>
      </c>
      <c r="W800">
        <v>9.3130154374372331E-2</v>
      </c>
      <c r="X800">
        <v>1.5362192763925982E-2</v>
      </c>
      <c r="Y800">
        <v>4.2305210857111249E-3</v>
      </c>
    </row>
    <row r="801" spans="1:25" x14ac:dyDescent="0.25">
      <c r="A801" s="1096"/>
      <c r="B801" s="1455">
        <v>551</v>
      </c>
      <c r="C801" s="1100">
        <v>0.96406031067247877</v>
      </c>
      <c r="D801" s="1100">
        <v>0.97984772735366787</v>
      </c>
      <c r="E801" s="1100">
        <v>0.98599557369206525</v>
      </c>
      <c r="F801" s="1100">
        <v>1.0391560978915375</v>
      </c>
      <c r="G801" s="1100">
        <v>1.0142515529643978</v>
      </c>
      <c r="H801" s="1100">
        <v>1.0232460836006034</v>
      </c>
      <c r="I801" s="1100">
        <v>0.97977937903736179</v>
      </c>
      <c r="K801">
        <v>2.3018404878510315</v>
      </c>
      <c r="L801">
        <v>0</v>
      </c>
      <c r="M801">
        <v>1.6975467076834224E-3</v>
      </c>
      <c r="N801">
        <v>0.14800747958843907</v>
      </c>
      <c r="O801">
        <v>2.0571426366687427E-2</v>
      </c>
      <c r="P801">
        <v>2.6770910991227449E-2</v>
      </c>
      <c r="Q801">
        <v>5.6564194852196312E-3</v>
      </c>
      <c r="R801">
        <v>1.6742295495274957E-3</v>
      </c>
      <c r="S801">
        <v>0.24975470603832473</v>
      </c>
      <c r="T801">
        <v>1.3964631665268092</v>
      </c>
      <c r="U801">
        <v>0.14806160670002372</v>
      </c>
      <c r="V801">
        <v>0.18853625129969967</v>
      </c>
      <c r="W801">
        <v>9.804805997450361E-2</v>
      </c>
      <c r="X801">
        <v>1.5437077114059249E-2</v>
      </c>
      <c r="Y801">
        <v>4.5567009241911718E-3</v>
      </c>
    </row>
    <row r="802" spans="1:25" x14ac:dyDescent="0.25">
      <c r="A802" s="1096"/>
      <c r="B802" s="1455">
        <v>552</v>
      </c>
      <c r="C802" s="1100">
        <v>1.012630546036801</v>
      </c>
      <c r="D802" s="1100">
        <v>1.0277945904075505</v>
      </c>
      <c r="E802" s="1100">
        <v>0.96590322794917727</v>
      </c>
      <c r="F802" s="1100">
        <v>1.0105577326552511</v>
      </c>
      <c r="G802" s="1100">
        <v>1.0027078620307557</v>
      </c>
      <c r="H802" s="1100">
        <v>0.99768953724368037</v>
      </c>
      <c r="I802" s="1100">
        <v>0.9727942111018435</v>
      </c>
      <c r="K802">
        <v>2.2027215588281752</v>
      </c>
      <c r="L802">
        <v>0</v>
      </c>
      <c r="M802">
        <v>1.6253895357829929E-3</v>
      </c>
      <c r="N802">
        <v>0.13330752280720121</v>
      </c>
      <c r="O802">
        <v>1.9367697119840516E-2</v>
      </c>
      <c r="P802">
        <v>2.5417714170801083E-2</v>
      </c>
      <c r="Q802">
        <v>5.2175427326672016E-3</v>
      </c>
      <c r="R802">
        <v>1.6024916165829129E-3</v>
      </c>
      <c r="S802">
        <v>0.22845128335603626</v>
      </c>
      <c r="T802">
        <v>1.3580098222520747</v>
      </c>
      <c r="U802">
        <v>0.1409144136558747</v>
      </c>
      <c r="V802">
        <v>0.18426391185892843</v>
      </c>
      <c r="W802">
        <v>8.9391449628894365E-2</v>
      </c>
      <c r="X802">
        <v>1.4041645245935657E-2</v>
      </c>
      <c r="Y802">
        <v>4.361453919119255E-3</v>
      </c>
    </row>
    <row r="803" spans="1:25" x14ac:dyDescent="0.25">
      <c r="A803" s="1096"/>
      <c r="B803" s="1455">
        <v>553</v>
      </c>
      <c r="C803" s="1100">
        <v>1.0102958804179578</v>
      </c>
      <c r="D803" s="1100">
        <v>0.9937095124296188</v>
      </c>
      <c r="E803" s="1100">
        <v>0.99131334572163288</v>
      </c>
      <c r="F803" s="1100">
        <v>0.98448135076445775</v>
      </c>
      <c r="G803" s="1100">
        <v>1.0315479037391255</v>
      </c>
      <c r="H803" s="1100">
        <v>0.98646503778827999</v>
      </c>
      <c r="I803" s="1100">
        <v>1.0369833000239725</v>
      </c>
      <c r="K803">
        <v>2.1956154690739833</v>
      </c>
      <c r="L803">
        <v>0</v>
      </c>
      <c r="M803">
        <v>1.5397659181203306E-3</v>
      </c>
      <c r="N803">
        <v>0.13635601683117632</v>
      </c>
      <c r="O803">
        <v>1.9572701432638021E-2</v>
      </c>
      <c r="P803">
        <v>2.5748558996354348E-2</v>
      </c>
      <c r="Q803">
        <v>5.4108321579188498E-3</v>
      </c>
      <c r="R803">
        <v>1.5178274155171771E-3</v>
      </c>
      <c r="S803">
        <v>0.24749329496398392</v>
      </c>
      <c r="T803">
        <v>1.3229959024374693</v>
      </c>
      <c r="U803">
        <v>0.1412977548764506</v>
      </c>
      <c r="V803">
        <v>0.18768040308578451</v>
      </c>
      <c r="W803">
        <v>9.0041900873951614E-2</v>
      </c>
      <c r="X803">
        <v>1.4909016047493343E-2</v>
      </c>
      <c r="Y803">
        <v>4.1310258733647043E-3</v>
      </c>
    </row>
    <row r="804" spans="1:25" x14ac:dyDescent="0.25">
      <c r="A804" s="1096"/>
      <c r="B804" s="1455">
        <v>554</v>
      </c>
      <c r="C804" s="1100">
        <v>0.99667052201207607</v>
      </c>
      <c r="D804" s="1100">
        <v>1.0300823809648807</v>
      </c>
      <c r="E804" s="1100">
        <v>0.96638671479372051</v>
      </c>
      <c r="F804" s="1100">
        <v>0.98471112176779096</v>
      </c>
      <c r="G804" s="1100">
        <v>1.0083167915826441</v>
      </c>
      <c r="H804" s="1100">
        <v>0.96240194538277768</v>
      </c>
      <c r="I804" s="1100">
        <v>1.0064938363392388</v>
      </c>
      <c r="K804">
        <v>2.1758328867667509</v>
      </c>
      <c r="L804">
        <v>0</v>
      </c>
      <c r="M804">
        <v>1.5906414286767779E-3</v>
      </c>
      <c r="N804">
        <v>0.13058035828119954</v>
      </c>
      <c r="O804">
        <v>1.9668514803673202E-2</v>
      </c>
      <c r="P804">
        <v>2.5130644419389111E-2</v>
      </c>
      <c r="Q804">
        <v>5.3012058727084539E-3</v>
      </c>
      <c r="R804">
        <v>1.5674113984840558E-3</v>
      </c>
      <c r="S804">
        <v>0.23705560893016567</v>
      </c>
      <c r="T804">
        <v>1.3232769784872436</v>
      </c>
      <c r="U804">
        <v>0.14317203475983048</v>
      </c>
      <c r="V804">
        <v>0.18583599054953351</v>
      </c>
      <c r="W804">
        <v>8.7536864728163022E-2</v>
      </c>
      <c r="X804">
        <v>1.4031938835391859E-2</v>
      </c>
      <c r="Y804">
        <v>4.2659771296449552E-3</v>
      </c>
    </row>
    <row r="805" spans="1:25" x14ac:dyDescent="0.25">
      <c r="A805" s="1096"/>
      <c r="B805" s="1455">
        <v>555</v>
      </c>
      <c r="C805" s="1100">
        <v>0.99992333133475775</v>
      </c>
      <c r="D805" s="1100">
        <v>1.00384233595858</v>
      </c>
      <c r="E805" s="1100">
        <v>1.0144714985095906</v>
      </c>
      <c r="F805" s="1100">
        <v>1.0260858994176685</v>
      </c>
      <c r="G805" s="1100">
        <v>0.9938945772014508</v>
      </c>
      <c r="H805" s="1100">
        <v>0.98373825838708229</v>
      </c>
      <c r="I805" s="1100">
        <v>0.95903906338178757</v>
      </c>
      <c r="K805">
        <v>2.2391571789997027</v>
      </c>
      <c r="L805">
        <v>0</v>
      </c>
      <c r="M805">
        <v>1.4753450655532547E-3</v>
      </c>
      <c r="N805">
        <v>0.1401119290620863</v>
      </c>
      <c r="O805">
        <v>1.9746107707319317E-2</v>
      </c>
      <c r="P805">
        <v>2.6697739605312763E-2</v>
      </c>
      <c r="Q805">
        <v>5.5871235947270378E-3</v>
      </c>
      <c r="R805">
        <v>1.4542661616673926E-3</v>
      </c>
      <c r="S805">
        <v>0.23005369203406176</v>
      </c>
      <c r="T805">
        <v>1.3789455150401662</v>
      </c>
      <c r="U805">
        <v>0.14281683024416955</v>
      </c>
      <c r="V805">
        <v>0.18405367290775362</v>
      </c>
      <c r="W805">
        <v>9.1260193470464518E-2</v>
      </c>
      <c r="X805">
        <v>1.5947421144179203E-2</v>
      </c>
      <c r="Y805">
        <v>3.9580330933472888E-3</v>
      </c>
    </row>
    <row r="806" spans="1:25" x14ac:dyDescent="0.25">
      <c r="A806" s="1096"/>
      <c r="B806" s="1455">
        <v>556</v>
      </c>
      <c r="C806" s="1100">
        <v>0.9582287233844774</v>
      </c>
      <c r="D806" s="1100">
        <v>1.021129117140041</v>
      </c>
      <c r="E806" s="1100">
        <v>0.96987623633946107</v>
      </c>
      <c r="F806" s="1100">
        <v>1.0126820355277555</v>
      </c>
      <c r="G806" s="1100">
        <v>0.99618423810884726</v>
      </c>
      <c r="H806" s="1100">
        <v>1.0348824980278528</v>
      </c>
      <c r="I806" s="1100">
        <v>1.0337548226498139</v>
      </c>
      <c r="K806">
        <v>2.2741292115180389</v>
      </c>
      <c r="L806">
        <v>0</v>
      </c>
      <c r="M806">
        <v>1.7696836994792763E-3</v>
      </c>
      <c r="N806">
        <v>0.14697420325122054</v>
      </c>
      <c r="O806">
        <v>2.0499147855664233E-2</v>
      </c>
      <c r="P806">
        <v>2.610387796759189E-2</v>
      </c>
      <c r="Q806">
        <v>5.5448456879070105E-3</v>
      </c>
      <c r="R806">
        <v>1.7456490061388131E-3</v>
      </c>
      <c r="S806">
        <v>0.26060866399201726</v>
      </c>
      <c r="T806">
        <v>1.3608680724107165</v>
      </c>
      <c r="U806">
        <v>0.14892408811638233</v>
      </c>
      <c r="V806">
        <v>0.18685407190355319</v>
      </c>
      <c r="W806">
        <v>9.8317427003132118E-2</v>
      </c>
      <c r="X806">
        <v>1.4707766881523187E-2</v>
      </c>
      <c r="Y806">
        <v>4.7510811416696334E-3</v>
      </c>
    </row>
    <row r="807" spans="1:25" x14ac:dyDescent="0.25">
      <c r="A807" s="1096"/>
      <c r="B807" s="1455">
        <v>557</v>
      </c>
      <c r="C807" s="1100">
        <v>0.9709546709105471</v>
      </c>
      <c r="D807" s="1100">
        <v>0.99667782348176115</v>
      </c>
      <c r="E807" s="1100">
        <v>0.96810666974828063</v>
      </c>
      <c r="F807" s="1100">
        <v>0.96596993860112512</v>
      </c>
      <c r="G807" s="1100">
        <v>1.0401405203339567</v>
      </c>
      <c r="H807" s="1100">
        <v>0.98306325886574231</v>
      </c>
      <c r="I807" s="1100">
        <v>0.9830118085751165</v>
      </c>
      <c r="K807">
        <v>2.1796512625616997</v>
      </c>
      <c r="L807">
        <v>0</v>
      </c>
      <c r="M807">
        <v>1.674010972449766E-3</v>
      </c>
      <c r="N807">
        <v>0.13818513078768704</v>
      </c>
      <c r="O807">
        <v>2.0337497959452128E-2</v>
      </c>
      <c r="P807">
        <v>2.5031160065789568E-2</v>
      </c>
      <c r="Q807">
        <v>5.4911746555130602E-3</v>
      </c>
      <c r="R807">
        <v>1.6500772190406201E-3</v>
      </c>
      <c r="S807">
        <v>0.24329965458482078</v>
      </c>
      <c r="T807">
        <v>1.2980936029081875</v>
      </c>
      <c r="U807">
        <v>0.1469680198222553</v>
      </c>
      <c r="V807">
        <v>0.19101058626781969</v>
      </c>
      <c r="W807">
        <v>9.2537725612583444E-2</v>
      </c>
      <c r="X807">
        <v>1.4229677408582357E-2</v>
      </c>
      <c r="Y807">
        <v>4.4909662424194993E-3</v>
      </c>
    </row>
    <row r="808" spans="1:25" x14ac:dyDescent="0.25">
      <c r="A808" s="1096"/>
      <c r="B808" s="1455">
        <v>558</v>
      </c>
      <c r="C808" s="1100">
        <v>0.96698708362458774</v>
      </c>
      <c r="D808" s="1100">
        <v>0.999241538494543</v>
      </c>
      <c r="E808" s="1100">
        <v>1.0062135560164118</v>
      </c>
      <c r="F808" s="1100">
        <v>0.97624720422312583</v>
      </c>
      <c r="G808" s="1100">
        <v>1.0183955166410106</v>
      </c>
      <c r="H808" s="1100">
        <v>1.0356237098499472</v>
      </c>
      <c r="I808" s="1100">
        <v>1.0385512963407417</v>
      </c>
      <c r="K808">
        <v>2.2344486022120891</v>
      </c>
      <c r="L808">
        <v>0</v>
      </c>
      <c r="M808">
        <v>1.6355057418656366E-3</v>
      </c>
      <c r="N808">
        <v>0.15160790365629662</v>
      </c>
      <c r="O808">
        <v>2.0433975656628404E-2</v>
      </c>
      <c r="P808">
        <v>2.6195461230258881E-2</v>
      </c>
      <c r="Q808">
        <v>5.7342317148574972E-3</v>
      </c>
      <c r="R808">
        <v>1.6133092640405718E-3</v>
      </c>
      <c r="S808">
        <v>0.26260453901294001</v>
      </c>
      <c r="T808">
        <v>1.3119532050799485</v>
      </c>
      <c r="U808">
        <v>0.14766157718516965</v>
      </c>
      <c r="V808">
        <v>0.18883667716163752</v>
      </c>
      <c r="W808">
        <v>9.9229853752443711E-2</v>
      </c>
      <c r="X808">
        <v>1.5822478250272075E-2</v>
      </c>
      <c r="Y808">
        <v>4.3908959894624761E-3</v>
      </c>
    </row>
    <row r="809" spans="1:25" x14ac:dyDescent="0.25">
      <c r="A809" s="1096"/>
      <c r="B809" s="1455">
        <v>559</v>
      </c>
      <c r="C809" s="1100">
        <v>1.014378151784642</v>
      </c>
      <c r="D809" s="1100">
        <v>0.98958019935136809</v>
      </c>
      <c r="E809" s="1100">
        <v>0.99761301071175035</v>
      </c>
      <c r="F809" s="1100">
        <v>0.9922588005108125</v>
      </c>
      <c r="G809" s="1100">
        <v>0.98867974544829795</v>
      </c>
      <c r="H809" s="1100">
        <v>1.004988545111255</v>
      </c>
      <c r="I809" s="1100">
        <v>0.98701198198469742</v>
      </c>
      <c r="K809">
        <v>2.1943862364018774</v>
      </c>
      <c r="L809">
        <v>0</v>
      </c>
      <c r="M809">
        <v>1.5435135690783136E-3</v>
      </c>
      <c r="N809">
        <v>0.13935253553287541</v>
      </c>
      <c r="O809">
        <v>1.9515684560778544E-2</v>
      </c>
      <c r="P809">
        <v>2.5787792734622336E-2</v>
      </c>
      <c r="Q809">
        <v>5.42944714118409E-3</v>
      </c>
      <c r="R809">
        <v>1.52192701516341E-3</v>
      </c>
      <c r="S809">
        <v>0.23660317612857179</v>
      </c>
      <c r="T809">
        <v>1.3334568319672249</v>
      </c>
      <c r="U809">
        <v>0.14074340082825998</v>
      </c>
      <c r="V809">
        <v>0.18260378570011068</v>
      </c>
      <c r="W809">
        <v>9.1675232297418474E-2</v>
      </c>
      <c r="X809">
        <v>1.5097752432574513E-2</v>
      </c>
      <c r="Y809">
        <v>4.1421836321690894E-3</v>
      </c>
    </row>
    <row r="810" spans="1:25" x14ac:dyDescent="0.25">
      <c r="A810" s="1096"/>
      <c r="B810" s="1455">
        <v>560</v>
      </c>
      <c r="C810" s="1100">
        <v>1.0053446075259105</v>
      </c>
      <c r="D810" s="1100">
        <v>0.99148597663719762</v>
      </c>
      <c r="E810" s="1100">
        <v>1.0196783109067922</v>
      </c>
      <c r="F810" s="1100">
        <v>1.0004891929103117</v>
      </c>
      <c r="G810" s="1100">
        <v>1.0201384346885078</v>
      </c>
      <c r="H810" s="1100">
        <v>1.0005117595176125</v>
      </c>
      <c r="I810" s="1100">
        <v>0.98295548205380123</v>
      </c>
      <c r="K810">
        <v>2.2179841662203206</v>
      </c>
      <c r="L810">
        <v>0</v>
      </c>
      <c r="M810">
        <v>1.4803637996096369E-3</v>
      </c>
      <c r="N810">
        <v>0.14284951413817712</v>
      </c>
      <c r="O810">
        <v>1.9696464536836752E-2</v>
      </c>
      <c r="P810">
        <v>2.6450985531261365E-2</v>
      </c>
      <c r="Q810">
        <v>5.6020467436774133E-3</v>
      </c>
      <c r="R810">
        <v>1.4595677791585993E-3</v>
      </c>
      <c r="S810">
        <v>0.23733401873155854</v>
      </c>
      <c r="T810">
        <v>1.3445565954993011</v>
      </c>
      <c r="U810">
        <v>0.14205865203050608</v>
      </c>
      <c r="V810">
        <v>0.18670474867136105</v>
      </c>
      <c r="W810">
        <v>9.2759632061276076E-2</v>
      </c>
      <c r="X810">
        <v>1.6019841948334848E-2</v>
      </c>
      <c r="Y810">
        <v>3.9724623484806197E-3</v>
      </c>
    </row>
    <row r="811" spans="1:25" x14ac:dyDescent="0.25">
      <c r="A811" s="1096"/>
      <c r="B811" s="1455">
        <v>561</v>
      </c>
      <c r="C811" s="1100">
        <v>0.96930927258186805</v>
      </c>
      <c r="D811" s="1100">
        <v>1.0024184409893588</v>
      </c>
      <c r="E811" s="1100">
        <v>0.97758654895648434</v>
      </c>
      <c r="F811" s="1100">
        <v>0.97519618534167785</v>
      </c>
      <c r="G811" s="1100">
        <v>1.015430082061745</v>
      </c>
      <c r="H811" s="1100">
        <v>0.99641233613562041</v>
      </c>
      <c r="I811" s="1100">
        <v>1.0217895396587418</v>
      </c>
      <c r="K811">
        <v>2.2059722789806249</v>
      </c>
      <c r="L811">
        <v>0</v>
      </c>
      <c r="M811">
        <v>1.6645634858709448E-3</v>
      </c>
      <c r="N811">
        <v>0.14143312649193476</v>
      </c>
      <c r="O811">
        <v>2.0352375952667874E-2</v>
      </c>
      <c r="P811">
        <v>2.5488188160777699E-2</v>
      </c>
      <c r="Q811">
        <v>5.5486091535142624E-3</v>
      </c>
      <c r="R811">
        <v>1.6410836398324132E-3</v>
      </c>
      <c r="S811">
        <v>0.25380143606205668</v>
      </c>
      <c r="T811">
        <v>1.3105012639419027</v>
      </c>
      <c r="U811">
        <v>0.14723991496017422</v>
      </c>
      <c r="V811">
        <v>0.18832897470799984</v>
      </c>
      <c r="W811">
        <v>9.4169121672113179E-2</v>
      </c>
      <c r="X811">
        <v>1.4666259038972052E-2</v>
      </c>
      <c r="Y811">
        <v>4.4664886845473496E-3</v>
      </c>
    </row>
    <row r="812" spans="1:25" x14ac:dyDescent="0.25">
      <c r="A812" s="1096"/>
      <c r="B812" s="1455">
        <v>562</v>
      </c>
      <c r="C812" s="1100">
        <v>0.99281200750851539</v>
      </c>
      <c r="D812" s="1100">
        <v>0.98372895773279945</v>
      </c>
      <c r="E812" s="1100">
        <v>1.0114595272032498</v>
      </c>
      <c r="F812" s="1100">
        <v>0.99464746446201358</v>
      </c>
      <c r="G812" s="1100">
        <v>0.96974567936402978</v>
      </c>
      <c r="H812" s="1100">
        <v>1.0150906954908738</v>
      </c>
      <c r="I812" s="1100">
        <v>0.99426802355153554</v>
      </c>
      <c r="K812">
        <v>2.2203722299919719</v>
      </c>
      <c r="L812">
        <v>0</v>
      </c>
      <c r="M812">
        <v>1.5497839696672221E-3</v>
      </c>
      <c r="N812">
        <v>0.1459146212065158</v>
      </c>
      <c r="O812">
        <v>1.9974391576818233E-2</v>
      </c>
      <c r="P812">
        <v>2.624735039297919E-2</v>
      </c>
      <c r="Q812">
        <v>5.6347527482096373E-3</v>
      </c>
      <c r="R812">
        <v>1.5283254235250016E-3</v>
      </c>
      <c r="S812">
        <v>0.24516400251369139</v>
      </c>
      <c r="T812">
        <v>1.3366901406537013</v>
      </c>
      <c r="U812">
        <v>0.14383280139859975</v>
      </c>
      <c r="V812">
        <v>0.18174636858995669</v>
      </c>
      <c r="W812">
        <v>9.5208260474348785E-2</v>
      </c>
      <c r="X812">
        <v>1.5821400992799627E-2</v>
      </c>
      <c r="Y812">
        <v>4.159597990494591E-3</v>
      </c>
    </row>
    <row r="813" spans="1:25" x14ac:dyDescent="0.25">
      <c r="A813" s="1096"/>
      <c r="B813" s="1455">
        <v>563</v>
      </c>
      <c r="C813" s="1100">
        <v>1.0052572378843232</v>
      </c>
      <c r="D813" s="1100">
        <v>0.98106524638896231</v>
      </c>
      <c r="E813" s="1100">
        <v>1.0023842020436213</v>
      </c>
      <c r="F813" s="1100">
        <v>0.96993670114315189</v>
      </c>
      <c r="G813" s="1100">
        <v>0.99643663004653193</v>
      </c>
      <c r="H813" s="1100">
        <v>1.0403567420129105</v>
      </c>
      <c r="I813" s="1100">
        <v>1.0131818195839761</v>
      </c>
      <c r="K813">
        <v>2.1917887718450002</v>
      </c>
      <c r="L813">
        <v>0</v>
      </c>
      <c r="M813">
        <v>1.5994910493389101E-3</v>
      </c>
      <c r="N813">
        <v>0.14657363817998531</v>
      </c>
      <c r="O813">
        <v>1.9733207473762858E-2</v>
      </c>
      <c r="P813">
        <v>2.5676849259619279E-2</v>
      </c>
      <c r="Q813">
        <v>5.5163566637237696E-3</v>
      </c>
      <c r="R813">
        <v>1.5778821072761665E-3</v>
      </c>
      <c r="S813">
        <v>0.24904771506768056</v>
      </c>
      <c r="T813">
        <v>1.3034664248475285</v>
      </c>
      <c r="U813">
        <v>0.14203132314304584</v>
      </c>
      <c r="V813">
        <v>0.18401538445952897</v>
      </c>
      <c r="W813">
        <v>9.6152695939655794E-2</v>
      </c>
      <c r="X813">
        <v>1.5302310805223027E-2</v>
      </c>
      <c r="Y813">
        <v>4.2944749473088559E-3</v>
      </c>
    </row>
    <row r="814" spans="1:25" x14ac:dyDescent="0.25">
      <c r="A814" s="1096"/>
      <c r="B814" s="1455">
        <v>564</v>
      </c>
      <c r="C814" s="1100">
        <v>1.0248557091391965</v>
      </c>
      <c r="D814" s="1100">
        <v>0.9925845887499869</v>
      </c>
      <c r="E814" s="1100">
        <v>1.0069926930623641</v>
      </c>
      <c r="F814" s="1100">
        <v>0.99820891838516745</v>
      </c>
      <c r="G814" s="1100">
        <v>1.0114582017725999</v>
      </c>
      <c r="H814" s="1100">
        <v>1.0084411455682429</v>
      </c>
      <c r="I814" s="1100">
        <v>1.0209175444769951</v>
      </c>
      <c r="K814">
        <v>2.2087742660343359</v>
      </c>
      <c r="L814">
        <v>0</v>
      </c>
      <c r="M814">
        <v>1.5024313381315525E-3</v>
      </c>
      <c r="N814">
        <v>0.13954848311542459</v>
      </c>
      <c r="O814">
        <v>1.9309017641113396E-2</v>
      </c>
      <c r="P814">
        <v>2.616295561876043E-2</v>
      </c>
      <c r="Q814">
        <v>5.4227731100217648E-3</v>
      </c>
      <c r="R814">
        <v>1.4814912717802981E-3</v>
      </c>
      <c r="S814">
        <v>0.24221038939938147</v>
      </c>
      <c r="T814">
        <v>1.3414683304977237</v>
      </c>
      <c r="U814">
        <v>0.13932559703084205</v>
      </c>
      <c r="V814">
        <v>0.18458874961865837</v>
      </c>
      <c r="W814">
        <v>9.1294699238878091E-2</v>
      </c>
      <c r="X814">
        <v>1.543207996156044E-2</v>
      </c>
      <c r="Y814">
        <v>4.0321308683194824E-3</v>
      </c>
    </row>
    <row r="815" spans="1:25" x14ac:dyDescent="0.25">
      <c r="A815" s="1096"/>
      <c r="B815" s="1455">
        <v>565</v>
      </c>
      <c r="C815" s="1100">
        <v>0.97063246165517014</v>
      </c>
      <c r="D815" s="1100">
        <v>1.0247489948869828</v>
      </c>
      <c r="E815" s="1100">
        <v>1.0400109104988615</v>
      </c>
      <c r="F815" s="1100">
        <v>1.0133881079357092</v>
      </c>
      <c r="G815" s="1100">
        <v>1.0352495779544215</v>
      </c>
      <c r="H815" s="1100">
        <v>0.99143169456253988</v>
      </c>
      <c r="I815" s="1100">
        <v>1.0209590155102009</v>
      </c>
      <c r="K815">
        <v>2.2682866330744189</v>
      </c>
      <c r="L815">
        <v>0</v>
      </c>
      <c r="M815">
        <v>1.4458272448377375E-3</v>
      </c>
      <c r="N815">
        <v>0.14831669482824039</v>
      </c>
      <c r="O815">
        <v>2.0266365425581988E-2</v>
      </c>
      <c r="P815">
        <v>2.7400545244185576E-2</v>
      </c>
      <c r="Q815">
        <v>5.8811957804159798E-3</v>
      </c>
      <c r="R815">
        <v>1.4253303731404181E-3</v>
      </c>
      <c r="S815">
        <v>0.25056730756443468</v>
      </c>
      <c r="T815">
        <v>1.3619374280102212</v>
      </c>
      <c r="U815">
        <v>0.14718745543913025</v>
      </c>
      <c r="V815">
        <v>0.19054305332308344</v>
      </c>
      <c r="W815">
        <v>9.5179583460702114E-2</v>
      </c>
      <c r="X815">
        <v>1.7148221454465571E-2</v>
      </c>
      <c r="Y815">
        <v>3.87927941565699E-3</v>
      </c>
    </row>
    <row r="816" spans="1:25" x14ac:dyDescent="0.25">
      <c r="A816" s="1096"/>
      <c r="B816" s="1455">
        <v>566</v>
      </c>
      <c r="C816" s="1100">
        <v>0.99420413510954508</v>
      </c>
      <c r="D816" s="1100">
        <v>0.97339683825896961</v>
      </c>
      <c r="E816" s="1100">
        <v>1.0215064935343463</v>
      </c>
      <c r="F816" s="1100">
        <v>1.0018694755594786</v>
      </c>
      <c r="G816" s="1100">
        <v>1.0262533247106995</v>
      </c>
      <c r="H816" s="1100">
        <v>1.0091517776465988</v>
      </c>
      <c r="I816" s="1100">
        <v>1.0121186084171248</v>
      </c>
      <c r="K816">
        <v>2.2426297581310064</v>
      </c>
      <c r="L816">
        <v>0</v>
      </c>
      <c r="M816">
        <v>1.5102514709629665E-3</v>
      </c>
      <c r="N816">
        <v>0.14655737722581544</v>
      </c>
      <c r="O816">
        <v>1.9999175895987497E-2</v>
      </c>
      <c r="P816">
        <v>2.6730474523317973E-2</v>
      </c>
      <c r="Q816">
        <v>5.6984876682011068E-3</v>
      </c>
      <c r="R816">
        <v>1.4892172343614525E-3</v>
      </c>
      <c r="S816">
        <v>0.25012754495905426</v>
      </c>
      <c r="T816">
        <v>1.3464152844759021</v>
      </c>
      <c r="U816">
        <v>0.14365472543216878</v>
      </c>
      <c r="V816">
        <v>0.18805901596973074</v>
      </c>
      <c r="W816">
        <v>9.5065653048942739E-2</v>
      </c>
      <c r="X816">
        <v>1.6289894776881721E-2</v>
      </c>
      <c r="Y816">
        <v>4.053158391602505E-3</v>
      </c>
    </row>
    <row r="817" spans="1:25" x14ac:dyDescent="0.25">
      <c r="A817" s="1096"/>
      <c r="B817" s="1455">
        <v>567</v>
      </c>
      <c r="C817" s="1100">
        <v>1.0077406473335029</v>
      </c>
      <c r="D817" s="1100">
        <v>0.98097554187116398</v>
      </c>
      <c r="E817" s="1100">
        <v>0.96595872369027969</v>
      </c>
      <c r="F817" s="1100">
        <v>0.99122730570731654</v>
      </c>
      <c r="G817" s="1100">
        <v>0.99632393828082588</v>
      </c>
      <c r="H817" s="1100">
        <v>1.023209915580348</v>
      </c>
      <c r="I817" s="1100">
        <v>1.0158524167355552</v>
      </c>
      <c r="K817">
        <v>2.2057469271513126</v>
      </c>
      <c r="L817">
        <v>0</v>
      </c>
      <c r="M817">
        <v>1.6921306735737912E-3</v>
      </c>
      <c r="N817">
        <v>0.13885414381867692</v>
      </c>
      <c r="O817">
        <v>1.9662357297759246E-2</v>
      </c>
      <c r="P817">
        <v>2.5329058661123449E-2</v>
      </c>
      <c r="Q817">
        <v>5.2972235748939868E-3</v>
      </c>
      <c r="R817">
        <v>1.6688870873906379E-3</v>
      </c>
      <c r="S817">
        <v>0.24742444574723571</v>
      </c>
      <c r="T817">
        <v>1.3320332135101087</v>
      </c>
      <c r="U817">
        <v>0.14159830416593575</v>
      </c>
      <c r="V817">
        <v>0.18382639116950433</v>
      </c>
      <c r="W817">
        <v>9.3107668224142487E-2</v>
      </c>
      <c r="X817">
        <v>1.4095204064719657E-2</v>
      </c>
      <c r="Y817">
        <v>4.5421605033968146E-3</v>
      </c>
    </row>
    <row r="818" spans="1:25" x14ac:dyDescent="0.25">
      <c r="A818" s="1096"/>
      <c r="B818" s="1455">
        <v>568</v>
      </c>
      <c r="C818" s="1100">
        <v>0.99551071234147503</v>
      </c>
      <c r="D818" s="1100">
        <v>0.98938888114876755</v>
      </c>
      <c r="E818" s="1100">
        <v>0.98046763396605097</v>
      </c>
      <c r="F818" s="1100">
        <v>1.0424103495080124</v>
      </c>
      <c r="G818" s="1100">
        <v>0.99271354341293983</v>
      </c>
      <c r="H818" s="1100">
        <v>1.023994099468821</v>
      </c>
      <c r="I818" s="1100">
        <v>1.0436408418661827</v>
      </c>
      <c r="K818">
        <v>2.2932396752481732</v>
      </c>
      <c r="L818">
        <v>0</v>
      </c>
      <c r="M818">
        <v>1.6604978002668529E-3</v>
      </c>
      <c r="N818">
        <v>0.14237787764900503</v>
      </c>
      <c r="O818">
        <v>1.9875636914389729E-2</v>
      </c>
      <c r="P818">
        <v>2.6685264280889139E-2</v>
      </c>
      <c r="Q818">
        <v>5.4345366017046507E-3</v>
      </c>
      <c r="R818">
        <v>1.6377061995800307E-3</v>
      </c>
      <c r="S818">
        <v>0.25640558911426842</v>
      </c>
      <c r="T818">
        <v>1.4008293092395601</v>
      </c>
      <c r="U818">
        <v>0.14337126047979928</v>
      </c>
      <c r="V818">
        <v>0.18415324574293626</v>
      </c>
      <c r="W818">
        <v>9.4633255804702138E-2</v>
      </c>
      <c r="X818">
        <v>1.5039194616050791E-2</v>
      </c>
      <c r="Y818">
        <v>4.4572964055532458E-3</v>
      </c>
    </row>
    <row r="819" spans="1:25" x14ac:dyDescent="0.25">
      <c r="A819" s="1096"/>
      <c r="B819" s="1455">
        <v>569</v>
      </c>
      <c r="C819" s="1100">
        <v>1.0176533480186234</v>
      </c>
      <c r="D819" s="1100">
        <v>0.99303080421674328</v>
      </c>
      <c r="E819" s="1100">
        <v>1.0294674166359621</v>
      </c>
      <c r="F819" s="1100">
        <v>1.0203248027755518</v>
      </c>
      <c r="G819" s="1100">
        <v>0.98598868620071012</v>
      </c>
      <c r="H819" s="1100">
        <v>1.0100055290993404</v>
      </c>
      <c r="I819" s="1100">
        <v>1.012459546259143</v>
      </c>
      <c r="K819">
        <v>2.2447534294500868</v>
      </c>
      <c r="L819">
        <v>0</v>
      </c>
      <c r="M819">
        <v>1.4460544128317072E-3</v>
      </c>
      <c r="N819">
        <v>0.14373886947394401</v>
      </c>
      <c r="O819">
        <v>1.9457608511886954E-2</v>
      </c>
      <c r="P819">
        <v>2.6992310890711815E-2</v>
      </c>
      <c r="Q819">
        <v>5.5880947220874012E-3</v>
      </c>
      <c r="R819">
        <v>1.4259313139736516E-3</v>
      </c>
      <c r="S819">
        <v>0.24214691292975674</v>
      </c>
      <c r="T819">
        <v>1.371234833086262</v>
      </c>
      <c r="U819">
        <v>0.14036265071261517</v>
      </c>
      <c r="V819">
        <v>0.18213970166319476</v>
      </c>
      <c r="W819">
        <v>9.280601428820856E-2</v>
      </c>
      <c r="X819">
        <v>1.6425641291772961E-2</v>
      </c>
      <c r="Y819">
        <v>3.8809149785049603E-3</v>
      </c>
    </row>
    <row r="820" spans="1:25" x14ac:dyDescent="0.25">
      <c r="A820" s="1096"/>
      <c r="B820" s="1455">
        <v>570</v>
      </c>
      <c r="C820" s="1100">
        <v>1.0029611344802951</v>
      </c>
      <c r="D820" s="1100">
        <v>1.0254861665671222</v>
      </c>
      <c r="E820" s="1100">
        <v>0.98284454844993863</v>
      </c>
      <c r="F820" s="1100">
        <v>1.0181709715381813</v>
      </c>
      <c r="G820" s="1100">
        <v>0.99070805067312218</v>
      </c>
      <c r="H820" s="1100">
        <v>0.99834199873046114</v>
      </c>
      <c r="I820" s="1100">
        <v>0.96681362945530191</v>
      </c>
      <c r="K820">
        <v>2.2214051766072114</v>
      </c>
      <c r="L820">
        <v>0</v>
      </c>
      <c r="M820">
        <v>1.586438039722825E-3</v>
      </c>
      <c r="N820">
        <v>0.13696037913479128</v>
      </c>
      <c r="O820">
        <v>1.9574543629252164E-2</v>
      </c>
      <c r="P820">
        <v>2.591115625679604E-2</v>
      </c>
      <c r="Q820">
        <v>5.3651436070587481E-3</v>
      </c>
      <c r="R820">
        <v>1.5641034617725719E-3</v>
      </c>
      <c r="S820">
        <v>0.22966394366187748</v>
      </c>
      <c r="T820">
        <v>1.3682584250574343</v>
      </c>
      <c r="U820">
        <v>0.1423116779434776</v>
      </c>
      <c r="V820">
        <v>0.1834860251400395</v>
      </c>
      <c r="W820">
        <v>9.0902058668854008E-2</v>
      </c>
      <c r="X820">
        <v>1.4737184069204445E-2</v>
      </c>
      <c r="Y820">
        <v>4.2569740163773398E-3</v>
      </c>
    </row>
    <row r="821" spans="1:25" x14ac:dyDescent="0.25">
      <c r="A821" s="1096"/>
      <c r="B821" s="1455">
        <v>571</v>
      </c>
      <c r="C821" s="1100">
        <v>0.97966913866798877</v>
      </c>
      <c r="D821" s="1100">
        <v>0.99610000624747508</v>
      </c>
      <c r="E821" s="1100">
        <v>1.0155665245068453</v>
      </c>
      <c r="F821" s="1100">
        <v>1.0351638034062467</v>
      </c>
      <c r="G821" s="1100">
        <v>0.98925658222959245</v>
      </c>
      <c r="H821" s="1100">
        <v>0.9935154810555501</v>
      </c>
      <c r="I821" s="1100">
        <v>0.97192721079151689</v>
      </c>
      <c r="K821">
        <v>2.2737898871882898</v>
      </c>
      <c r="L821">
        <v>0</v>
      </c>
      <c r="M821">
        <v>1.5199418819430669E-3</v>
      </c>
      <c r="N821">
        <v>0.14484570679484762</v>
      </c>
      <c r="O821">
        <v>2.0189409090038916E-2</v>
      </c>
      <c r="P821">
        <v>2.707100605482711E-2</v>
      </c>
      <c r="Q821">
        <v>5.7187941316911026E-3</v>
      </c>
      <c r="R821">
        <v>1.4984395124559508E-3</v>
      </c>
      <c r="S821">
        <v>0.2396755198369652</v>
      </c>
      <c r="T821">
        <v>1.3911473821257945</v>
      </c>
      <c r="U821">
        <v>0.14577207951947027</v>
      </c>
      <c r="V821">
        <v>0.18475732127004099</v>
      </c>
      <c r="W821">
        <v>9.4282822985177414E-2</v>
      </c>
      <c r="X821">
        <v>1.6273089356468484E-2</v>
      </c>
      <c r="Y821">
        <v>4.0782583924525717E-3</v>
      </c>
    </row>
    <row r="822" spans="1:25" x14ac:dyDescent="0.25">
      <c r="A822" s="1096"/>
      <c r="B822" s="1455">
        <v>572</v>
      </c>
      <c r="C822" s="1100">
        <v>0.99537419785889869</v>
      </c>
      <c r="D822" s="1100">
        <v>0.98396632413601637</v>
      </c>
      <c r="E822" s="1100">
        <v>1.0292943395316896</v>
      </c>
      <c r="F822" s="1100">
        <v>1.0335084119642879</v>
      </c>
      <c r="G822" s="1100">
        <v>1.0167303187088819</v>
      </c>
      <c r="H822" s="1100">
        <v>1.0332594624480638</v>
      </c>
      <c r="I822" s="1100">
        <v>1.0097708885640122</v>
      </c>
      <c r="K822">
        <v>2.2912269793344433</v>
      </c>
      <c r="L822">
        <v>0</v>
      </c>
      <c r="M822">
        <v>1.5160604724673956E-3</v>
      </c>
      <c r="N822">
        <v>0.15066675000900195</v>
      </c>
      <c r="O822">
        <v>1.9933185549660861E-2</v>
      </c>
      <c r="P822">
        <v>2.7455021406408039E-2</v>
      </c>
      <c r="Q822">
        <v>5.7236974010035262E-3</v>
      </c>
      <c r="R822">
        <v>1.4954379820511241E-3</v>
      </c>
      <c r="S822">
        <v>0.24993991783962202</v>
      </c>
      <c r="T822">
        <v>1.3889521506068085</v>
      </c>
      <c r="U822">
        <v>0.14350394203211272</v>
      </c>
      <c r="V822">
        <v>0.1869196423718395</v>
      </c>
      <c r="W822">
        <v>9.7288827769528935E-2</v>
      </c>
      <c r="X822">
        <v>1.679437762273053E-2</v>
      </c>
      <c r="Y822">
        <v>4.0700892161448657E-3</v>
      </c>
    </row>
    <row r="823" spans="1:25" x14ac:dyDescent="0.25">
      <c r="A823" s="1096"/>
      <c r="B823" s="1455">
        <v>573</v>
      </c>
      <c r="C823" s="1100">
        <v>0.99794789485311519</v>
      </c>
      <c r="D823" s="1100">
        <v>1.019186624222659</v>
      </c>
      <c r="E823" s="1100">
        <v>1.0306678043078012</v>
      </c>
      <c r="F823" s="1100">
        <v>0.98453146085723475</v>
      </c>
      <c r="G823" s="1100">
        <v>0.99242383344177454</v>
      </c>
      <c r="H823" s="1100">
        <v>0.98560223580702766</v>
      </c>
      <c r="I823" s="1100">
        <v>0.97188739076992781</v>
      </c>
      <c r="K823">
        <v>2.1882991951787969</v>
      </c>
      <c r="L823">
        <v>0</v>
      </c>
      <c r="M823">
        <v>1.4271979514584577E-3</v>
      </c>
      <c r="N823">
        <v>0.14232906024856304</v>
      </c>
      <c r="O823">
        <v>1.9729404985295573E-2</v>
      </c>
      <c r="P823">
        <v>2.6269361924856453E-2</v>
      </c>
      <c r="Q823">
        <v>5.6728812744570789E-3</v>
      </c>
      <c r="R823">
        <v>1.4068455101716355E-3</v>
      </c>
      <c r="S823">
        <v>0.23210069433879738</v>
      </c>
      <c r="T823">
        <v>1.3231340915169403</v>
      </c>
      <c r="U823">
        <v>0.14313702986850169</v>
      </c>
      <c r="V823">
        <v>0.18401981543858795</v>
      </c>
      <c r="W823">
        <v>9.1831754137560145E-2</v>
      </c>
      <c r="X823">
        <v>1.6266484174331491E-2</v>
      </c>
      <c r="Y823">
        <v>3.8289697121894027E-3</v>
      </c>
    </row>
    <row r="824" spans="1:25" x14ac:dyDescent="0.25">
      <c r="A824" s="1096"/>
      <c r="B824" s="1455">
        <v>574</v>
      </c>
      <c r="C824" s="1100">
        <v>1.0066183487213982</v>
      </c>
      <c r="D824" s="1100">
        <v>1.0337585459216947</v>
      </c>
      <c r="E824" s="1100">
        <v>0.98955192409931081</v>
      </c>
      <c r="F824" s="1100">
        <v>1.025018964802261</v>
      </c>
      <c r="G824" s="1100">
        <v>0.97647888867403654</v>
      </c>
      <c r="H824" s="1100">
        <v>0.95708499597111651</v>
      </c>
      <c r="I824" s="1100">
        <v>0.98264734219476868</v>
      </c>
      <c r="K824">
        <v>2.2175101470449894</v>
      </c>
      <c r="L824">
        <v>0</v>
      </c>
      <c r="M824">
        <v>1.4918204267871241E-3</v>
      </c>
      <c r="N824">
        <v>0.1313501683503894</v>
      </c>
      <c r="O824">
        <v>1.9473105698820731E-2</v>
      </c>
      <c r="P824">
        <v>2.6120219883877926E-2</v>
      </c>
      <c r="Q824">
        <v>5.3737256088986904E-3</v>
      </c>
      <c r="R824">
        <v>1.469912563687132E-3</v>
      </c>
      <c r="S824">
        <v>0.22850008425148766</v>
      </c>
      <c r="T824">
        <v>1.3774699033768614</v>
      </c>
      <c r="U824">
        <v>0.14180994281331813</v>
      </c>
      <c r="V824">
        <v>0.18166845254673333</v>
      </c>
      <c r="W824">
        <v>8.6827859024026816E-2</v>
      </c>
      <c r="X824">
        <v>1.4937975911865176E-2</v>
      </c>
      <c r="Y824">
        <v>4.0006174418099815E-3</v>
      </c>
    </row>
    <row r="825" spans="1:25" x14ac:dyDescent="0.25">
      <c r="A825" s="1096"/>
      <c r="B825" s="1455">
        <v>575</v>
      </c>
      <c r="C825" s="1100">
        <v>0.99502688440603793</v>
      </c>
      <c r="D825" s="1100">
        <v>1.0337135783172251</v>
      </c>
      <c r="E825" s="1100">
        <v>0.96060140688339268</v>
      </c>
      <c r="F825" s="1100">
        <v>0.98181794011991652</v>
      </c>
      <c r="G825" s="1100">
        <v>1.034087434624581</v>
      </c>
      <c r="H825" s="1100">
        <v>0.99372751935514481</v>
      </c>
      <c r="I825" s="1100">
        <v>0.97715185771118462</v>
      </c>
      <c r="K825">
        <v>2.1768916377029619</v>
      </c>
      <c r="L825">
        <v>0</v>
      </c>
      <c r="M825">
        <v>1.6635858748401922E-3</v>
      </c>
      <c r="N825">
        <v>0.13425867240575046</v>
      </c>
      <c r="O825">
        <v>1.968217427858376E-2</v>
      </c>
      <c r="P825">
        <v>2.4950040699791887E-2</v>
      </c>
      <c r="Q825">
        <v>5.2734985830785218E-3</v>
      </c>
      <c r="R825">
        <v>1.6400564189622247E-3</v>
      </c>
      <c r="S825">
        <v>0.23252358155405295</v>
      </c>
      <c r="T825">
        <v>1.3193845796277111</v>
      </c>
      <c r="U825">
        <v>0.1433952278469208</v>
      </c>
      <c r="V825">
        <v>0.18884284672871671</v>
      </c>
      <c r="W825">
        <v>9.0321806728718049E-2</v>
      </c>
      <c r="X825">
        <v>1.3819045777551697E-2</v>
      </c>
      <c r="Y825">
        <v>4.4636929279619651E-3</v>
      </c>
    </row>
    <row r="826" spans="1:25" x14ac:dyDescent="0.25">
      <c r="A826" s="1096"/>
      <c r="B826" s="1455">
        <v>576</v>
      </c>
      <c r="C826" s="1100">
        <v>1.0187436998647059</v>
      </c>
      <c r="D826" s="1100">
        <v>0.98287021942617725</v>
      </c>
      <c r="E826" s="1100">
        <v>1.0195374761140643</v>
      </c>
      <c r="F826" s="1100">
        <v>1.0189875294107076</v>
      </c>
      <c r="G826" s="1100">
        <v>1.0007243184393733</v>
      </c>
      <c r="H826" s="1100">
        <v>1.0232302561107021</v>
      </c>
      <c r="I826" s="1100">
        <v>0.95941189634522828</v>
      </c>
      <c r="K826">
        <v>2.2346545136410705</v>
      </c>
      <c r="L826">
        <v>0</v>
      </c>
      <c r="M826">
        <v>1.4973757338895717E-3</v>
      </c>
      <c r="N826">
        <v>0.14447541288855462</v>
      </c>
      <c r="O826">
        <v>1.9474676144349164E-2</v>
      </c>
      <c r="P826">
        <v>2.6642135546548859E-2</v>
      </c>
      <c r="Q826">
        <v>5.5381903093875053E-3</v>
      </c>
      <c r="R826">
        <v>1.476807765590536E-3</v>
      </c>
      <c r="S826">
        <v>0.2313241240697419</v>
      </c>
      <c r="T826">
        <v>1.3694162054622971</v>
      </c>
      <c r="U826">
        <v>0.14018989719644828</v>
      </c>
      <c r="V826">
        <v>0.18373386546930132</v>
      </c>
      <c r="W826">
        <v>9.3823145530920818E-2</v>
      </c>
      <c r="X826">
        <v>1.6038045083431492E-2</v>
      </c>
      <c r="Y826">
        <v>4.0193839083883494E-3</v>
      </c>
    </row>
    <row r="827" spans="1:25" x14ac:dyDescent="0.25">
      <c r="A827" s="1096"/>
      <c r="B827" s="1455">
        <v>577</v>
      </c>
      <c r="C827" s="1100">
        <v>1.0353324532646218</v>
      </c>
      <c r="D827" s="1100">
        <v>1.0122736021274663</v>
      </c>
      <c r="E827" s="1100">
        <v>0.99175791752368114</v>
      </c>
      <c r="F827" s="1100">
        <v>0.97956995510060174</v>
      </c>
      <c r="G827" s="1100">
        <v>1.0119636829567733</v>
      </c>
      <c r="H827" s="1100">
        <v>1.0154059681896375</v>
      </c>
      <c r="I827" s="1100">
        <v>1.0356850480233568</v>
      </c>
      <c r="K827">
        <v>2.174837558754438</v>
      </c>
      <c r="L827">
        <v>0</v>
      </c>
      <c r="M827">
        <v>1.5389093599429647E-3</v>
      </c>
      <c r="N827">
        <v>0.13651966228621507</v>
      </c>
      <c r="O827">
        <v>1.902204318442282E-2</v>
      </c>
      <c r="P827">
        <v>2.5488103906324822E-2</v>
      </c>
      <c r="Q827">
        <v>5.2609653554655253E-3</v>
      </c>
      <c r="R827">
        <v>1.5176080012104208E-3</v>
      </c>
      <c r="S827">
        <v>0.24130245197038266</v>
      </c>
      <c r="T827">
        <v>1.3163963332161353</v>
      </c>
      <c r="U827">
        <v>0.13788185754911314</v>
      </c>
      <c r="V827">
        <v>0.18404723567301551</v>
      </c>
      <c r="W827">
        <v>9.0125986290471638E-2</v>
      </c>
      <c r="X827">
        <v>1.4683791981671485E-2</v>
      </c>
      <c r="Y827">
        <v>4.1304286999516203E-3</v>
      </c>
    </row>
    <row r="828" spans="1:25" x14ac:dyDescent="0.25">
      <c r="A828" s="1096"/>
      <c r="B828" s="1455">
        <v>578</v>
      </c>
      <c r="C828" s="1100">
        <v>1.0155186364471356</v>
      </c>
      <c r="D828" s="1100">
        <v>0.98771175780206055</v>
      </c>
      <c r="E828" s="1100">
        <v>1.0051883715450709</v>
      </c>
      <c r="F828" s="1100">
        <v>0.98578088438055578</v>
      </c>
      <c r="G828" s="1100">
        <v>1.0126971883307727</v>
      </c>
      <c r="H828" s="1100">
        <v>0.99528042256668625</v>
      </c>
      <c r="I828" s="1100">
        <v>1.0101283248294264</v>
      </c>
      <c r="K828">
        <v>2.192093206852471</v>
      </c>
      <c r="L828">
        <v>0</v>
      </c>
      <c r="M828">
        <v>1.5037011888251784E-3</v>
      </c>
      <c r="N828">
        <v>0.13888152126597297</v>
      </c>
      <c r="O828">
        <v>1.950654763281957E-2</v>
      </c>
      <c r="P828">
        <v>2.5914538065679327E-2</v>
      </c>
      <c r="Q828">
        <v>5.4683543630608591E-3</v>
      </c>
      <c r="R828">
        <v>1.4824662967280993E-3</v>
      </c>
      <c r="S828">
        <v>0.24138308520350363</v>
      </c>
      <c r="T828">
        <v>1.3247635358919487</v>
      </c>
      <c r="U828">
        <v>0.14060251616139358</v>
      </c>
      <c r="V828">
        <v>0.18525950417981238</v>
      </c>
      <c r="W828">
        <v>9.0955383111753149E-2</v>
      </c>
      <c r="X828">
        <v>1.5344671303813423E-2</v>
      </c>
      <c r="Y828">
        <v>4.0347845648105096E-3</v>
      </c>
    </row>
    <row r="829" spans="1:25" x14ac:dyDescent="0.25">
      <c r="A829" s="1096"/>
      <c r="B829" s="1455">
        <v>579</v>
      </c>
      <c r="C829" s="1100">
        <v>0.98506527383503084</v>
      </c>
      <c r="D829" s="1100">
        <v>1.0198688705356453</v>
      </c>
      <c r="E829" s="1100">
        <v>1.0156013528861669</v>
      </c>
      <c r="F829" s="1100">
        <v>0.99920622894582234</v>
      </c>
      <c r="G829" s="1100">
        <v>1.0054705708933156</v>
      </c>
      <c r="H829" s="1100">
        <v>0.9893677900604595</v>
      </c>
      <c r="I829" s="1100">
        <v>0.97881629417442972</v>
      </c>
      <c r="K829">
        <v>2.218527665861834</v>
      </c>
      <c r="L829">
        <v>0</v>
      </c>
      <c r="M829">
        <v>1.4974073879448163E-3</v>
      </c>
      <c r="N829">
        <v>0.14270465352363301</v>
      </c>
      <c r="O829">
        <v>1.997493610257477E-2</v>
      </c>
      <c r="P829">
        <v>2.6376406859421414E-2</v>
      </c>
      <c r="Q829">
        <v>5.6582395151584079E-3</v>
      </c>
      <c r="R829">
        <v>1.476135003112111E-3</v>
      </c>
      <c r="S829">
        <v>0.23691923059648048</v>
      </c>
      <c r="T829">
        <v>1.3428243863392202</v>
      </c>
      <c r="U829">
        <v>0.1449736294190789</v>
      </c>
      <c r="V829">
        <v>0.18625825115904993</v>
      </c>
      <c r="W829">
        <v>9.2887271406868879E-2</v>
      </c>
      <c r="X829">
        <v>1.5954380454482168E-2</v>
      </c>
      <c r="Y829">
        <v>4.0175528706981687E-3</v>
      </c>
    </row>
    <row r="830" spans="1:25" x14ac:dyDescent="0.25">
      <c r="A830" s="1096"/>
      <c r="B830" s="1455">
        <v>580</v>
      </c>
      <c r="C830" s="1100">
        <v>0.97557808403038648</v>
      </c>
      <c r="D830" s="1100">
        <v>1.0253229857434276</v>
      </c>
      <c r="E830" s="1100">
        <v>0.99317906712870341</v>
      </c>
      <c r="F830" s="1100">
        <v>1.0097728349065751</v>
      </c>
      <c r="G830" s="1100">
        <v>1.0150278121290484</v>
      </c>
      <c r="H830" s="1100">
        <v>1.0358195737755698</v>
      </c>
      <c r="I830" s="1100">
        <v>1.0421152703489931</v>
      </c>
      <c r="K830">
        <v>2.2660110261339428</v>
      </c>
      <c r="L830">
        <v>0</v>
      </c>
      <c r="M830">
        <v>1.6564284077339407E-3</v>
      </c>
      <c r="N830">
        <v>0.14761846006731366</v>
      </c>
      <c r="O830">
        <v>2.0131245440791284E-2</v>
      </c>
      <c r="P830">
        <v>2.6457253599656623E-2</v>
      </c>
      <c r="Q830">
        <v>5.5757322506780008E-3</v>
      </c>
      <c r="R830">
        <v>1.6339522260838556E-3</v>
      </c>
      <c r="S830">
        <v>0.25779301374575825</v>
      </c>
      <c r="T830">
        <v>1.3569865610816882</v>
      </c>
      <c r="U830">
        <v>0.14633050107646597</v>
      </c>
      <c r="V830">
        <v>0.18790399821861606</v>
      </c>
      <c r="W830">
        <v>9.737029325178799E-2</v>
      </c>
      <c r="X830">
        <v>1.5419364255640227E-2</v>
      </c>
      <c r="Y830">
        <v>4.4470793271936876E-3</v>
      </c>
    </row>
    <row r="831" spans="1:25" x14ac:dyDescent="0.25">
      <c r="A831" s="1096"/>
      <c r="B831" s="1455">
        <v>581</v>
      </c>
      <c r="C831" s="1100">
        <v>0.99472555892600922</v>
      </c>
      <c r="D831" s="1100">
        <v>1.0120592476808719</v>
      </c>
      <c r="E831" s="1100">
        <v>0.9809527730780091</v>
      </c>
      <c r="F831" s="1100">
        <v>1.0053255237566903</v>
      </c>
      <c r="G831" s="1100">
        <v>0.99565388562785762</v>
      </c>
      <c r="H831" s="1100">
        <v>1.0147748001157082</v>
      </c>
      <c r="I831" s="1100">
        <v>1.0193498652508453</v>
      </c>
      <c r="K831">
        <v>2.2302786473099987</v>
      </c>
      <c r="L831">
        <v>0</v>
      </c>
      <c r="M831">
        <v>1.6370159334284217E-3</v>
      </c>
      <c r="N831">
        <v>0.14055284995753689</v>
      </c>
      <c r="O831">
        <v>1.9792734594831513E-2</v>
      </c>
      <c r="P831">
        <v>2.5906058287484112E-2</v>
      </c>
      <c r="Q831">
        <v>5.4145370311218044E-3</v>
      </c>
      <c r="R831">
        <v>1.614342504207066E-3</v>
      </c>
      <c r="S831">
        <v>0.24708165194634971</v>
      </c>
      <c r="T831">
        <v>1.3509939291540991</v>
      </c>
      <c r="U831">
        <v>0.14348554518703233</v>
      </c>
      <c r="V831">
        <v>0.18453306283952231</v>
      </c>
      <c r="W831">
        <v>9.3392881121913879E-2</v>
      </c>
      <c r="X831">
        <v>1.4754362490739793E-2</v>
      </c>
      <c r="Y831">
        <v>4.3937081285881467E-3</v>
      </c>
    </row>
    <row r="832" spans="1:25" x14ac:dyDescent="0.25">
      <c r="A832" s="1096"/>
      <c r="B832" s="1455">
        <v>582</v>
      </c>
      <c r="C832" s="1100">
        <v>0.99697410102287154</v>
      </c>
      <c r="D832" s="1100">
        <v>1.0119558670482365</v>
      </c>
      <c r="E832" s="1100">
        <v>1.0037055472613896</v>
      </c>
      <c r="F832" s="1100">
        <v>1.0002101061776318</v>
      </c>
      <c r="G832" s="1100">
        <v>0.98962128634857871</v>
      </c>
      <c r="H832" s="1100">
        <v>1.0130768288998213</v>
      </c>
      <c r="I832" s="1100">
        <v>0.96744000081695392</v>
      </c>
      <c r="K832">
        <v>2.2129323714320686</v>
      </c>
      <c r="L832">
        <v>0</v>
      </c>
      <c r="M832">
        <v>1.5555440877449388E-3</v>
      </c>
      <c r="N832">
        <v>0.14306372809365545</v>
      </c>
      <c r="O832">
        <v>1.9762740115020962E-2</v>
      </c>
      <c r="P832">
        <v>2.6065389314630861E-2</v>
      </c>
      <c r="Q832">
        <v>5.531942658225741E-3</v>
      </c>
      <c r="R832">
        <v>1.5339629707491391E-3</v>
      </c>
      <c r="S832">
        <v>0.23401866968034263</v>
      </c>
      <c r="T832">
        <v>1.3441520618586016</v>
      </c>
      <c r="U832">
        <v>0.14321441153821518</v>
      </c>
      <c r="V832">
        <v>0.18373650676493833</v>
      </c>
      <c r="W832">
        <v>9.3776687444321466E-2</v>
      </c>
      <c r="X832">
        <v>1.5456873545490787E-2</v>
      </c>
      <c r="Y832">
        <v>4.1749415356217515E-3</v>
      </c>
    </row>
    <row r="833" spans="1:25" x14ac:dyDescent="0.25">
      <c r="A833" s="1096"/>
      <c r="B833" s="1455">
        <v>583</v>
      </c>
      <c r="C833" s="1100">
        <v>0.98769513289851629</v>
      </c>
      <c r="D833" s="1100">
        <v>1.0029026158024947</v>
      </c>
      <c r="E833" s="1100">
        <v>0.99309849248664628</v>
      </c>
      <c r="F833" s="1100">
        <v>0.99558909944081631</v>
      </c>
      <c r="G833" s="1100">
        <v>0.9827927377570399</v>
      </c>
      <c r="H833" s="1100">
        <v>0.99168846550478829</v>
      </c>
      <c r="I833" s="1100">
        <v>1.0224802016769734</v>
      </c>
      <c r="K833">
        <v>2.2184205746311916</v>
      </c>
      <c r="L833">
        <v>0</v>
      </c>
      <c r="M833">
        <v>1.574301370413274E-3</v>
      </c>
      <c r="N833">
        <v>0.14017939047726463</v>
      </c>
      <c r="O833">
        <v>1.9981177802412691E-2</v>
      </c>
      <c r="P833">
        <v>2.5992450876156481E-2</v>
      </c>
      <c r="Q833">
        <v>5.5337182452824367E-3</v>
      </c>
      <c r="R833">
        <v>1.5519889549259682E-3</v>
      </c>
      <c r="S833">
        <v>0.2489157886938046</v>
      </c>
      <c r="T833">
        <v>1.3379255855720489</v>
      </c>
      <c r="U833">
        <v>0.14453513013602148</v>
      </c>
      <c r="V833">
        <v>0.18351421394009976</v>
      </c>
      <c r="W833">
        <v>9.2467876814749564E-2</v>
      </c>
      <c r="X833">
        <v>1.5173552166551288E-2</v>
      </c>
      <c r="Y833">
        <v>4.2240023222869932E-3</v>
      </c>
    </row>
    <row r="834" spans="1:25" x14ac:dyDescent="0.25">
      <c r="A834" s="1096"/>
      <c r="B834" s="1455">
        <v>584</v>
      </c>
      <c r="C834" s="1100">
        <v>1.000468399319437</v>
      </c>
      <c r="D834" s="1100">
        <v>1.002282667790261</v>
      </c>
      <c r="E834" s="1100">
        <v>0.9817566993665936</v>
      </c>
      <c r="F834" s="1100">
        <v>0.97388310882661577</v>
      </c>
      <c r="G834" s="1100">
        <v>0.99687079865613815</v>
      </c>
      <c r="H834" s="1100">
        <v>1.0115966527621423</v>
      </c>
      <c r="I834" s="1100">
        <v>1.0411055043355804</v>
      </c>
      <c r="K834">
        <v>2.1895278873267259</v>
      </c>
      <c r="L834">
        <v>0</v>
      </c>
      <c r="M834">
        <v>1.6232890958653003E-3</v>
      </c>
      <c r="N834">
        <v>0.13970750383127131</v>
      </c>
      <c r="O834">
        <v>1.9721692162615451E-2</v>
      </c>
      <c r="P834">
        <v>2.5403776229906277E-2</v>
      </c>
      <c r="Q834">
        <v>5.3995093966181587E-3</v>
      </c>
      <c r="R834">
        <v>1.6007351535873462E-3</v>
      </c>
      <c r="S834">
        <v>0.25186009938099374</v>
      </c>
      <c r="T834">
        <v>1.3087413666256535</v>
      </c>
      <c r="U834">
        <v>0.14266376088177837</v>
      </c>
      <c r="V834">
        <v>0.18432907708363289</v>
      </c>
      <c r="W834">
        <v>9.2786171891311053E-2</v>
      </c>
      <c r="X834">
        <v>1.4580810379356336E-2</v>
      </c>
      <c r="Y834">
        <v>4.3566734058631939E-3</v>
      </c>
    </row>
    <row r="835" spans="1:25" x14ac:dyDescent="0.25">
      <c r="A835" s="1096"/>
      <c r="B835" s="1455">
        <v>585</v>
      </c>
      <c r="C835" s="1100">
        <v>0.98848171518920291</v>
      </c>
      <c r="D835" s="1100">
        <v>1.0166180041848238</v>
      </c>
      <c r="E835" s="1100">
        <v>1.0017335469609538</v>
      </c>
      <c r="F835" s="1100">
        <v>1.0323872642810263</v>
      </c>
      <c r="G835" s="1100">
        <v>0.97210291827934481</v>
      </c>
      <c r="H835" s="1100">
        <v>0.98812867946942951</v>
      </c>
      <c r="I835" s="1100">
        <v>1.0139794310692842</v>
      </c>
      <c r="K835">
        <v>2.2632010679140158</v>
      </c>
      <c r="L835">
        <v>0</v>
      </c>
      <c r="M835">
        <v>1.5349942679589216E-3</v>
      </c>
      <c r="N835">
        <v>0.14028548555666256</v>
      </c>
      <c r="O835">
        <v>1.9911140298383111E-2</v>
      </c>
      <c r="P835">
        <v>2.6761322262794204E-2</v>
      </c>
      <c r="Q835">
        <v>5.5624621961122807E-3</v>
      </c>
      <c r="R835">
        <v>1.5131605733988923E-3</v>
      </c>
      <c r="S835">
        <v>0.2447617173260658</v>
      </c>
      <c r="T835">
        <v>1.3873906085296122</v>
      </c>
      <c r="U835">
        <v>0.14444022069985346</v>
      </c>
      <c r="V835">
        <v>0.18226578687597242</v>
      </c>
      <c r="W835">
        <v>9.2063188546931657E-2</v>
      </c>
      <c r="X835">
        <v>1.5662645048643783E-2</v>
      </c>
      <c r="Y835">
        <v>4.1183242675428234E-3</v>
      </c>
    </row>
    <row r="836" spans="1:25" x14ac:dyDescent="0.25">
      <c r="A836" s="1096"/>
      <c r="B836" s="1455">
        <v>586</v>
      </c>
      <c r="C836" s="1100">
        <v>0.97132474012516268</v>
      </c>
      <c r="D836" s="1100">
        <v>0.97899998638642205</v>
      </c>
      <c r="E836" s="1100">
        <v>0.98704063027311073</v>
      </c>
      <c r="F836" s="1100">
        <v>0.98878858757391896</v>
      </c>
      <c r="G836" s="1100">
        <v>1.0122742321820279</v>
      </c>
      <c r="H836" s="1100">
        <v>0.99160406052409045</v>
      </c>
      <c r="I836" s="1100">
        <v>1.0238416184355263</v>
      </c>
      <c r="K836">
        <v>2.2282925146873009</v>
      </c>
      <c r="L836">
        <v>0</v>
      </c>
      <c r="M836">
        <v>1.629532128019609E-3</v>
      </c>
      <c r="N836">
        <v>0.14246375397414718</v>
      </c>
      <c r="O836">
        <v>2.0422137055904711E-2</v>
      </c>
      <c r="P836">
        <v>2.5944164510520149E-2</v>
      </c>
      <c r="Q836">
        <v>5.6213163496558341E-3</v>
      </c>
      <c r="R836">
        <v>1.606434966687321E-3</v>
      </c>
      <c r="S836">
        <v>0.25647104440790064</v>
      </c>
      <c r="T836">
        <v>1.3287784562917242</v>
      </c>
      <c r="U836">
        <v>0.1469567422080848</v>
      </c>
      <c r="V836">
        <v>0.18785354149684375</v>
      </c>
      <c r="W836">
        <v>9.4316371512028666E-2</v>
      </c>
      <c r="X836">
        <v>1.5115897623642027E-2</v>
      </c>
      <c r="Y836">
        <v>4.3721864181784425E-3</v>
      </c>
    </row>
    <row r="837" spans="1:25" x14ac:dyDescent="0.25">
      <c r="A837" s="1096"/>
      <c r="B837" s="1455">
        <v>587</v>
      </c>
      <c r="C837" s="1100">
        <v>0.98133246720389267</v>
      </c>
      <c r="D837" s="1100">
        <v>0.96619525798166339</v>
      </c>
      <c r="E837" s="1100">
        <v>1.0014430319052536</v>
      </c>
      <c r="F837" s="1100">
        <v>1.0207420646530034</v>
      </c>
      <c r="G837" s="1100">
        <v>1.0001094149530361</v>
      </c>
      <c r="H837" s="1100">
        <v>1.0332318276070804</v>
      </c>
      <c r="I837" s="1100">
        <v>1.0044453558166326</v>
      </c>
      <c r="K837">
        <v>2.2778014881916029</v>
      </c>
      <c r="L837">
        <v>0</v>
      </c>
      <c r="M837">
        <v>1.6359337665233309E-3</v>
      </c>
      <c r="N837">
        <v>0.1494734373519529</v>
      </c>
      <c r="O837">
        <v>2.028173252914384E-2</v>
      </c>
      <c r="P837">
        <v>2.6735080456397782E-2</v>
      </c>
      <c r="Q837">
        <v>5.6643395564383338E-3</v>
      </c>
      <c r="R837">
        <v>1.6136800824745861E-3</v>
      </c>
      <c r="S837">
        <v>0.25425583203878238</v>
      </c>
      <c r="T837">
        <v>1.3717405331013182</v>
      </c>
      <c r="U837">
        <v>0.14549182142386813</v>
      </c>
      <c r="V837">
        <v>0.18586849529701152</v>
      </c>
      <c r="W837">
        <v>9.8109754397788962E-2</v>
      </c>
      <c r="X837">
        <v>1.581081048794649E-2</v>
      </c>
      <c r="Y837">
        <v>4.3919052349995994E-3</v>
      </c>
    </row>
    <row r="838" spans="1:25" x14ac:dyDescent="0.25">
      <c r="A838" s="1096"/>
      <c r="B838" s="1455">
        <v>588</v>
      </c>
      <c r="C838" s="1100">
        <v>1.0412543141538564</v>
      </c>
      <c r="D838" s="1100">
        <v>1.0356260450523505</v>
      </c>
      <c r="E838" s="1100">
        <v>1.011133432326585</v>
      </c>
      <c r="F838" s="1100">
        <v>1.009173407544715</v>
      </c>
      <c r="G838" s="1100">
        <v>1.0061652551320455</v>
      </c>
      <c r="H838" s="1100">
        <v>1.0066731169575784</v>
      </c>
      <c r="I838" s="1100">
        <v>0.96752609904689035</v>
      </c>
      <c r="K838">
        <v>2.1923924419649361</v>
      </c>
      <c r="L838">
        <v>0</v>
      </c>
      <c r="M838">
        <v>1.4499306183350699E-3</v>
      </c>
      <c r="N838">
        <v>0.13636294256070394</v>
      </c>
      <c r="O838">
        <v>1.8830733188460829E-2</v>
      </c>
      <c r="P838">
        <v>2.6104951582225481E-2</v>
      </c>
      <c r="Q838">
        <v>5.3103979286496135E-3</v>
      </c>
      <c r="R838">
        <v>1.4296867862245526E-3</v>
      </c>
      <c r="S838">
        <v>0.22111827521813285</v>
      </c>
      <c r="T838">
        <v>1.3562107090400335</v>
      </c>
      <c r="U838">
        <v>0.13714054124682004</v>
      </c>
      <c r="V838">
        <v>0.18308227480338582</v>
      </c>
      <c r="W838">
        <v>8.8992950949403279E-2</v>
      </c>
      <c r="X838">
        <v>1.536777314325077E-2</v>
      </c>
      <c r="Y838">
        <v>3.8911361359808164E-3</v>
      </c>
    </row>
    <row r="839" spans="1:25" x14ac:dyDescent="0.25">
      <c r="A839" s="1096"/>
      <c r="B839" s="1455">
        <v>589</v>
      </c>
      <c r="C839" s="1100">
        <v>1.0009468675935063</v>
      </c>
      <c r="D839" s="1100">
        <v>0.96803415367743317</v>
      </c>
      <c r="E839" s="1100">
        <v>1.0209196751060758</v>
      </c>
      <c r="F839" s="1100">
        <v>0.97063858412502291</v>
      </c>
      <c r="G839" s="1100">
        <v>1.0100490925828487</v>
      </c>
      <c r="H839" s="1100">
        <v>1.0068838937816404</v>
      </c>
      <c r="I839" s="1100">
        <v>0.97210533983421743</v>
      </c>
      <c r="K839">
        <v>2.1831477881665191</v>
      </c>
      <c r="L839">
        <v>0</v>
      </c>
      <c r="M839">
        <v>1.5003580242829587E-3</v>
      </c>
      <c r="N839">
        <v>0.14533517591583103</v>
      </c>
      <c r="O839">
        <v>1.9888241972464429E-2</v>
      </c>
      <c r="P839">
        <v>2.5940225870390951E-2</v>
      </c>
      <c r="Q839">
        <v>5.6635758001747681E-3</v>
      </c>
      <c r="R839">
        <v>1.4794145133242345E-3</v>
      </c>
      <c r="S839">
        <v>0.23910050781908723</v>
      </c>
      <c r="T839">
        <v>1.3044428322309276</v>
      </c>
      <c r="U839">
        <v>0.14268566221134071</v>
      </c>
      <c r="V839">
        <v>0.18582481193603861</v>
      </c>
      <c r="W839">
        <v>9.4305202521068637E-2</v>
      </c>
      <c r="X839">
        <v>1.5956016783747376E-2</v>
      </c>
      <c r="Y839">
        <v>4.0264786164053183E-3</v>
      </c>
    </row>
    <row r="840" spans="1:25" x14ac:dyDescent="0.25">
      <c r="A840" s="1096"/>
      <c r="B840" s="1455">
        <v>590</v>
      </c>
      <c r="C840" s="1100">
        <v>0.97443058960622797</v>
      </c>
      <c r="D840" s="1100">
        <v>0.98818611253358613</v>
      </c>
      <c r="E840" s="1100">
        <v>1.0012253394046535</v>
      </c>
      <c r="F840" s="1100">
        <v>1.0172039690604207</v>
      </c>
      <c r="G840" s="1100">
        <v>1.0022325920958139</v>
      </c>
      <c r="H840" s="1100">
        <v>1.0292667009495671</v>
      </c>
      <c r="I840" s="1100">
        <v>0.98262107926868048</v>
      </c>
      <c r="K840">
        <v>2.2672441065356397</v>
      </c>
      <c r="L840">
        <v>0</v>
      </c>
      <c r="M840">
        <v>1.633830606124859E-3</v>
      </c>
      <c r="N840">
        <v>0.14917520852538202</v>
      </c>
      <c r="O840">
        <v>2.0324369105466342E-2</v>
      </c>
      <c r="P840">
        <v>2.6595013528503977E-2</v>
      </c>
      <c r="Q840">
        <v>5.6750061960107335E-3</v>
      </c>
      <c r="R840">
        <v>1.6115199120285135E-3</v>
      </c>
      <c r="S840">
        <v>0.24737510887203332</v>
      </c>
      <c r="T840">
        <v>1.366985447849089</v>
      </c>
      <c r="U840">
        <v>0.14652182340853898</v>
      </c>
      <c r="V840">
        <v>0.1865364870101443</v>
      </c>
      <c r="W840">
        <v>9.7926662230839609E-2</v>
      </c>
      <c r="X840">
        <v>1.5765264540580186E-2</v>
      </c>
      <c r="Y840">
        <v>4.3860259631453872E-3</v>
      </c>
    </row>
    <row r="841" spans="1:25" x14ac:dyDescent="0.25">
      <c r="A841" s="1096"/>
      <c r="B841" s="1455">
        <v>591</v>
      </c>
      <c r="C841" s="1100">
        <v>0.95420929205779559</v>
      </c>
      <c r="D841" s="1100">
        <v>1.0175898240043921</v>
      </c>
      <c r="E841" s="1100">
        <v>1.0100912849300183</v>
      </c>
      <c r="F841" s="1100">
        <v>0.99453929782339201</v>
      </c>
      <c r="G841" s="1100">
        <v>0.95896452158537382</v>
      </c>
      <c r="H841" s="1100">
        <v>0.981898266497924</v>
      </c>
      <c r="I841" s="1100">
        <v>0.96512422411096965</v>
      </c>
      <c r="K841">
        <v>2.2232387025072411</v>
      </c>
      <c r="L841">
        <v>0</v>
      </c>
      <c r="M841">
        <v>1.5525922933816972E-3</v>
      </c>
      <c r="N841">
        <v>0.14550738897694201</v>
      </c>
      <c r="O841">
        <v>2.0627410713124981E-2</v>
      </c>
      <c r="P841">
        <v>2.6254993528020115E-2</v>
      </c>
      <c r="Q841">
        <v>5.8110186485505139E-3</v>
      </c>
      <c r="R841">
        <v>1.5303681561708614E-3</v>
      </c>
      <c r="S841">
        <v>0.24078213692860484</v>
      </c>
      <c r="T841">
        <v>1.3365422938512483</v>
      </c>
      <c r="U841">
        <v>0.14964827749846593</v>
      </c>
      <c r="V841">
        <v>0.18294422276230932</v>
      </c>
      <c r="W841">
        <v>9.5019129938574698E-2</v>
      </c>
      <c r="X841">
        <v>1.5958896163241316E-2</v>
      </c>
      <c r="Y841">
        <v>4.1651576353699867E-3</v>
      </c>
    </row>
    <row r="842" spans="1:25" x14ac:dyDescent="0.25">
      <c r="A842" s="1096"/>
      <c r="B842" s="1455">
        <v>592</v>
      </c>
      <c r="C842" s="1100">
        <v>0.9599447961582005</v>
      </c>
      <c r="D842" s="1100">
        <v>0.98487570925621559</v>
      </c>
      <c r="E842" s="1100">
        <v>1.0248201615796759</v>
      </c>
      <c r="F842" s="1100">
        <v>1.0142743972520449</v>
      </c>
      <c r="G842" s="1100">
        <v>1.0227504099566862</v>
      </c>
      <c r="H842" s="1100">
        <v>0.95692657617013688</v>
      </c>
      <c r="I842" s="1100">
        <v>0.97810501359494817</v>
      </c>
      <c r="K842">
        <v>2.2575417764210739</v>
      </c>
      <c r="L842">
        <v>0</v>
      </c>
      <c r="M842">
        <v>1.4692132906850312E-3</v>
      </c>
      <c r="N842">
        <v>0.14389603588981051</v>
      </c>
      <c r="O842">
        <v>2.0661741177161543E-2</v>
      </c>
      <c r="P842">
        <v>2.7046059847203978E-2</v>
      </c>
      <c r="Q842">
        <v>5.906668837007409E-3</v>
      </c>
      <c r="R842">
        <v>1.4476338487557029E-3</v>
      </c>
      <c r="S842">
        <v>0.24462785691852895</v>
      </c>
      <c r="T842">
        <v>1.363093320257424</v>
      </c>
      <c r="U842">
        <v>0.14878957478912996</v>
      </c>
      <c r="V842">
        <v>0.18979652519699972</v>
      </c>
      <c r="W842">
        <v>9.3159021392275859E-2</v>
      </c>
      <c r="X842">
        <v>1.6646569433515283E-2</v>
      </c>
      <c r="Y842">
        <v>3.9399821239430354E-3</v>
      </c>
    </row>
    <row r="843" spans="1:25" x14ac:dyDescent="0.25">
      <c r="A843" s="1096"/>
      <c r="B843" s="1455">
        <v>593</v>
      </c>
      <c r="C843" s="1100">
        <v>1.0010501743647857</v>
      </c>
      <c r="D843" s="1100">
        <v>0.96003453110290249</v>
      </c>
      <c r="E843" s="1100">
        <v>1.020205180970488</v>
      </c>
      <c r="F843" s="1100">
        <v>0.9725701641086858</v>
      </c>
      <c r="G843" s="1100">
        <v>0.97856241142708755</v>
      </c>
      <c r="H843" s="1100">
        <v>1.0309630512882877</v>
      </c>
      <c r="I843" s="1100">
        <v>0.97708946744680403</v>
      </c>
      <c r="K843">
        <v>2.1925901636768246</v>
      </c>
      <c r="L843">
        <v>0</v>
      </c>
      <c r="M843">
        <v>1.5411762913029026E-3</v>
      </c>
      <c r="N843">
        <v>0.14901694474287577</v>
      </c>
      <c r="O843">
        <v>1.9922075347002122E-2</v>
      </c>
      <c r="P843">
        <v>2.5969804400224717E-2</v>
      </c>
      <c r="Q843">
        <v>5.6691834709379349E-3</v>
      </c>
      <c r="R843">
        <v>1.5201654619524455E-3</v>
      </c>
      <c r="S843">
        <v>0.24320230769784718</v>
      </c>
      <c r="T843">
        <v>1.3070372717976462</v>
      </c>
      <c r="U843">
        <v>0.14266928885759173</v>
      </c>
      <c r="V843">
        <v>0.18225907796233634</v>
      </c>
      <c r="W843">
        <v>9.6734641958513098E-2</v>
      </c>
      <c r="X843">
        <v>1.599318900617314E-2</v>
      </c>
      <c r="Y843">
        <v>4.1373892650247044E-3</v>
      </c>
    </row>
    <row r="844" spans="1:25" x14ac:dyDescent="0.25">
      <c r="A844" s="1096"/>
      <c r="B844" s="1455">
        <v>594</v>
      </c>
      <c r="C844" s="1100">
        <v>1.0218978677800212</v>
      </c>
      <c r="D844" s="1100">
        <v>0.96733167197392989</v>
      </c>
      <c r="E844" s="1100">
        <v>1.0139366988778511</v>
      </c>
      <c r="F844" s="1100">
        <v>0.97391876644469799</v>
      </c>
      <c r="G844" s="1100">
        <v>0.967329967669457</v>
      </c>
      <c r="H844" s="1100">
        <v>0.96243096021041208</v>
      </c>
      <c r="I844" s="1100">
        <v>0.9849387220501582</v>
      </c>
      <c r="K844">
        <v>2.1552910369852465</v>
      </c>
      <c r="L844">
        <v>0</v>
      </c>
      <c r="M844">
        <v>1.4254943322201928E-3</v>
      </c>
      <c r="N844">
        <v>0.13511595520804465</v>
      </c>
      <c r="O844">
        <v>1.9479292298435952E-2</v>
      </c>
      <c r="P844">
        <v>2.5672009438920999E-2</v>
      </c>
      <c r="Q844">
        <v>5.5086897397114958E-3</v>
      </c>
      <c r="R844">
        <v>1.4046767692739142E-3</v>
      </c>
      <c r="S844">
        <v>0.23386415490287141</v>
      </c>
      <c r="T844">
        <v>1.3088376918558546</v>
      </c>
      <c r="U844">
        <v>0.13974453925582503</v>
      </c>
      <c r="V844">
        <v>0.17977446025892987</v>
      </c>
      <c r="W844">
        <v>8.8033793024101623E-2</v>
      </c>
      <c r="X844">
        <v>1.54582014511044E-2</v>
      </c>
      <c r="Y844">
        <v>3.8230671143910503E-3</v>
      </c>
    </row>
    <row r="845" spans="1:25" x14ac:dyDescent="0.25">
      <c r="A845" s="1096"/>
      <c r="B845" s="1455">
        <v>595</v>
      </c>
      <c r="C845" s="1100">
        <v>1.0240411961322591</v>
      </c>
      <c r="D845" s="1100">
        <v>1.0455689618747999</v>
      </c>
      <c r="E845" s="1100">
        <v>0.97368525100100811</v>
      </c>
      <c r="F845" s="1100">
        <v>1.004935758046996</v>
      </c>
      <c r="G845" s="1100">
        <v>0.98146692552840398</v>
      </c>
      <c r="H845" s="1100">
        <v>0.95640284352857929</v>
      </c>
      <c r="I845" s="1100">
        <v>1.0152237420263333</v>
      </c>
      <c r="K845">
        <v>2.1808803344714791</v>
      </c>
      <c r="L845">
        <v>0</v>
      </c>
      <c r="M845">
        <v>1.5105019531909771E-3</v>
      </c>
      <c r="N845">
        <v>0.12676051469091604</v>
      </c>
      <c r="O845">
        <v>1.9084458518908155E-2</v>
      </c>
      <c r="P845">
        <v>2.5435756015704112E-2</v>
      </c>
      <c r="Q845">
        <v>5.1823002901810215E-3</v>
      </c>
      <c r="R845">
        <v>1.4883039244475743E-3</v>
      </c>
      <c r="S845">
        <v>0.23058145878334746</v>
      </c>
      <c r="T845">
        <v>1.350462148950649</v>
      </c>
      <c r="U845">
        <v>0.13936164750658528</v>
      </c>
      <c r="V845">
        <v>0.18121658343729669</v>
      </c>
      <c r="W845">
        <v>8.4599536585014734E-2</v>
      </c>
      <c r="X845">
        <v>1.4167455058528844E-2</v>
      </c>
      <c r="Y845">
        <v>4.0506726630894609E-3</v>
      </c>
    </row>
    <row r="846" spans="1:25" x14ac:dyDescent="0.25">
      <c r="A846" s="1096"/>
      <c r="B846" s="1455">
        <v>596</v>
      </c>
      <c r="C846" s="1100">
        <v>0.97398070525012415</v>
      </c>
      <c r="D846" s="1100">
        <v>1.0250256158529147</v>
      </c>
      <c r="E846" s="1100">
        <v>0.9791638955318932</v>
      </c>
      <c r="F846" s="1100">
        <v>0.95988632513420546</v>
      </c>
      <c r="G846" s="1100">
        <v>0.96156945990673981</v>
      </c>
      <c r="H846" s="1100">
        <v>0.96138167935427143</v>
      </c>
      <c r="I846" s="1100">
        <v>1.0162442368471973</v>
      </c>
      <c r="K846">
        <v>2.158625911629191</v>
      </c>
      <c r="L846">
        <v>0</v>
      </c>
      <c r="M846">
        <v>1.5853389967092229E-3</v>
      </c>
      <c r="N846">
        <v>0.13527557027376827</v>
      </c>
      <c r="O846">
        <v>2.0156628257569063E-2</v>
      </c>
      <c r="P846">
        <v>2.5036389661207522E-2</v>
      </c>
      <c r="Q846">
        <v>5.5040681155385232E-3</v>
      </c>
      <c r="R846">
        <v>1.5621618335601953E-3</v>
      </c>
      <c r="S846">
        <v>0.24554391545080725</v>
      </c>
      <c r="T846">
        <v>1.2899290550864129</v>
      </c>
      <c r="U846">
        <v>0.14653743446901776</v>
      </c>
      <c r="V846">
        <v>0.18194837897876701</v>
      </c>
      <c r="W846">
        <v>8.9983437368669011E-2</v>
      </c>
      <c r="X846">
        <v>1.4482521586140926E-2</v>
      </c>
      <c r="Y846">
        <v>4.2516895444408192E-3</v>
      </c>
    </row>
    <row r="847" spans="1:25" x14ac:dyDescent="0.25">
      <c r="A847" s="1096"/>
      <c r="B847" s="1455">
        <v>597</v>
      </c>
      <c r="C847" s="1100">
        <v>1.0030833469900897</v>
      </c>
      <c r="D847" s="1100">
        <v>1.0077818457361036</v>
      </c>
      <c r="E847" s="1100">
        <v>1.0147339677428893</v>
      </c>
      <c r="F847" s="1100">
        <v>0.99858401808340924</v>
      </c>
      <c r="G847" s="1100">
        <v>1.0132600689747815</v>
      </c>
      <c r="H847" s="1100">
        <v>0.9936543338748185</v>
      </c>
      <c r="I847" s="1100">
        <v>1.0412459674647059</v>
      </c>
      <c r="K847">
        <v>2.2241195241202827</v>
      </c>
      <c r="L847">
        <v>0</v>
      </c>
      <c r="M847">
        <v>1.4834327247697039E-3</v>
      </c>
      <c r="N847">
        <v>0.14101203830541795</v>
      </c>
      <c r="O847">
        <v>1.9667111024061941E-2</v>
      </c>
      <c r="P847">
        <v>2.648045952416463E-2</v>
      </c>
      <c r="Q847">
        <v>5.5662281756566059E-3</v>
      </c>
      <c r="R847">
        <v>1.4624497769222177E-3</v>
      </c>
      <c r="S847">
        <v>0.24932587002247145</v>
      </c>
      <c r="T847">
        <v>1.3419865401601314</v>
      </c>
      <c r="U847">
        <v>0.14236751785504831</v>
      </c>
      <c r="V847">
        <v>0.18605588705188689</v>
      </c>
      <c r="W847">
        <v>9.1832305909702899E-2</v>
      </c>
      <c r="X847">
        <v>1.5866242843245747E-2</v>
      </c>
      <c r="Y847">
        <v>3.9803061963428806E-3</v>
      </c>
    </row>
    <row r="848" spans="1:25" x14ac:dyDescent="0.25">
      <c r="A848" s="1096"/>
      <c r="B848" s="1455">
        <v>598</v>
      </c>
      <c r="C848" s="1100">
        <v>0.99868172780999775</v>
      </c>
      <c r="D848" s="1100">
        <v>0.97877932516823474</v>
      </c>
      <c r="E848" s="1100">
        <v>0.99981867461758567</v>
      </c>
      <c r="F848" s="1100">
        <v>0.97304723924752445</v>
      </c>
      <c r="G848" s="1100">
        <v>1.0455829557605332</v>
      </c>
      <c r="H848" s="1100">
        <v>0.99082722992643757</v>
      </c>
      <c r="I848" s="1100">
        <v>0.99229960119813732</v>
      </c>
      <c r="K848">
        <v>2.1850441528494482</v>
      </c>
      <c r="L848">
        <v>0</v>
      </c>
      <c r="M848">
        <v>1.5423467566284621E-3</v>
      </c>
      <c r="N848">
        <v>0.14014987589429434</v>
      </c>
      <c r="O848">
        <v>1.9871718573155575E-2</v>
      </c>
      <c r="P848">
        <v>2.5679952898844532E-2</v>
      </c>
      <c r="Q848">
        <v>5.5407786553660025E-3</v>
      </c>
      <c r="R848">
        <v>1.5204682301900505E-3</v>
      </c>
      <c r="S848">
        <v>0.24182358388602201</v>
      </c>
      <c r="T848">
        <v>1.3076425418601654</v>
      </c>
      <c r="U848">
        <v>0.14296056886368244</v>
      </c>
      <c r="V848">
        <v>0.18995700201786267</v>
      </c>
      <c r="W848">
        <v>9.2078864701474972E-2</v>
      </c>
      <c r="X848">
        <v>1.5222930724660431E-2</v>
      </c>
      <c r="Y848">
        <v>4.1382133003599417E-3</v>
      </c>
    </row>
    <row r="849" spans="1:25" x14ac:dyDescent="0.25">
      <c r="A849" s="1096"/>
      <c r="B849" s="1455">
        <v>599</v>
      </c>
      <c r="C849" s="1100">
        <v>1.0169364068738549</v>
      </c>
      <c r="D849" s="1100">
        <v>0.9948827667904131</v>
      </c>
      <c r="E849" s="1100">
        <v>0.98631201607582564</v>
      </c>
      <c r="F849" s="1100">
        <v>1.044275340928184</v>
      </c>
      <c r="G849" s="1100">
        <v>0.97920665474661872</v>
      </c>
      <c r="H849" s="1100">
        <v>1.0068986702866953</v>
      </c>
      <c r="I849" s="1100">
        <v>0.98736867166897402</v>
      </c>
      <c r="K849">
        <v>2.2598450648712647</v>
      </c>
      <c r="L849">
        <v>0</v>
      </c>
      <c r="M849">
        <v>1.5772423687032643E-3</v>
      </c>
      <c r="N849">
        <v>0.1376188044869269</v>
      </c>
      <c r="O849">
        <v>1.9436775668235273E-2</v>
      </c>
      <c r="P849">
        <v>2.6477359030868616E-2</v>
      </c>
      <c r="Q849">
        <v>5.3461437484746063E-3</v>
      </c>
      <c r="R849">
        <v>1.5552259516008495E-3</v>
      </c>
      <c r="S849">
        <v>0.23552887129156644</v>
      </c>
      <c r="T849">
        <v>1.4033430542191463</v>
      </c>
      <c r="U849">
        <v>0.14036378728410773</v>
      </c>
      <c r="V849">
        <v>0.18137618973808245</v>
      </c>
      <c r="W849">
        <v>9.1148713476677662E-2</v>
      </c>
      <c r="X849">
        <v>1.4994569984121376E-2</v>
      </c>
      <c r="Y849">
        <v>4.2328123601603519E-3</v>
      </c>
    </row>
    <row r="850" spans="1:25" x14ac:dyDescent="0.25">
      <c r="A850" s="1096"/>
      <c r="B850" s="1455">
        <v>600</v>
      </c>
      <c r="C850" s="1100">
        <v>1.0044009442137625</v>
      </c>
      <c r="D850" s="1100">
        <v>1.0006786210996768</v>
      </c>
      <c r="E850" s="1100">
        <v>1.0028201989731904</v>
      </c>
      <c r="F850" s="1100">
        <v>1.0203131951907665</v>
      </c>
      <c r="G850" s="1100">
        <v>0.97110463943597713</v>
      </c>
      <c r="H850" s="1100">
        <v>1.0157021989177151</v>
      </c>
      <c r="I850" s="1100">
        <v>0.97971850729165122</v>
      </c>
      <c r="K850">
        <v>2.2386518375702584</v>
      </c>
      <c r="L850">
        <v>0</v>
      </c>
      <c r="M850">
        <v>1.5547186424467983E-3</v>
      </c>
      <c r="N850">
        <v>0.1426111322419388</v>
      </c>
      <c r="O850">
        <v>1.966448097478107E-2</v>
      </c>
      <c r="P850">
        <v>2.6405745126267609E-2</v>
      </c>
      <c r="Q850">
        <v>5.4995505968151309E-3</v>
      </c>
      <c r="R850">
        <v>1.5332047303214661E-3</v>
      </c>
      <c r="S850">
        <v>0.23674798440146272</v>
      </c>
      <c r="T850">
        <v>1.3711664920987521</v>
      </c>
      <c r="U850">
        <v>0.14215341057708042</v>
      </c>
      <c r="V850">
        <v>0.18120267224422731</v>
      </c>
      <c r="W850">
        <v>9.3529091674194431E-2</v>
      </c>
      <c r="X850">
        <v>1.5519913691731183E-2</v>
      </c>
      <c r="Y850">
        <v>4.1728778551315144E-3</v>
      </c>
    </row>
    <row r="851" spans="1:25" x14ac:dyDescent="0.25">
      <c r="A851" s="1096"/>
      <c r="B851" s="1455">
        <v>601</v>
      </c>
      <c r="C851" s="1100">
        <v>1.0374449227447848</v>
      </c>
      <c r="D851" s="1100">
        <v>0.9821642582243173</v>
      </c>
      <c r="E851" s="1100">
        <v>0.99141723110667335</v>
      </c>
      <c r="F851" s="1100">
        <v>1.0003842064605371</v>
      </c>
      <c r="G851" s="1100">
        <v>0.96530097805529103</v>
      </c>
      <c r="H851" s="1100">
        <v>0.96306267019411806</v>
      </c>
      <c r="I851" s="1100">
        <v>0.98504627382757504</v>
      </c>
      <c r="K851">
        <v>2.1734873515149884</v>
      </c>
      <c r="L851">
        <v>0</v>
      </c>
      <c r="M851">
        <v>1.4673516249281218E-3</v>
      </c>
      <c r="N851">
        <v>0.12993843505492361</v>
      </c>
      <c r="O851">
        <v>1.9109630945175787E-2</v>
      </c>
      <c r="P851">
        <v>2.5610288776072829E-2</v>
      </c>
      <c r="Q851">
        <v>5.2833716200186599E-3</v>
      </c>
      <c r="R851">
        <v>1.4459368445417853E-3</v>
      </c>
      <c r="S851">
        <v>0.22850466645944351</v>
      </c>
      <c r="T851">
        <v>1.3443671112970421</v>
      </c>
      <c r="U851">
        <v>0.13760034425366724</v>
      </c>
      <c r="V851">
        <v>0.17865561141145461</v>
      </c>
      <c r="W851">
        <v>8.5798754183406087E-2</v>
      </c>
      <c r="X851">
        <v>1.4705188856281111E-2</v>
      </c>
      <c r="Y851">
        <v>3.9353634378900401E-3</v>
      </c>
    </row>
    <row r="852" spans="1:25" x14ac:dyDescent="0.25">
      <c r="A852" s="1096"/>
      <c r="B852" s="1455">
        <v>602</v>
      </c>
      <c r="C852" s="1100">
        <v>0.98791373332548593</v>
      </c>
      <c r="D852" s="1100">
        <v>1.0281448679448255</v>
      </c>
      <c r="E852" s="1100">
        <v>0.98042538839803428</v>
      </c>
      <c r="F852" s="1100">
        <v>1.0078300450690758</v>
      </c>
      <c r="G852" s="1100">
        <v>0.98792076746534074</v>
      </c>
      <c r="H852" s="1100">
        <v>0.98523620081768581</v>
      </c>
      <c r="I852" s="1100">
        <v>0.99265028353292784</v>
      </c>
      <c r="K852">
        <v>2.2187430303028535</v>
      </c>
      <c r="L852">
        <v>0</v>
      </c>
      <c r="M852">
        <v>1.5965218387699761E-3</v>
      </c>
      <c r="N852">
        <v>0.13679988630303577</v>
      </c>
      <c r="O852">
        <v>1.9859860226557488E-2</v>
      </c>
      <c r="P852">
        <v>2.5826119503854387E-2</v>
      </c>
      <c r="Q852">
        <v>5.4299897269718201E-3</v>
      </c>
      <c r="R852">
        <v>1.5737463094206738E-3</v>
      </c>
      <c r="S852">
        <v>0.23801964463793193</v>
      </c>
      <c r="T852">
        <v>1.354358976634866</v>
      </c>
      <c r="U852">
        <v>0.14447367606874306</v>
      </c>
      <c r="V852">
        <v>0.18406953541076795</v>
      </c>
      <c r="W852">
        <v>9.0928091981602538E-2</v>
      </c>
      <c r="X852">
        <v>1.4716806668958913E-2</v>
      </c>
      <c r="Y852">
        <v>4.2832186689115998E-3</v>
      </c>
    </row>
    <row r="853" spans="1:25" x14ac:dyDescent="0.25">
      <c r="A853" s="1096"/>
      <c r="B853" s="1455">
        <v>603</v>
      </c>
      <c r="C853" s="1100">
        <v>1.015277271542395</v>
      </c>
      <c r="D853" s="1100">
        <v>0.98334662272999329</v>
      </c>
      <c r="E853" s="1100">
        <v>1.0338516583100477</v>
      </c>
      <c r="F853" s="1100">
        <v>1.0082197924157743</v>
      </c>
      <c r="G853" s="1100">
        <v>0.99251943611897531</v>
      </c>
      <c r="H853" s="1100">
        <v>0.9808920923341008</v>
      </c>
      <c r="I853" s="1100">
        <v>1.0126282662644381</v>
      </c>
      <c r="K853">
        <v>2.2239797457560089</v>
      </c>
      <c r="L853">
        <v>0</v>
      </c>
      <c r="M853">
        <v>1.3978644381093446E-3</v>
      </c>
      <c r="N853">
        <v>0.14073817175210901</v>
      </c>
      <c r="O853">
        <v>1.9547960164468466E-2</v>
      </c>
      <c r="P853">
        <v>2.6860784574438055E-2</v>
      </c>
      <c r="Q853">
        <v>5.6384087470736418E-3</v>
      </c>
      <c r="R853">
        <v>1.3778345833563351E-3</v>
      </c>
      <c r="S853">
        <v>0.24164071208025739</v>
      </c>
      <c r="T853">
        <v>1.3549767059944295</v>
      </c>
      <c r="U853">
        <v>0.14070113398546991</v>
      </c>
      <c r="V853">
        <v>0.18301838804222631</v>
      </c>
      <c r="W853">
        <v>9.0637931027336041E-2</v>
      </c>
      <c r="X853">
        <v>1.6489567710107074E-2</v>
      </c>
      <c r="Y853">
        <v>3.7500115328476108E-3</v>
      </c>
    </row>
    <row r="854" spans="1:25" x14ac:dyDescent="0.25">
      <c r="A854" s="1096"/>
      <c r="B854" s="1455">
        <v>604</v>
      </c>
      <c r="C854" s="1100">
        <v>1.0128717855191438</v>
      </c>
      <c r="D854" s="1100">
        <v>0.99193076136620983</v>
      </c>
      <c r="E854" s="1100">
        <v>0.97477882006594097</v>
      </c>
      <c r="F854" s="1100">
        <v>0.96568998949645335</v>
      </c>
      <c r="G854" s="1100">
        <v>0.99422174709547839</v>
      </c>
      <c r="H854" s="1100">
        <v>0.99760851595431432</v>
      </c>
      <c r="I854" s="1100">
        <v>1.0337747326635096</v>
      </c>
      <c r="K854">
        <v>2.1631668942597213</v>
      </c>
      <c r="L854">
        <v>0</v>
      </c>
      <c r="M854">
        <v>1.6078816491398912E-3</v>
      </c>
      <c r="N854">
        <v>0.1354633582985294</v>
      </c>
      <c r="O854">
        <v>1.9520433478758415E-2</v>
      </c>
      <c r="P854">
        <v>2.5020778886391433E-2</v>
      </c>
      <c r="Q854">
        <v>5.3066013338146107E-3</v>
      </c>
      <c r="R854">
        <v>1.5852285352874777E-3</v>
      </c>
      <c r="S854">
        <v>0.24710481583213326</v>
      </c>
      <c r="T854">
        <v>1.2977236184636032</v>
      </c>
      <c r="U854">
        <v>0.14090092891097902</v>
      </c>
      <c r="V854">
        <v>0.18329790514866776</v>
      </c>
      <c r="W854">
        <v>9.0347832693748742E-2</v>
      </c>
      <c r="X854">
        <v>1.4188804824343025E-2</v>
      </c>
      <c r="Y854">
        <v>4.3144695026063008E-3</v>
      </c>
    </row>
    <row r="855" spans="1:25" x14ac:dyDescent="0.25">
      <c r="A855" s="1096"/>
      <c r="B855" s="1455">
        <v>605</v>
      </c>
      <c r="C855" s="1100">
        <v>1.009800816768146</v>
      </c>
      <c r="D855" s="1100">
        <v>1.0150225453075929</v>
      </c>
      <c r="E855" s="1100">
        <v>0.97230232623611124</v>
      </c>
      <c r="F855" s="1100">
        <v>0.97150091414365758</v>
      </c>
      <c r="G855" s="1100">
        <v>1.0068659370643926</v>
      </c>
      <c r="H855" s="1100">
        <v>1.0088397157446556</v>
      </c>
      <c r="I855" s="1100">
        <v>1.0080887299866563</v>
      </c>
      <c r="K855">
        <v>2.1673277537842894</v>
      </c>
      <c r="L855">
        <v>0</v>
      </c>
      <c r="M855">
        <v>1.6310142748830869E-3</v>
      </c>
      <c r="N855">
        <v>0.13640769790668339</v>
      </c>
      <c r="O855">
        <v>1.9479399492042131E-2</v>
      </c>
      <c r="P855">
        <v>2.5007502823239571E-2</v>
      </c>
      <c r="Q855">
        <v>5.2820859655810922E-3</v>
      </c>
      <c r="R855">
        <v>1.6082910708596302E-3</v>
      </c>
      <c r="S855">
        <v>0.23981722636945069</v>
      </c>
      <c r="T855">
        <v>1.3055300821877993</v>
      </c>
      <c r="U855">
        <v>0.14132380945687784</v>
      </c>
      <c r="V855">
        <v>0.18490326080732156</v>
      </c>
      <c r="W855">
        <v>9.111451022254978E-2</v>
      </c>
      <c r="X855">
        <v>1.4107663634894532E-2</v>
      </c>
      <c r="Y855">
        <v>4.3772381218708904E-3</v>
      </c>
    </row>
    <row r="856" spans="1:25" x14ac:dyDescent="0.25">
      <c r="A856" s="1096"/>
      <c r="B856" s="1455">
        <v>606</v>
      </c>
      <c r="C856" s="1100">
        <v>0.98409804567047943</v>
      </c>
      <c r="D856" s="1100">
        <v>0.98954068299590758</v>
      </c>
      <c r="E856" s="1100">
        <v>1.0211000116886761</v>
      </c>
      <c r="F856" s="1100">
        <v>0.98872025715564482</v>
      </c>
      <c r="G856" s="1100">
        <v>0.98266007997707305</v>
      </c>
      <c r="H856" s="1100">
        <v>0.96859983519798221</v>
      </c>
      <c r="I856" s="1100">
        <v>1.0218517683372303</v>
      </c>
      <c r="K856">
        <v>2.2128584518889958</v>
      </c>
      <c r="L856">
        <v>0</v>
      </c>
      <c r="M856">
        <v>1.4603942786155602E-3</v>
      </c>
      <c r="N856">
        <v>0.14146178649186061</v>
      </c>
      <c r="O856">
        <v>2.0131311995086089E-2</v>
      </c>
      <c r="P856">
        <v>2.643163428183963E-2</v>
      </c>
      <c r="Q856">
        <v>5.733822163834423E-3</v>
      </c>
      <c r="R856">
        <v>1.4392028756975517E-3</v>
      </c>
      <c r="S856">
        <v>0.24964791426682062</v>
      </c>
      <c r="T856">
        <v>1.3287431876785465</v>
      </c>
      <c r="U856">
        <v>0.14512901818229676</v>
      </c>
      <c r="V856">
        <v>0.18374425596905905</v>
      </c>
      <c r="W856">
        <v>9.1782158128284053E-2</v>
      </c>
      <c r="X856">
        <v>1.6157518339738015E-2</v>
      </c>
      <c r="Y856">
        <v>3.9170357945482676E-3</v>
      </c>
    </row>
    <row r="857" spans="1:25" x14ac:dyDescent="0.25">
      <c r="A857" s="1096"/>
      <c r="B857" s="1455">
        <v>607</v>
      </c>
      <c r="C857" s="1100">
        <v>0.9976190352101626</v>
      </c>
      <c r="D857" s="1100">
        <v>1.0169309392695907</v>
      </c>
      <c r="E857" s="1100">
        <v>0.97278823151089333</v>
      </c>
      <c r="F857" s="1100">
        <v>1.0411877326776671</v>
      </c>
      <c r="G857" s="1100">
        <v>1.0129759833274128</v>
      </c>
      <c r="H857" s="1100">
        <v>1.0052554268515628</v>
      </c>
      <c r="I857" s="1100">
        <v>0.9813682944665586</v>
      </c>
      <c r="K857">
        <v>2.2641257912569359</v>
      </c>
      <c r="L857">
        <v>0</v>
      </c>
      <c r="M857">
        <v>1.6427357304917669E-3</v>
      </c>
      <c r="N857">
        <v>0.13758332001301446</v>
      </c>
      <c r="O857">
        <v>1.970941503686291E-2</v>
      </c>
      <c r="P857">
        <v>2.6256826536380267E-2</v>
      </c>
      <c r="Q857">
        <v>5.3471087181235343E-3</v>
      </c>
      <c r="R857">
        <v>1.6197676207796853E-3</v>
      </c>
      <c r="S857">
        <v>0.2358137371514106</v>
      </c>
      <c r="T857">
        <v>1.3991776773205415</v>
      </c>
      <c r="U857">
        <v>0.14305061041008654</v>
      </c>
      <c r="V857">
        <v>0.18631141688354988</v>
      </c>
      <c r="W857">
        <v>9.1872656133598338E-2</v>
      </c>
      <c r="X857">
        <v>1.4617517655569026E-2</v>
      </c>
      <c r="Y857">
        <v>4.4084735075096181E-3</v>
      </c>
    </row>
    <row r="858" spans="1:25" x14ac:dyDescent="0.25">
      <c r="A858" s="1096"/>
      <c r="B858" s="1455">
        <v>608</v>
      </c>
      <c r="C858" s="1100">
        <v>0.97847624411578649</v>
      </c>
      <c r="D858" s="1100">
        <v>1.0169837928167538</v>
      </c>
      <c r="E858" s="1100">
        <v>0.99729399220023529</v>
      </c>
      <c r="F858" s="1100">
        <v>1.0067651559902333</v>
      </c>
      <c r="G858" s="1100">
        <v>1.0063319830388477</v>
      </c>
      <c r="H858" s="1100">
        <v>1.0135350755597019</v>
      </c>
      <c r="I858" s="1100">
        <v>0.9651288172950806</v>
      </c>
      <c r="K858">
        <v>2.234541158591457</v>
      </c>
      <c r="L858">
        <v>0</v>
      </c>
      <c r="M858">
        <v>1.6051481884791334E-3</v>
      </c>
      <c r="N858">
        <v>0.14479475634875361</v>
      </c>
      <c r="O858">
        <v>2.0110327459689114E-2</v>
      </c>
      <c r="P858">
        <v>2.6182959944330501E-2</v>
      </c>
      <c r="Q858">
        <v>5.5930860347843461E-3</v>
      </c>
      <c r="R858">
        <v>1.5828889487449923E-3</v>
      </c>
      <c r="S858">
        <v>0.2372774606276799</v>
      </c>
      <c r="T858">
        <v>1.3529508481135153</v>
      </c>
      <c r="U858">
        <v>0.14590675806275241</v>
      </c>
      <c r="V858">
        <v>0.18674461185777677</v>
      </c>
      <c r="W858">
        <v>9.5273581076699837E-2</v>
      </c>
      <c r="X858">
        <v>1.54209263859276E-2</v>
      </c>
      <c r="Y858">
        <v>4.3081019192821512E-3</v>
      </c>
    </row>
    <row r="859" spans="1:25" x14ac:dyDescent="0.25">
      <c r="A859" s="1096"/>
      <c r="B859" s="1455">
        <v>609</v>
      </c>
      <c r="C859" s="1100">
        <v>1.0148601273390196</v>
      </c>
      <c r="D859" s="1100">
        <v>0.97054516779002353</v>
      </c>
      <c r="E859" s="1100">
        <v>0.9998315499823941</v>
      </c>
      <c r="F859" s="1100">
        <v>0.97178354762230112</v>
      </c>
      <c r="G859" s="1100">
        <v>1.0026610750493934</v>
      </c>
      <c r="H859" s="1100">
        <v>0.9882844475950685</v>
      </c>
      <c r="I859" s="1100">
        <v>0.97307061086251179</v>
      </c>
      <c r="K859">
        <v>2.1628890390503859</v>
      </c>
      <c r="L859">
        <v>0</v>
      </c>
      <c r="M859">
        <v>1.5166401729894666E-3</v>
      </c>
      <c r="N859">
        <v>0.13781423012990268</v>
      </c>
      <c r="O859">
        <v>1.9591320375596296E-2</v>
      </c>
      <c r="P859">
        <v>2.5442167967622123E-2</v>
      </c>
      <c r="Q859">
        <v>5.4626666731191365E-3</v>
      </c>
      <c r="R859">
        <v>1.4950709464745381E-3</v>
      </c>
      <c r="S859">
        <v>0.23415401179017015</v>
      </c>
      <c r="T859">
        <v>1.3059443328470823</v>
      </c>
      <c r="U859">
        <v>0.14068159120428816</v>
      </c>
      <c r="V859">
        <v>0.18415832957086126</v>
      </c>
      <c r="W859">
        <v>9.0543645855238483E-2</v>
      </c>
      <c r="X859">
        <v>1.5049221596722843E-2</v>
      </c>
      <c r="Y859">
        <v>4.0690902662986438E-3</v>
      </c>
    </row>
    <row r="860" spans="1:25" x14ac:dyDescent="0.25">
      <c r="A860" s="1096"/>
      <c r="B860" s="1455">
        <v>610</v>
      </c>
      <c r="C860" s="1100">
        <v>1.0017333497408711</v>
      </c>
      <c r="D860" s="1100">
        <v>1.0197225414531292</v>
      </c>
      <c r="E860" s="1100">
        <v>0.97214962646928993</v>
      </c>
      <c r="F860" s="1100">
        <v>0.98291015674765425</v>
      </c>
      <c r="G860" s="1100">
        <v>1.0205439636293379</v>
      </c>
      <c r="H860" s="1100">
        <v>1.0016470667316628</v>
      </c>
      <c r="I860" s="1100">
        <v>0.98464096539321122</v>
      </c>
      <c r="K860">
        <v>2.1813853835091623</v>
      </c>
      <c r="L860">
        <v>0</v>
      </c>
      <c r="M860">
        <v>1.6312835785768749E-3</v>
      </c>
      <c r="N860">
        <v>0.13635333079927511</v>
      </c>
      <c r="O860">
        <v>1.9616235511018154E-2</v>
      </c>
      <c r="P860">
        <v>2.5187482622190133E-2</v>
      </c>
      <c r="Q860">
        <v>5.3183617096446206E-3</v>
      </c>
      <c r="R860">
        <v>1.6083934244097852E-3</v>
      </c>
      <c r="S860">
        <v>0.23502079645626295</v>
      </c>
      <c r="T860">
        <v>1.3208619938365411</v>
      </c>
      <c r="U860">
        <v>0.14246161244079072</v>
      </c>
      <c r="V860">
        <v>0.18692227695400671</v>
      </c>
      <c r="W860">
        <v>9.1086645402858282E-2</v>
      </c>
      <c r="X860">
        <v>1.4202021236244321E-2</v>
      </c>
      <c r="Y860">
        <v>4.3775166944935752E-3</v>
      </c>
    </row>
    <row r="861" spans="1:25" x14ac:dyDescent="0.25">
      <c r="A861" s="1096"/>
      <c r="B861" s="1455">
        <v>611</v>
      </c>
      <c r="C861" s="1100">
        <v>0.96738475038423677</v>
      </c>
      <c r="D861" s="1100">
        <v>0.96525366746663066</v>
      </c>
      <c r="E861" s="1100">
        <v>1.0104171306075487</v>
      </c>
      <c r="F861" s="1100">
        <v>1.0011460505440137</v>
      </c>
      <c r="G861" s="1100">
        <v>1.0048859576227938</v>
      </c>
      <c r="H861" s="1100">
        <v>1.0329748110804962</v>
      </c>
      <c r="I861" s="1100">
        <v>1.0007320371887893</v>
      </c>
      <c r="K861">
        <v>2.2637437195641552</v>
      </c>
      <c r="L861">
        <v>0</v>
      </c>
      <c r="M861">
        <v>1.6288307071882643E-3</v>
      </c>
      <c r="N861">
        <v>0.15291233734657439</v>
      </c>
      <c r="O861">
        <v>2.0584412971917244E-2</v>
      </c>
      <c r="P861">
        <v>2.6640152868779039E-2</v>
      </c>
      <c r="Q861">
        <v>5.8007945156991368E-3</v>
      </c>
      <c r="R861">
        <v>1.6066681334475127E-3</v>
      </c>
      <c r="S861">
        <v>0.2571450532442956</v>
      </c>
      <c r="T861">
        <v>1.3454215738624176</v>
      </c>
      <c r="U861">
        <v>0.14761089448881382</v>
      </c>
      <c r="V861">
        <v>0.18728829601152278</v>
      </c>
      <c r="W861">
        <v>9.9835523229720821E-2</v>
      </c>
      <c r="X861">
        <v>1.6154022576916765E-2</v>
      </c>
      <c r="Y861">
        <v>4.3728210212362834E-3</v>
      </c>
    </row>
    <row r="862" spans="1:25" x14ac:dyDescent="0.25">
      <c r="A862" s="1096"/>
      <c r="B862" s="1455">
        <v>612</v>
      </c>
      <c r="C862" s="1100">
        <v>1.0183170179848415</v>
      </c>
      <c r="D862" s="1100">
        <v>0.95720634106647484</v>
      </c>
      <c r="E862" s="1100">
        <v>0.99469570654515482</v>
      </c>
      <c r="F862" s="1100">
        <v>0.99751984145807293</v>
      </c>
      <c r="G862" s="1100">
        <v>0.99261164255511469</v>
      </c>
      <c r="H862" s="1100">
        <v>0.98160559174224771</v>
      </c>
      <c r="I862" s="1100">
        <v>1.0130673877317993</v>
      </c>
      <c r="K862">
        <v>2.2035563790392114</v>
      </c>
      <c r="L862">
        <v>0</v>
      </c>
      <c r="M862">
        <v>1.5219758201717476E-3</v>
      </c>
      <c r="N862">
        <v>0.13615592580304439</v>
      </c>
      <c r="O862">
        <v>1.9581169201557832E-2</v>
      </c>
      <c r="P862">
        <v>2.5924612819171182E-2</v>
      </c>
      <c r="Q862">
        <v>5.4316802181943657E-3</v>
      </c>
      <c r="R862">
        <v>1.5001834380251751E-3</v>
      </c>
      <c r="S862">
        <v>0.24407594020922907</v>
      </c>
      <c r="T862">
        <v>1.340522544341211</v>
      </c>
      <c r="U862">
        <v>0.14019241139635355</v>
      </c>
      <c r="V862">
        <v>0.1828195275339986</v>
      </c>
      <c r="W862">
        <v>8.9728209023933594E-2</v>
      </c>
      <c r="X862">
        <v>1.5063146091698227E-2</v>
      </c>
      <c r="Y862">
        <v>4.0830047829670917E-3</v>
      </c>
    </row>
    <row r="863" spans="1:25" x14ac:dyDescent="0.25">
      <c r="A863" s="1096"/>
      <c r="B863" s="1455">
        <v>613</v>
      </c>
      <c r="C863" s="1100">
        <v>1.0389099360618606</v>
      </c>
      <c r="D863" s="1100">
        <v>1.0077534953490603</v>
      </c>
      <c r="E863" s="1100">
        <v>1.0140968598571554</v>
      </c>
      <c r="F863" s="1100">
        <v>0.98637171819537495</v>
      </c>
      <c r="G863" s="1100">
        <v>0.98874723777983675</v>
      </c>
      <c r="H863" s="1100">
        <v>0.99190254688695967</v>
      </c>
      <c r="I863" s="1100">
        <v>1.0367746191495362</v>
      </c>
      <c r="K863">
        <v>2.1777332671701002</v>
      </c>
      <c r="L863">
        <v>0</v>
      </c>
      <c r="M863">
        <v>1.4316555962735917E-3</v>
      </c>
      <c r="N863">
        <v>0.13582534659166431</v>
      </c>
      <c r="O863">
        <v>1.898862911329785E-2</v>
      </c>
      <c r="P863">
        <v>2.597292645809374E-2</v>
      </c>
      <c r="Q863">
        <v>5.3707894626252696E-3</v>
      </c>
      <c r="R863">
        <v>1.4113692643667383E-3</v>
      </c>
      <c r="S863">
        <v>0.23955278560481058</v>
      </c>
      <c r="T863">
        <v>1.3255733629470254</v>
      </c>
      <c r="U863">
        <v>0.13745658914137704</v>
      </c>
      <c r="V863">
        <v>0.18124462131669042</v>
      </c>
      <c r="W863">
        <v>8.8487660644186616E-2</v>
      </c>
      <c r="X863">
        <v>1.5439560342382964E-2</v>
      </c>
      <c r="Y863">
        <v>3.8412818798533046E-3</v>
      </c>
    </row>
    <row r="864" spans="1:25" x14ac:dyDescent="0.25">
      <c r="A864" s="1096"/>
      <c r="B864" s="1455">
        <v>614</v>
      </c>
      <c r="C864" s="1100">
        <v>1.0246808477274039</v>
      </c>
      <c r="D864" s="1100">
        <v>0.99394800975995179</v>
      </c>
      <c r="E864" s="1100">
        <v>0.98255712413440599</v>
      </c>
      <c r="F864" s="1100">
        <v>0.99506691500678246</v>
      </c>
      <c r="G864" s="1100">
        <v>0.98856685507347353</v>
      </c>
      <c r="H864" s="1100">
        <v>0.97988988773610897</v>
      </c>
      <c r="I864" s="1100">
        <v>0.99293038997955596</v>
      </c>
      <c r="K864">
        <v>2.1804903154300459</v>
      </c>
      <c r="L864">
        <v>0</v>
      </c>
      <c r="M864">
        <v>1.5355335534416629E-3</v>
      </c>
      <c r="N864">
        <v>0.13241486502708832</v>
      </c>
      <c r="O864">
        <v>1.929157750494865E-2</v>
      </c>
      <c r="P864">
        <v>2.5472252293025216E-2</v>
      </c>
      <c r="Q864">
        <v>5.2860438862178593E-3</v>
      </c>
      <c r="R864">
        <v>1.5135085486368506E-3</v>
      </c>
      <c r="S864">
        <v>0.23304887577940944</v>
      </c>
      <c r="T864">
        <v>1.3372099328302189</v>
      </c>
      <c r="U864">
        <v>0.13929451532950934</v>
      </c>
      <c r="V864">
        <v>0.18199033733016623</v>
      </c>
      <c r="W864">
        <v>8.7900374151011818E-2</v>
      </c>
      <c r="X864">
        <v>1.4484294961822823E-2</v>
      </c>
      <c r="Y864">
        <v>4.1192713414305391E-3</v>
      </c>
    </row>
    <row r="865" spans="1:25" x14ac:dyDescent="0.25">
      <c r="A865" s="1096"/>
      <c r="B865" s="1455">
        <v>615</v>
      </c>
      <c r="C865" s="1100">
        <v>0.99231618009975397</v>
      </c>
      <c r="D865" s="1100">
        <v>1.0039694469392195</v>
      </c>
      <c r="E865" s="1100">
        <v>1.0053518961835455</v>
      </c>
      <c r="F865" s="1100">
        <v>1.0390931266527812</v>
      </c>
      <c r="G865" s="1100">
        <v>0.95846396607430551</v>
      </c>
      <c r="H865" s="1100">
        <v>0.97012725745835215</v>
      </c>
      <c r="I865" s="1100">
        <v>1.0127610559601252</v>
      </c>
      <c r="K865">
        <v>2.2649400820166425</v>
      </c>
      <c r="L865">
        <v>0</v>
      </c>
      <c r="M865">
        <v>1.4940850523968586E-3</v>
      </c>
      <c r="N865">
        <v>0.13801026753624418</v>
      </c>
      <c r="O865">
        <v>1.989118355596637E-2</v>
      </c>
      <c r="P865">
        <v>2.690926605723137E-2</v>
      </c>
      <c r="Q865">
        <v>5.5770949779044851E-3</v>
      </c>
      <c r="R865">
        <v>1.4724389060305273E-3</v>
      </c>
      <c r="S865">
        <v>0.24360431140897654</v>
      </c>
      <c r="T865">
        <v>1.3964086666713103</v>
      </c>
      <c r="U865">
        <v>0.14389048082761455</v>
      </c>
      <c r="V865">
        <v>0.1804954554788715</v>
      </c>
      <c r="W865">
        <v>9.0376039655021181E-2</v>
      </c>
      <c r="X865">
        <v>1.5791468681006345E-2</v>
      </c>
      <c r="Y865">
        <v>4.0074933128601735E-3</v>
      </c>
    </row>
    <row r="866" spans="1:25" x14ac:dyDescent="0.25">
      <c r="A866" s="1096"/>
      <c r="B866" s="1455">
        <v>616</v>
      </c>
      <c r="C866" s="1100">
        <v>1.0221594398639569</v>
      </c>
      <c r="D866" s="1100">
        <v>1.0423175318537943</v>
      </c>
      <c r="E866" s="1100">
        <v>0.99190136938785778</v>
      </c>
      <c r="F866" s="1100">
        <v>0.97729663525374622</v>
      </c>
      <c r="G866" s="1100">
        <v>1.005307192501754</v>
      </c>
      <c r="H866" s="1100">
        <v>1.0110097635437054</v>
      </c>
      <c r="I866" s="1100">
        <v>1.0039058406854251</v>
      </c>
      <c r="K866">
        <v>2.1659204245943329</v>
      </c>
      <c r="L866">
        <v>0</v>
      </c>
      <c r="M866">
        <v>1.5415809278352868E-3</v>
      </c>
      <c r="N866">
        <v>0.13680763055747514</v>
      </c>
      <c r="O866">
        <v>1.914369852491871E-2</v>
      </c>
      <c r="P866">
        <v>2.536307749839874E-2</v>
      </c>
      <c r="Q866">
        <v>5.2953787967922562E-3</v>
      </c>
      <c r="R866">
        <v>1.5201498035020162E-3</v>
      </c>
      <c r="S866">
        <v>0.23317386480153568</v>
      </c>
      <c r="T866">
        <v>1.3133415276921589</v>
      </c>
      <c r="U866">
        <v>0.1396591237277422</v>
      </c>
      <c r="V866">
        <v>0.18403326253764513</v>
      </c>
      <c r="W866">
        <v>9.0308344000744792E-2</v>
      </c>
      <c r="X866">
        <v>1.4678600933368102E-2</v>
      </c>
      <c r="Y866">
        <v>4.1373466478844415E-3</v>
      </c>
    </row>
    <row r="867" spans="1:25" x14ac:dyDescent="0.25">
      <c r="A867" s="1096"/>
      <c r="B867" s="1455">
        <v>617</v>
      </c>
      <c r="C867" s="1100">
        <v>0.98593972490575055</v>
      </c>
      <c r="D867" s="1100">
        <v>1.0128429666445249</v>
      </c>
      <c r="E867" s="1100">
        <v>0.96980183098195483</v>
      </c>
      <c r="F867" s="1100">
        <v>1.0136934812318565</v>
      </c>
      <c r="G867" s="1100">
        <v>0.99495659043502915</v>
      </c>
      <c r="H867" s="1100">
        <v>1.0101316696571625</v>
      </c>
      <c r="I867" s="1100">
        <v>1.0489981683461314</v>
      </c>
      <c r="K867">
        <v>2.2512471220559052</v>
      </c>
      <c r="L867">
        <v>0</v>
      </c>
      <c r="M867">
        <v>1.6820798327651001E-3</v>
      </c>
      <c r="N867">
        <v>0.13962001674358676</v>
      </c>
      <c r="O867">
        <v>1.9958692595782115E-2</v>
      </c>
      <c r="P867">
        <v>2.5977493861888273E-2</v>
      </c>
      <c r="Q867">
        <v>5.3982465442581166E-3</v>
      </c>
      <c r="R867">
        <v>1.6586751589173952E-3</v>
      </c>
      <c r="S867">
        <v>0.25595102146929549</v>
      </c>
      <c r="T867">
        <v>1.3622272089673577</v>
      </c>
      <c r="U867">
        <v>0.14473822767101466</v>
      </c>
      <c r="V867">
        <v>0.18497601727579904</v>
      </c>
      <c r="W867">
        <v>9.3402122501673471E-2</v>
      </c>
      <c r="X867">
        <v>1.4507112098641688E-2</v>
      </c>
      <c r="Y867">
        <v>4.5143670004539642E-3</v>
      </c>
    </row>
    <row r="868" spans="1:25" x14ac:dyDescent="0.25">
      <c r="A868" s="1096"/>
      <c r="B868" s="1455">
        <v>618</v>
      </c>
      <c r="C868" s="1100">
        <v>1.0122235280905061</v>
      </c>
      <c r="D868" s="1100">
        <v>1.0119817546850702</v>
      </c>
      <c r="E868" s="1100">
        <v>0.97823454484450512</v>
      </c>
      <c r="F868" s="1100">
        <v>0.95695080694485823</v>
      </c>
      <c r="G868" s="1100">
        <v>1.0426427553522675</v>
      </c>
      <c r="H868" s="1100">
        <v>1.0403733845226071</v>
      </c>
      <c r="I868" s="1100">
        <v>0.97402635813403282</v>
      </c>
      <c r="K868">
        <v>2.1533213637981481</v>
      </c>
      <c r="L868">
        <v>0</v>
      </c>
      <c r="M868">
        <v>1.6586223648816793E-3</v>
      </c>
      <c r="N868">
        <v>0.1412903141585066</v>
      </c>
      <c r="O868">
        <v>1.9449244267804647E-2</v>
      </c>
      <c r="P868">
        <v>2.4828127773512378E-2</v>
      </c>
      <c r="Q868">
        <v>5.3058884712384154E-3</v>
      </c>
      <c r="R868">
        <v>1.6362149239249649E-3</v>
      </c>
      <c r="S868">
        <v>0.23397065154127439</v>
      </c>
      <c r="T868">
        <v>1.2859832012086192</v>
      </c>
      <c r="U868">
        <v>0.14099899625519485</v>
      </c>
      <c r="V868">
        <v>0.18881189744869675</v>
      </c>
      <c r="W868">
        <v>9.403717162129642E-2</v>
      </c>
      <c r="X868">
        <v>1.4215040848142438E-2</v>
      </c>
      <c r="Y868">
        <v>4.4532376448190442E-3</v>
      </c>
    </row>
    <row r="869" spans="1:25" x14ac:dyDescent="0.25">
      <c r="A869" s="1096"/>
      <c r="B869" s="1455">
        <v>619</v>
      </c>
      <c r="C869" s="1100">
        <v>0.99318460434449518</v>
      </c>
      <c r="D869" s="1100">
        <v>0.99758543833411684</v>
      </c>
      <c r="E869" s="1100">
        <v>0.9728536485785132</v>
      </c>
      <c r="F869" s="1100">
        <v>1.0073486333299255</v>
      </c>
      <c r="G869" s="1100">
        <v>0.99829828288528444</v>
      </c>
      <c r="H869" s="1100">
        <v>1.0289130571466787</v>
      </c>
      <c r="I869" s="1100">
        <v>1.0174286281771485</v>
      </c>
      <c r="K869">
        <v>2.2393304269377783</v>
      </c>
      <c r="L869">
        <v>0</v>
      </c>
      <c r="M869">
        <v>1.6958253553940237E-3</v>
      </c>
      <c r="N869">
        <v>0.14210415739147836</v>
      </c>
      <c r="O869">
        <v>1.9881286217997625E-2</v>
      </c>
      <c r="P869">
        <v>2.5828172957977267E-2</v>
      </c>
      <c r="Q869">
        <v>5.3940969620459413E-3</v>
      </c>
      <c r="R869">
        <v>1.6726601357308377E-3</v>
      </c>
      <c r="S869">
        <v>0.24986894238827201</v>
      </c>
      <c r="T869">
        <v>1.3537037991433039</v>
      </c>
      <c r="U869">
        <v>0.14368946242847738</v>
      </c>
      <c r="V869">
        <v>0.18491763240019327</v>
      </c>
      <c r="W869">
        <v>9.4887721527265129E-2</v>
      </c>
      <c r="X869">
        <v>1.4525891243237244E-2</v>
      </c>
      <c r="Y869">
        <v>4.5524294971937863E-3</v>
      </c>
    </row>
    <row r="870" spans="1:25" x14ac:dyDescent="0.25">
      <c r="A870" s="1096"/>
      <c r="B870" s="1455">
        <v>620</v>
      </c>
      <c r="C870" s="1100">
        <v>1.0142769032431065</v>
      </c>
      <c r="D870" s="1100">
        <v>0.98981389726262137</v>
      </c>
      <c r="E870" s="1100">
        <v>1.0342491900099848</v>
      </c>
      <c r="F870" s="1100">
        <v>0.98261905291180374</v>
      </c>
      <c r="G870" s="1100">
        <v>1.0165178236985046</v>
      </c>
      <c r="H870" s="1100">
        <v>0.97066104092371763</v>
      </c>
      <c r="I870" s="1100">
        <v>1.0026244290323754</v>
      </c>
      <c r="K870">
        <v>2.1855301829550569</v>
      </c>
      <c r="L870">
        <v>0</v>
      </c>
      <c r="M870">
        <v>1.3815075299524731E-3</v>
      </c>
      <c r="N870">
        <v>0.1392367422558167</v>
      </c>
      <c r="O870">
        <v>1.9539287972929476E-2</v>
      </c>
      <c r="P870">
        <v>2.6375427216971177E-2</v>
      </c>
      <c r="Q870">
        <v>5.6381179817381463E-3</v>
      </c>
      <c r="R870">
        <v>1.3615034015082858E-3</v>
      </c>
      <c r="S870">
        <v>0.23789221448182585</v>
      </c>
      <c r="T870">
        <v>1.3205720139617889</v>
      </c>
      <c r="U870">
        <v>0.14084081267769849</v>
      </c>
      <c r="V870">
        <v>0.18578889479164512</v>
      </c>
      <c r="W870">
        <v>8.9650358999092281E-2</v>
      </c>
      <c r="X870">
        <v>1.631075330456682E-2</v>
      </c>
      <c r="Y870">
        <v>3.7055634394298699E-3</v>
      </c>
    </row>
    <row r="871" spans="1:25" x14ac:dyDescent="0.25">
      <c r="A871" s="1096"/>
      <c r="B871" s="1455">
        <v>621</v>
      </c>
      <c r="C871" s="1100">
        <v>0.99774453865120494</v>
      </c>
      <c r="D871" s="1100">
        <v>1.020622007616639</v>
      </c>
      <c r="E871" s="1100">
        <v>0.97504326310932421</v>
      </c>
      <c r="F871" s="1100">
        <v>0.99887368983893077</v>
      </c>
      <c r="G871" s="1100">
        <v>0.97821691225947771</v>
      </c>
      <c r="H871" s="1100">
        <v>0.96418230730493348</v>
      </c>
      <c r="I871" s="1100">
        <v>1.010007977447017</v>
      </c>
      <c r="K871">
        <v>2.195931417390967</v>
      </c>
      <c r="L871">
        <v>0</v>
      </c>
      <c r="M871">
        <v>1.5668467968582328E-3</v>
      </c>
      <c r="N871">
        <v>0.13204644162513493</v>
      </c>
      <c r="O871">
        <v>1.9692633879476736E-2</v>
      </c>
      <c r="P871">
        <v>2.5529697344722664E-2</v>
      </c>
      <c r="Q871">
        <v>5.3548569258065181E-3</v>
      </c>
      <c r="R871">
        <v>1.5440065205704746E-3</v>
      </c>
      <c r="S871">
        <v>0.23893245143956177</v>
      </c>
      <c r="T871">
        <v>1.3423171608361486</v>
      </c>
      <c r="U871">
        <v>0.14303779803324482</v>
      </c>
      <c r="V871">
        <v>0.18237653205059906</v>
      </c>
      <c r="W871">
        <v>8.8054788044918259E-2</v>
      </c>
      <c r="X871">
        <v>1.4409620720259737E-2</v>
      </c>
      <c r="Y871">
        <v>4.2022767673801174E-3</v>
      </c>
    </row>
    <row r="872" spans="1:25" x14ac:dyDescent="0.25">
      <c r="A872" s="1096"/>
      <c r="B872" s="1455">
        <v>622</v>
      </c>
      <c r="C872" s="1100">
        <v>1.0160964791391873</v>
      </c>
      <c r="D872" s="1100">
        <v>1.0099806223869878</v>
      </c>
      <c r="E872" s="1100">
        <v>1.0357151737379886</v>
      </c>
      <c r="F872" s="1100">
        <v>1.0244621653801433</v>
      </c>
      <c r="G872" s="1100">
        <v>0.96907577678486334</v>
      </c>
      <c r="H872" s="1100">
        <v>1.0286844814517733</v>
      </c>
      <c r="I872" s="1100">
        <v>1.0080437936847693</v>
      </c>
      <c r="K872">
        <v>2.2529479530025336</v>
      </c>
      <c r="L872">
        <v>0</v>
      </c>
      <c r="M872">
        <v>1.4505566352911172E-3</v>
      </c>
      <c r="N872">
        <v>0.14696490624777034</v>
      </c>
      <c r="O872">
        <v>1.9418847555948041E-2</v>
      </c>
      <c r="P872">
        <v>2.7154047235802996E-2</v>
      </c>
      <c r="Q872">
        <v>5.6114698175074957E-3</v>
      </c>
      <c r="R872">
        <v>1.4307374189335852E-3</v>
      </c>
      <c r="S872">
        <v>0.24096621325092135</v>
      </c>
      <c r="T872">
        <v>1.3768097776002495</v>
      </c>
      <c r="U872">
        <v>0.14059194093175367</v>
      </c>
      <c r="V872">
        <v>0.18032320419935896</v>
      </c>
      <c r="W872">
        <v>9.4546115886533499E-2</v>
      </c>
      <c r="X872">
        <v>1.6687253881172325E-2</v>
      </c>
      <c r="Y872">
        <v>3.8939956118738224E-3</v>
      </c>
    </row>
    <row r="873" spans="1:25" x14ac:dyDescent="0.25">
      <c r="A873" s="1096"/>
      <c r="B873" s="1455">
        <v>623</v>
      </c>
      <c r="C873" s="1100">
        <v>0.99434197373426436</v>
      </c>
      <c r="D873" s="1100">
        <v>0.97687344422748568</v>
      </c>
      <c r="E873" s="1100">
        <v>0.98794401883183025</v>
      </c>
      <c r="F873" s="1100">
        <v>0.99056033521579545</v>
      </c>
      <c r="G873" s="1100">
        <v>0.98235158952853485</v>
      </c>
      <c r="H873" s="1100">
        <v>1.0069590136113333</v>
      </c>
      <c r="I873" s="1100">
        <v>0.99095479451371504</v>
      </c>
      <c r="K873">
        <v>2.2073794816026799</v>
      </c>
      <c r="L873">
        <v>0</v>
      </c>
      <c r="M873">
        <v>1.6142122279051432E-3</v>
      </c>
      <c r="N873">
        <v>0.1415414759117764</v>
      </c>
      <c r="O873">
        <v>1.9959516496419367E-2</v>
      </c>
      <c r="P873">
        <v>2.5714435241553917E-2</v>
      </c>
      <c r="Q873">
        <v>5.4990031651306354E-3</v>
      </c>
      <c r="R873">
        <v>1.5916811060714289E-3</v>
      </c>
      <c r="S873">
        <v>0.2439908749835753</v>
      </c>
      <c r="T873">
        <v>1.3311605907133712</v>
      </c>
      <c r="U873">
        <v>0.1435570447098457</v>
      </c>
      <c r="V873">
        <v>0.18305838668404326</v>
      </c>
      <c r="W873">
        <v>9.3654989602624014E-2</v>
      </c>
      <c r="X873">
        <v>1.493366394298014E-2</v>
      </c>
      <c r="Y873">
        <v>4.3320312731908268E-3</v>
      </c>
    </row>
    <row r="874" spans="1:25" x14ac:dyDescent="0.25">
      <c r="A874" s="1096"/>
      <c r="B874" s="1455">
        <v>624</v>
      </c>
      <c r="C874" s="1100">
        <v>0.99294476809963594</v>
      </c>
      <c r="D874" s="1100">
        <v>1.0013673656103832</v>
      </c>
      <c r="E874" s="1100">
        <v>1.0302422997893543</v>
      </c>
      <c r="F874" s="1100">
        <v>0.9676021235705502</v>
      </c>
      <c r="G874" s="1100">
        <v>1.0029480791773431</v>
      </c>
      <c r="H874" s="1100">
        <v>0.97825845876669904</v>
      </c>
      <c r="I874" s="1100">
        <v>1.0054108839988576</v>
      </c>
      <c r="K874">
        <v>2.1788190184942926</v>
      </c>
      <c r="L874">
        <v>0</v>
      </c>
      <c r="M874">
        <v>1.4305046657013339E-3</v>
      </c>
      <c r="N874">
        <v>0.14246048613898968</v>
      </c>
      <c r="O874">
        <v>1.9905640612544354E-2</v>
      </c>
      <c r="P874">
        <v>2.6124663298653913E-2</v>
      </c>
      <c r="Q874">
        <v>5.7211483099991137E-3</v>
      </c>
      <c r="R874">
        <v>1.4099519297044625E-3</v>
      </c>
      <c r="S874">
        <v>0.24284895424586048</v>
      </c>
      <c r="T874">
        <v>1.3003814479135918</v>
      </c>
      <c r="U874">
        <v>0.14385725982021205</v>
      </c>
      <c r="V874">
        <v>0.18550863233677253</v>
      </c>
      <c r="W874">
        <v>9.1939248713836838E-2</v>
      </c>
      <c r="X874">
        <v>1.6254665477702889E-2</v>
      </c>
      <c r="Y874">
        <v>3.8374243621268353E-3</v>
      </c>
    </row>
    <row r="875" spans="1:25" x14ac:dyDescent="0.25">
      <c r="A875" s="1096"/>
      <c r="B875" s="1455">
        <v>625</v>
      </c>
      <c r="C875" s="1100">
        <v>0.9986219032224779</v>
      </c>
      <c r="D875" s="1100">
        <v>0.99163687997735528</v>
      </c>
      <c r="E875" s="1100">
        <v>0.96733843603378855</v>
      </c>
      <c r="F875" s="1100">
        <v>1.0185757785477809</v>
      </c>
      <c r="G875" s="1100">
        <v>0.9855337082195641</v>
      </c>
      <c r="H875" s="1100">
        <v>0.99214695904589512</v>
      </c>
      <c r="I875" s="1100">
        <v>1.0116656897356475</v>
      </c>
      <c r="K875">
        <v>2.2358778262925365</v>
      </c>
      <c r="L875">
        <v>0</v>
      </c>
      <c r="M875">
        <v>1.6471141888962234E-3</v>
      </c>
      <c r="N875">
        <v>0.13566693052188808</v>
      </c>
      <c r="O875">
        <v>1.9795631062783065E-2</v>
      </c>
      <c r="P875">
        <v>2.5818424215304302E-2</v>
      </c>
      <c r="Q875">
        <v>5.3406688118418262E-3</v>
      </c>
      <c r="R875">
        <v>1.6237805926003501E-3</v>
      </c>
      <c r="S875">
        <v>0.24480582081924832</v>
      </c>
      <c r="T875">
        <v>1.3687859036003716</v>
      </c>
      <c r="U875">
        <v>0.14289444830022727</v>
      </c>
      <c r="V875">
        <v>0.18314498904140272</v>
      </c>
      <c r="W875">
        <v>9.0893941898049627E-2</v>
      </c>
      <c r="X875">
        <v>1.4335006123785198E-2</v>
      </c>
      <c r="Y875">
        <v>4.4193954939296615E-3</v>
      </c>
    </row>
    <row r="876" spans="1:25" x14ac:dyDescent="0.25">
      <c r="A876" s="1096"/>
      <c r="B876" s="1455">
        <v>626</v>
      </c>
      <c r="C876" s="1100">
        <v>0.98507865729541988</v>
      </c>
      <c r="D876" s="1100">
        <v>0.97203642110511856</v>
      </c>
      <c r="E876" s="1100">
        <v>1.0066137317853776</v>
      </c>
      <c r="F876" s="1100">
        <v>0.98021947288390765</v>
      </c>
      <c r="G876" s="1100">
        <v>1.0113572806192048</v>
      </c>
      <c r="H876" s="1100">
        <v>1.002236227074117</v>
      </c>
      <c r="I876" s="1100">
        <v>0.96803299686807742</v>
      </c>
      <c r="K876">
        <v>2.2013631503065008</v>
      </c>
      <c r="L876">
        <v>0</v>
      </c>
      <c r="M876">
        <v>1.5618755848798632E-3</v>
      </c>
      <c r="N876">
        <v>0.14489117394617532</v>
      </c>
      <c r="O876">
        <v>2.018113013302528E-2</v>
      </c>
      <c r="P876">
        <v>2.5915983785796834E-2</v>
      </c>
      <c r="Q876">
        <v>5.6655480259837831E-3</v>
      </c>
      <c r="R876">
        <v>1.5399722463153912E-3</v>
      </c>
      <c r="S876">
        <v>0.24095602053641202</v>
      </c>
      <c r="T876">
        <v>1.3172921125267079</v>
      </c>
      <c r="U876">
        <v>0.14495061798153497</v>
      </c>
      <c r="V876">
        <v>0.18691464425930876</v>
      </c>
      <c r="W876">
        <v>9.4811205275032048E-2</v>
      </c>
      <c r="X876">
        <v>1.5615320372329459E-2</v>
      </c>
      <c r="Y876">
        <v>4.1912968027559318E-3</v>
      </c>
    </row>
    <row r="877" spans="1:25" x14ac:dyDescent="0.25">
      <c r="A877" s="1096"/>
      <c r="B877" s="1455">
        <v>627</v>
      </c>
      <c r="C877" s="1100">
        <v>0.98347643715644895</v>
      </c>
      <c r="D877" s="1100">
        <v>0.97574241581180599</v>
      </c>
      <c r="E877" s="1100">
        <v>1.0451039208423012</v>
      </c>
      <c r="F877" s="1100">
        <v>0.95773858628374986</v>
      </c>
      <c r="G877" s="1100">
        <v>1.0120702701948994</v>
      </c>
      <c r="H877" s="1100">
        <v>0.99729069243641355</v>
      </c>
      <c r="I877" s="1100">
        <v>0.98756966771491905</v>
      </c>
      <c r="K877">
        <v>2.1836380272042324</v>
      </c>
      <c r="L877">
        <v>0</v>
      </c>
      <c r="M877">
        <v>1.4355911113634247E-3</v>
      </c>
      <c r="N877">
        <v>0.14955563671109057</v>
      </c>
      <c r="O877">
        <v>2.0221768264739839E-2</v>
      </c>
      <c r="P877">
        <v>2.6302096842367957E-2</v>
      </c>
      <c r="Q877">
        <v>5.8976740068573284E-3</v>
      </c>
      <c r="R877">
        <v>1.4153589177800679E-3</v>
      </c>
      <c r="S877">
        <v>0.24564919816427308</v>
      </c>
      <c r="T877">
        <v>1.287159752705586</v>
      </c>
      <c r="U877">
        <v>0.14527721918488562</v>
      </c>
      <c r="V877">
        <v>0.18712937631446877</v>
      </c>
      <c r="W877">
        <v>9.5694104774733793E-2</v>
      </c>
      <c r="X877">
        <v>1.6919292027557473E-2</v>
      </c>
      <c r="Y877">
        <v>3.8521404012554928E-3</v>
      </c>
    </row>
    <row r="878" spans="1:25" x14ac:dyDescent="0.25">
      <c r="A878" s="1096"/>
      <c r="B878" s="1455">
        <v>628</v>
      </c>
      <c r="C878" s="1100">
        <v>0.98545258998074847</v>
      </c>
      <c r="D878" s="1100">
        <v>0.98848080471605226</v>
      </c>
      <c r="E878" s="1100">
        <v>0.98079012291054257</v>
      </c>
      <c r="F878" s="1100">
        <v>1.0163030305680461</v>
      </c>
      <c r="G878" s="1100">
        <v>1.0098725703668181</v>
      </c>
      <c r="H878" s="1100">
        <v>1.0262753422118656</v>
      </c>
      <c r="I878" s="1100">
        <v>1.0286414376082507</v>
      </c>
      <c r="K878">
        <v>2.2642584190499884</v>
      </c>
      <c r="L878">
        <v>0</v>
      </c>
      <c r="M878">
        <v>1.680401447690184E-3</v>
      </c>
      <c r="N878">
        <v>0.14422961079803537</v>
      </c>
      <c r="O878">
        <v>2.0082760447813597E-2</v>
      </c>
      <c r="P878">
        <v>2.6263280926347027E-2</v>
      </c>
      <c r="Q878">
        <v>5.4929693214896165E-3</v>
      </c>
      <c r="R878">
        <v>1.6573879235139291E-3</v>
      </c>
      <c r="S878">
        <v>0.25561043747034562</v>
      </c>
      <c r="T878">
        <v>1.3657457181765844</v>
      </c>
      <c r="U878">
        <v>0.14483534496009121</v>
      </c>
      <c r="V878">
        <v>0.18670124508648367</v>
      </c>
      <c r="W878">
        <v>9.5845377508665064E-2</v>
      </c>
      <c r="X878">
        <v>1.4963824308284681E-2</v>
      </c>
      <c r="Y878">
        <v>4.5108635700227655E-3</v>
      </c>
    </row>
    <row r="879" spans="1:25" x14ac:dyDescent="0.25">
      <c r="A879" s="1096"/>
      <c r="B879" s="1455">
        <v>629</v>
      </c>
      <c r="C879" s="1100">
        <v>1.0129886343280436</v>
      </c>
      <c r="D879" s="1100">
        <v>1.0133492382236968</v>
      </c>
      <c r="E879" s="1100">
        <v>0.9845331300786182</v>
      </c>
      <c r="F879" s="1100">
        <v>0.99934610360905418</v>
      </c>
      <c r="G879" s="1100">
        <v>0.98787454847122413</v>
      </c>
      <c r="H879" s="1100">
        <v>0.98864943181686238</v>
      </c>
      <c r="I879" s="1100">
        <v>1.0185327821636145</v>
      </c>
      <c r="K879">
        <v>2.2002008545188683</v>
      </c>
      <c r="L879">
        <v>0</v>
      </c>
      <c r="M879">
        <v>1.5541247861782599E-3</v>
      </c>
      <c r="N879">
        <v>0.13483888715442319</v>
      </c>
      <c r="O879">
        <v>1.943264272210914E-2</v>
      </c>
      <c r="P879">
        <v>2.5714271107541035E-2</v>
      </c>
      <c r="Q879">
        <v>5.3353806700080116E-3</v>
      </c>
      <c r="R879">
        <v>1.5320306237379604E-3</v>
      </c>
      <c r="S879">
        <v>0.24020903852315323</v>
      </c>
      <c r="T879">
        <v>1.3429629080368402</v>
      </c>
      <c r="U879">
        <v>0.14090677291838472</v>
      </c>
      <c r="V879">
        <v>0.18258179810670261</v>
      </c>
      <c r="W879">
        <v>8.9403065908372686E-2</v>
      </c>
      <c r="X879">
        <v>1.46685012097168E-2</v>
      </c>
      <c r="Y879">
        <v>4.1696823240553425E-3</v>
      </c>
    </row>
    <row r="880" spans="1:25" x14ac:dyDescent="0.25">
      <c r="A880" s="1096"/>
      <c r="B880" s="1455">
        <v>630</v>
      </c>
      <c r="C880" s="1100">
        <v>0.99055961660681702</v>
      </c>
      <c r="D880" s="1100">
        <v>0.99711626347531568</v>
      </c>
      <c r="E880" s="1100">
        <v>0.97716498856352996</v>
      </c>
      <c r="F880" s="1100">
        <v>0.97575393985484593</v>
      </c>
      <c r="G880" s="1100">
        <v>1.0394359534573125</v>
      </c>
      <c r="H880" s="1100">
        <v>1.0095844291892448</v>
      </c>
      <c r="I880" s="1100">
        <v>0.9802886774063414</v>
      </c>
      <c r="K880">
        <v>2.1883811638577986</v>
      </c>
      <c r="L880">
        <v>0</v>
      </c>
      <c r="M880">
        <v>1.6537535482868914E-3</v>
      </c>
      <c r="N880">
        <v>0.14036168752655032</v>
      </c>
      <c r="O880">
        <v>1.9938744423549332E-2</v>
      </c>
      <c r="P880">
        <v>2.5280530646329742E-2</v>
      </c>
      <c r="Q880">
        <v>5.4335099745379395E-3</v>
      </c>
      <c r="R880">
        <v>1.6307305372294178E-3</v>
      </c>
      <c r="S880">
        <v>0.23994225156665777</v>
      </c>
      <c r="T880">
        <v>1.3112503420987174</v>
      </c>
      <c r="U880">
        <v>0.14408022035970272</v>
      </c>
      <c r="V880">
        <v>0.18972981755014884</v>
      </c>
      <c r="W880">
        <v>9.3479576850317506E-2</v>
      </c>
      <c r="X880">
        <v>1.4469194920181996E-2</v>
      </c>
      <c r="Y880">
        <v>4.4383109521613524E-3</v>
      </c>
    </row>
    <row r="881" spans="1:25" x14ac:dyDescent="0.25">
      <c r="A881" s="1096"/>
      <c r="B881" s="1455">
        <v>631</v>
      </c>
      <c r="C881" s="1100">
        <v>1.0000177248067175</v>
      </c>
      <c r="D881" s="1100">
        <v>0.97638384089635888</v>
      </c>
      <c r="E881" s="1100">
        <v>0.99586137609690195</v>
      </c>
      <c r="F881" s="1100">
        <v>1.0268963690429214</v>
      </c>
      <c r="G881" s="1100">
        <v>1.0069012406650755</v>
      </c>
      <c r="H881" s="1100">
        <v>1.0051879903791698</v>
      </c>
      <c r="I881" s="1100">
        <v>1.0059656350060471</v>
      </c>
      <c r="K881">
        <v>2.2609090686928583</v>
      </c>
      <c r="L881">
        <v>0</v>
      </c>
      <c r="M881">
        <v>1.5763356137689843E-3</v>
      </c>
      <c r="N881">
        <v>0.14156486119569456</v>
      </c>
      <c r="O881">
        <v>1.9853387591251926E-2</v>
      </c>
      <c r="P881">
        <v>2.6585358816976132E-2</v>
      </c>
      <c r="Q881">
        <v>5.5136652180880989E-3</v>
      </c>
      <c r="R881">
        <v>1.554294406766323E-3</v>
      </c>
      <c r="S881">
        <v>0.24626103076458536</v>
      </c>
      <c r="T881">
        <v>1.3800021358803691</v>
      </c>
      <c r="U881">
        <v>0.14276046965882699</v>
      </c>
      <c r="V881">
        <v>0.1855017527895978</v>
      </c>
      <c r="W881">
        <v>9.3227902098468235E-2</v>
      </c>
      <c r="X881">
        <v>1.5430268883797013E-2</v>
      </c>
      <c r="Y881">
        <v>4.2302770022044443E-3</v>
      </c>
    </row>
    <row r="882" spans="1:25" x14ac:dyDescent="0.25">
      <c r="A882" s="1096"/>
      <c r="B882" s="1455">
        <v>632</v>
      </c>
      <c r="C882" s="1100">
        <v>1.0048655376743558</v>
      </c>
      <c r="D882" s="1100">
        <v>0.98558872443828871</v>
      </c>
      <c r="E882" s="1100">
        <v>0.99238237597811574</v>
      </c>
      <c r="F882" s="1100">
        <v>0.9720658616109763</v>
      </c>
      <c r="G882" s="1100">
        <v>1.01176642399466</v>
      </c>
      <c r="H882" s="1100">
        <v>1.0072810395175984</v>
      </c>
      <c r="I882" s="1100">
        <v>1.0067014694282197</v>
      </c>
      <c r="K882">
        <v>2.1812544749132661</v>
      </c>
      <c r="L882">
        <v>0</v>
      </c>
      <c r="M882">
        <v>1.5801069777735531E-3</v>
      </c>
      <c r="N882">
        <v>0.14042334365132333</v>
      </c>
      <c r="O882">
        <v>1.9714696132240875E-2</v>
      </c>
      <c r="P882">
        <v>2.5483216213509196E-2</v>
      </c>
      <c r="Q882">
        <v>5.4559724662207286E-3</v>
      </c>
      <c r="R882">
        <v>1.5580589468824838E-3</v>
      </c>
      <c r="S882">
        <v>0.24424443845882901</v>
      </c>
      <c r="T882">
        <v>1.3063128091859724</v>
      </c>
      <c r="U882">
        <v>0.14206378105494416</v>
      </c>
      <c r="V882">
        <v>0.18576252808453267</v>
      </c>
      <c r="W882">
        <v>9.2668457956825795E-2</v>
      </c>
      <c r="X882">
        <v>1.4906756900335359E-2</v>
      </c>
      <c r="Y882">
        <v>4.240522839420318E-3</v>
      </c>
    </row>
    <row r="883" spans="1:25" x14ac:dyDescent="0.25">
      <c r="A883" s="1096"/>
      <c r="B883" s="1455">
        <v>633</v>
      </c>
      <c r="C883" s="1100">
        <v>0.97589295237948326</v>
      </c>
      <c r="D883" s="1100">
        <v>1.0114421267628477</v>
      </c>
      <c r="E883" s="1100">
        <v>1.0298054933806953</v>
      </c>
      <c r="F883" s="1100">
        <v>1.0462869747385712</v>
      </c>
      <c r="G883" s="1100">
        <v>1.0157384781127445</v>
      </c>
      <c r="H883" s="1100">
        <v>0.9666596537660771</v>
      </c>
      <c r="I883" s="1100">
        <v>1.0034789211058648</v>
      </c>
      <c r="K883">
        <v>2.2943589017647397</v>
      </c>
      <c r="L883">
        <v>0</v>
      </c>
      <c r="M883">
        <v>1.436385447149744E-3</v>
      </c>
      <c r="N883">
        <v>0.1428329154793497</v>
      </c>
      <c r="O883">
        <v>2.0208616164963032E-2</v>
      </c>
      <c r="P883">
        <v>2.7682865526292049E-2</v>
      </c>
      <c r="Q883">
        <v>5.8057197369036509E-3</v>
      </c>
      <c r="R883">
        <v>1.4155005961688834E-3</v>
      </c>
      <c r="S883">
        <v>0.24442873226897252</v>
      </c>
      <c r="T883">
        <v>1.4061267013851015</v>
      </c>
      <c r="U883">
        <v>0.14636984817344503</v>
      </c>
      <c r="V883">
        <v>0.18799834215230596</v>
      </c>
      <c r="W883">
        <v>9.2202977363717617E-2</v>
      </c>
      <c r="X883">
        <v>1.6870542361543287E-2</v>
      </c>
      <c r="Y883">
        <v>3.8525260031255807E-3</v>
      </c>
    </row>
    <row r="884" spans="1:25" x14ac:dyDescent="0.25">
      <c r="A884" s="1096"/>
      <c r="B884" s="1455">
        <v>634</v>
      </c>
      <c r="C884" s="1100">
        <v>0.9950760748590356</v>
      </c>
      <c r="D884" s="1100">
        <v>1.0042897265302002</v>
      </c>
      <c r="E884" s="1100">
        <v>1.0026827171713311</v>
      </c>
      <c r="F884" s="1100">
        <v>0.97330899066165077</v>
      </c>
      <c r="G884" s="1100">
        <v>0.98909254543032088</v>
      </c>
      <c r="H884" s="1100">
        <v>0.99642895084037231</v>
      </c>
      <c r="I884" s="1100">
        <v>1.0206843914367065</v>
      </c>
      <c r="K884">
        <v>2.1862967963637385</v>
      </c>
      <c r="L884">
        <v>0</v>
      </c>
      <c r="M884">
        <v>1.5387296262630551E-3</v>
      </c>
      <c r="N884">
        <v>0.14104759842890779</v>
      </c>
      <c r="O884">
        <v>1.9832947369696433E-2</v>
      </c>
      <c r="P884">
        <v>2.5732335850646586E-2</v>
      </c>
      <c r="Q884">
        <v>5.5459001704200846E-3</v>
      </c>
      <c r="R884">
        <v>1.5170251177837764E-3</v>
      </c>
      <c r="S884">
        <v>0.24692950432275712</v>
      </c>
      <c r="T884">
        <v>1.3079988137260861</v>
      </c>
      <c r="U884">
        <v>0.14348521359475372</v>
      </c>
      <c r="V884">
        <v>0.18378933360998922</v>
      </c>
      <c r="W884">
        <v>9.2511217087150113E-2</v>
      </c>
      <c r="X884">
        <v>1.531679442839874E-2</v>
      </c>
      <c r="Y884">
        <v>4.1288422834117634E-3</v>
      </c>
    </row>
    <row r="885" spans="1:25" x14ac:dyDescent="0.25">
      <c r="A885" s="1096"/>
      <c r="B885" s="1455">
        <v>635</v>
      </c>
      <c r="C885" s="1100">
        <v>1.0194404041626848</v>
      </c>
      <c r="D885" s="1100">
        <v>0.99549830830037866</v>
      </c>
      <c r="E885" s="1100">
        <v>1.0058764891590344</v>
      </c>
      <c r="F885" s="1100">
        <v>0.98032898772304367</v>
      </c>
      <c r="G885" s="1100">
        <v>1.0279558028640701</v>
      </c>
      <c r="H885" s="1100">
        <v>0.99446801028292076</v>
      </c>
      <c r="I885" s="1100">
        <v>0.98064699082009332</v>
      </c>
      <c r="K885">
        <v>2.1750056811495577</v>
      </c>
      <c r="L885">
        <v>0</v>
      </c>
      <c r="M885">
        <v>1.491977453274542E-3</v>
      </c>
      <c r="N885">
        <v>0.13808376195326846</v>
      </c>
      <c r="O885">
        <v>1.9398388779899974E-2</v>
      </c>
      <c r="P885">
        <v>2.5718300228713749E-2</v>
      </c>
      <c r="Q885">
        <v>5.4417849162971595E-3</v>
      </c>
      <c r="R885">
        <v>1.4708909086364719E-3</v>
      </c>
      <c r="S885">
        <v>0.23246388020169909</v>
      </c>
      <c r="T885">
        <v>1.3174380383244055</v>
      </c>
      <c r="U885">
        <v>0.14006317636479157</v>
      </c>
      <c r="V885">
        <v>0.18676010097933543</v>
      </c>
      <c r="W885">
        <v>9.0396103162857927E-2</v>
      </c>
      <c r="X885">
        <v>1.5259952608674439E-2</v>
      </c>
      <c r="Y885">
        <v>4.0032801742507593E-3</v>
      </c>
    </row>
    <row r="886" spans="1:25" x14ac:dyDescent="0.25">
      <c r="A886" s="1096"/>
      <c r="B886" s="1455">
        <v>636</v>
      </c>
      <c r="C886" s="1100">
        <v>1.0151477759893046</v>
      </c>
      <c r="D886" s="1100">
        <v>1.0006626216842691</v>
      </c>
      <c r="E886" s="1100">
        <v>0.97440141332817531</v>
      </c>
      <c r="F886" s="1100">
        <v>1.0067990735041701</v>
      </c>
      <c r="G886" s="1100">
        <v>0.99403001802625046</v>
      </c>
      <c r="H886" s="1100">
        <v>1.0034805738428723</v>
      </c>
      <c r="I886" s="1100">
        <v>0.9993731248664971</v>
      </c>
      <c r="K886">
        <v>2.2096243999306124</v>
      </c>
      <c r="L886">
        <v>0</v>
      </c>
      <c r="M886">
        <v>1.6118675203695969E-3</v>
      </c>
      <c r="N886">
        <v>0.13565546619801477</v>
      </c>
      <c r="O886">
        <v>1.9438918864793198E-2</v>
      </c>
      <c r="P886">
        <v>2.562152141574808E-2</v>
      </c>
      <c r="Q886">
        <v>5.2824088929625795E-3</v>
      </c>
      <c r="R886">
        <v>1.5892911380199261E-3</v>
      </c>
      <c r="S886">
        <v>0.23776521179523646</v>
      </c>
      <c r="T886">
        <v>1.3529668643390607</v>
      </c>
      <c r="U886">
        <v>0.14058417255659389</v>
      </c>
      <c r="V886">
        <v>0.18314465802314234</v>
      </c>
      <c r="W886">
        <v>9.0496669146740066E-2</v>
      </c>
      <c r="X886">
        <v>1.4365558512663463E-2</v>
      </c>
      <c r="Y886">
        <v>4.325526568007396E-3</v>
      </c>
    </row>
    <row r="887" spans="1:25" x14ac:dyDescent="0.25">
      <c r="A887" s="1096"/>
      <c r="B887" s="1455">
        <v>637</v>
      </c>
      <c r="C887" s="1100">
        <v>1.0181808432977528</v>
      </c>
      <c r="D887" s="1100">
        <v>1.0041419165599876</v>
      </c>
      <c r="E887" s="1100">
        <v>0.99216304322503412</v>
      </c>
      <c r="F887" s="1100">
        <v>0.99976984748383713</v>
      </c>
      <c r="G887" s="1100">
        <v>1.0131846786346139</v>
      </c>
      <c r="H887" s="1100">
        <v>1.0267438131644038</v>
      </c>
      <c r="I887" s="1100">
        <v>0.99057576616364751</v>
      </c>
      <c r="K887">
        <v>2.2087112299889196</v>
      </c>
      <c r="L887">
        <v>0</v>
      </c>
      <c r="M887">
        <v>1.5837858020870002E-3</v>
      </c>
      <c r="N887">
        <v>0.14069471883964743</v>
      </c>
      <c r="O887">
        <v>1.937707619727649E-2</v>
      </c>
      <c r="P887">
        <v>2.5845483299686681E-2</v>
      </c>
      <c r="Q887">
        <v>5.3613501298801691E-3</v>
      </c>
      <c r="R887">
        <v>1.5621053503152181E-3</v>
      </c>
      <c r="S887">
        <v>0.23650736704432559</v>
      </c>
      <c r="T887">
        <v>1.343542558270016</v>
      </c>
      <c r="U887">
        <v>0.14020544023927253</v>
      </c>
      <c r="V887">
        <v>0.18515069864802494</v>
      </c>
      <c r="W887">
        <v>9.2859722890733506E-2</v>
      </c>
      <c r="X887">
        <v>1.4936959066161338E-2</v>
      </c>
      <c r="Y887">
        <v>4.2515358156676878E-3</v>
      </c>
    </row>
    <row r="888" spans="1:25" x14ac:dyDescent="0.25">
      <c r="A888" s="1096"/>
      <c r="B888" s="1455">
        <v>638</v>
      </c>
      <c r="C888" s="1100">
        <v>1.0302628087135375</v>
      </c>
      <c r="D888" s="1100">
        <v>1.027343666189281</v>
      </c>
      <c r="E888" s="1100">
        <v>0.95915486206086353</v>
      </c>
      <c r="F888" s="1100">
        <v>1.0247037110206654</v>
      </c>
      <c r="G888" s="1100">
        <v>1.0114691518877779</v>
      </c>
      <c r="H888" s="1100">
        <v>1.0031204313444586</v>
      </c>
      <c r="I888" s="1100">
        <v>1.0109105622663712</v>
      </c>
      <c r="K888">
        <v>2.2204386343620404</v>
      </c>
      <c r="L888">
        <v>0</v>
      </c>
      <c r="M888">
        <v>1.6289328070298922E-3</v>
      </c>
      <c r="N888">
        <v>0.13090463244747488</v>
      </c>
      <c r="O888">
        <v>1.9034027305024091E-2</v>
      </c>
      <c r="P888">
        <v>2.5575063237323899E-2</v>
      </c>
      <c r="Q888">
        <v>5.0922616704713927E-3</v>
      </c>
      <c r="R888">
        <v>1.6061092110476723E-3</v>
      </c>
      <c r="S888">
        <v>0.23376468258470845</v>
      </c>
      <c r="T888">
        <v>1.3770142004342942</v>
      </c>
      <c r="U888">
        <v>0.13848776954486947</v>
      </c>
      <c r="V888">
        <v>0.18424698063918088</v>
      </c>
      <c r="W888">
        <v>8.8143589431116887E-2</v>
      </c>
      <c r="X888">
        <v>1.3826950844842492E-2</v>
      </c>
      <c r="Y888">
        <v>4.3712998187126362E-3</v>
      </c>
    </row>
    <row r="889" spans="1:25" x14ac:dyDescent="0.25">
      <c r="A889" s="1096"/>
      <c r="B889" s="1455">
        <v>639</v>
      </c>
      <c r="C889" s="1100">
        <v>1.0192214219069482</v>
      </c>
      <c r="D889" s="1100">
        <v>0.99722449033490679</v>
      </c>
      <c r="E889" s="1100">
        <v>1.0137936675148176</v>
      </c>
      <c r="F889" s="1100">
        <v>1.0450560636638249</v>
      </c>
      <c r="G889" s="1100">
        <v>0.98625609104949108</v>
      </c>
      <c r="H889" s="1100">
        <v>1.0011052659672006</v>
      </c>
      <c r="I889" s="1100">
        <v>0.98268104304089721</v>
      </c>
      <c r="K889">
        <v>2.2630534014712511</v>
      </c>
      <c r="L889">
        <v>0</v>
      </c>
      <c r="M889">
        <v>1.4771883545934721E-3</v>
      </c>
      <c r="N889">
        <v>0.14003548839625893</v>
      </c>
      <c r="O889">
        <v>1.9400025483595769E-2</v>
      </c>
      <c r="P889">
        <v>2.7016756447796216E-2</v>
      </c>
      <c r="Q889">
        <v>5.4854906056888185E-3</v>
      </c>
      <c r="R889">
        <v>1.4564492450140968E-3</v>
      </c>
      <c r="S889">
        <v>0.23336620327586752</v>
      </c>
      <c r="T889">
        <v>1.4044379654618027</v>
      </c>
      <c r="U889">
        <v>0.14011118057736988</v>
      </c>
      <c r="V889">
        <v>0.18206607730805743</v>
      </c>
      <c r="W889">
        <v>9.1246750421921957E-2</v>
      </c>
      <c r="X889">
        <v>1.5944227875903404E-2</v>
      </c>
      <c r="Y889">
        <v>3.9639747265637869E-3</v>
      </c>
    </row>
    <row r="890" spans="1:25" x14ac:dyDescent="0.25">
      <c r="A890" s="1096"/>
      <c r="B890" s="1455">
        <v>640</v>
      </c>
      <c r="C890" s="1100">
        <v>1.0324028366763538</v>
      </c>
      <c r="D890" s="1100">
        <v>0.97861472760847779</v>
      </c>
      <c r="E890" s="1100">
        <v>0.98038683861292386</v>
      </c>
      <c r="F890" s="1100">
        <v>1.001972599440565</v>
      </c>
      <c r="G890" s="1100">
        <v>1.0302782818907794</v>
      </c>
      <c r="H890" s="1100">
        <v>1.0439172405402408</v>
      </c>
      <c r="I890" s="1100">
        <v>1.0178776750263836</v>
      </c>
      <c r="K890">
        <v>2.2177544040465618</v>
      </c>
      <c r="L890">
        <v>0</v>
      </c>
      <c r="M890">
        <v>1.6365240489559973E-3</v>
      </c>
      <c r="N890">
        <v>0.14032523297939226</v>
      </c>
      <c r="O890">
        <v>1.9211569988996403E-2</v>
      </c>
      <c r="P890">
        <v>2.5746369806113095E-2</v>
      </c>
      <c r="Q890">
        <v>5.2525314925959627E-3</v>
      </c>
      <c r="R890">
        <v>1.6144902035257818E-3</v>
      </c>
      <c r="S890">
        <v>0.24403967837829232</v>
      </c>
      <c r="T890">
        <v>1.3464874814423438</v>
      </c>
      <c r="U890">
        <v>0.13824781872678163</v>
      </c>
      <c r="V890">
        <v>0.18627077806331735</v>
      </c>
      <c r="W890">
        <v>9.327348838312581E-2</v>
      </c>
      <c r="X890">
        <v>1.4527378513586896E-2</v>
      </c>
      <c r="Y890">
        <v>4.3941101174446214E-3</v>
      </c>
    </row>
    <row r="891" spans="1:25" x14ac:dyDescent="0.25">
      <c r="A891" s="1096"/>
      <c r="B891" s="1455">
        <v>641</v>
      </c>
      <c r="C891" s="1100">
        <v>0.98816485141876875</v>
      </c>
      <c r="D891" s="1100">
        <v>1.0072750002302542</v>
      </c>
      <c r="E891" s="1100">
        <v>0.99037900282563374</v>
      </c>
      <c r="F891" s="1100">
        <v>1.0217196867049152</v>
      </c>
      <c r="G891" s="1100">
        <v>0.97689999353193491</v>
      </c>
      <c r="H891" s="1100">
        <v>1.0087134182780289</v>
      </c>
      <c r="I891" s="1100">
        <v>1.0157085815021438</v>
      </c>
      <c r="K891">
        <v>2.2555926300394935</v>
      </c>
      <c r="L891">
        <v>0</v>
      </c>
      <c r="M891">
        <v>1.6080701793471767E-3</v>
      </c>
      <c r="N891">
        <v>0.14204837132631715</v>
      </c>
      <c r="O891">
        <v>1.9950860841849605E-2</v>
      </c>
      <c r="P891">
        <v>2.6392031498122293E-2</v>
      </c>
      <c r="Q891">
        <v>5.5101697056154624E-3</v>
      </c>
      <c r="R891">
        <v>1.5856638261712908E-3</v>
      </c>
      <c r="S891">
        <v>0.24799250342170887</v>
      </c>
      <c r="T891">
        <v>1.3730373349352198</v>
      </c>
      <c r="U891">
        <v>0.14446009836015902</v>
      </c>
      <c r="V891">
        <v>0.18281715972530491</v>
      </c>
      <c r="W891">
        <v>9.3853296495356009E-2</v>
      </c>
      <c r="X891">
        <v>1.5237555862117285E-2</v>
      </c>
      <c r="Y891">
        <v>4.3156542208984388E-3</v>
      </c>
    </row>
    <row r="892" spans="1:25" x14ac:dyDescent="0.25">
      <c r="A892" s="1096"/>
      <c r="B892" s="1455">
        <v>642</v>
      </c>
      <c r="C892" s="1100">
        <v>0.97870466623537145</v>
      </c>
      <c r="D892" s="1100">
        <v>1.0334386437797072</v>
      </c>
      <c r="E892" s="1100">
        <v>0.99914866646899059</v>
      </c>
      <c r="F892" s="1100">
        <v>0.99551098795358384</v>
      </c>
      <c r="G892" s="1100">
        <v>0.99578700545175436</v>
      </c>
      <c r="H892" s="1100">
        <v>1.0203657004815814</v>
      </c>
      <c r="I892" s="1100">
        <v>0.98797848089507967</v>
      </c>
      <c r="K892">
        <v>2.2232169380153035</v>
      </c>
      <c r="L892">
        <v>0</v>
      </c>
      <c r="M892">
        <v>1.6037140809593456E-3</v>
      </c>
      <c r="N892">
        <v>0.1454920812138637</v>
      </c>
      <c r="O892">
        <v>2.0035938546657868E-2</v>
      </c>
      <c r="P892">
        <v>2.605360492541425E-2</v>
      </c>
      <c r="Q892">
        <v>5.5828054356894998E-3</v>
      </c>
      <c r="R892">
        <v>1.5816236052711805E-3</v>
      </c>
      <c r="S892">
        <v>0.24148233208878864</v>
      </c>
      <c r="T892">
        <v>1.3378296964539524</v>
      </c>
      <c r="U892">
        <v>0.14587706629055947</v>
      </c>
      <c r="V892">
        <v>0.18554015711726418</v>
      </c>
      <c r="W892">
        <v>9.5626796774651301E-2</v>
      </c>
      <c r="X892">
        <v>1.5413891572681162E-2</v>
      </c>
      <c r="Y892">
        <v>4.3046580714667998E-3</v>
      </c>
    </row>
    <row r="893" spans="1:25" x14ac:dyDescent="0.25">
      <c r="A893" s="1096"/>
      <c r="B893" s="1455">
        <v>643</v>
      </c>
      <c r="C893" s="1100">
        <v>1.0314465028556936</v>
      </c>
      <c r="D893" s="1100">
        <v>0.9817721519495578</v>
      </c>
      <c r="E893" s="1100">
        <v>0.99666345475220819</v>
      </c>
      <c r="F893" s="1100">
        <v>1.0081632976888149</v>
      </c>
      <c r="G893" s="1100">
        <v>0.97089071760610834</v>
      </c>
      <c r="H893" s="1100">
        <v>1.0028193498036639</v>
      </c>
      <c r="I893" s="1100">
        <v>1.0069541046352803</v>
      </c>
      <c r="K893">
        <v>2.2076601762632855</v>
      </c>
      <c r="L893">
        <v>0</v>
      </c>
      <c r="M893">
        <v>1.5203274036574969E-3</v>
      </c>
      <c r="N893">
        <v>0.13686173800138818</v>
      </c>
      <c r="O893">
        <v>1.9225639506693894E-2</v>
      </c>
      <c r="P893">
        <v>2.6009174630753692E-2</v>
      </c>
      <c r="Q893">
        <v>5.343642978615345E-3</v>
      </c>
      <c r="R893">
        <v>1.4990191236410417E-3</v>
      </c>
      <c r="S893">
        <v>0.23815397280139372</v>
      </c>
      <c r="T893">
        <v>1.3548287837079738</v>
      </c>
      <c r="U893">
        <v>0.13841226395933937</v>
      </c>
      <c r="V893">
        <v>0.17962442114087546</v>
      </c>
      <c r="W893">
        <v>9.0087565219997431E-2</v>
      </c>
      <c r="X893">
        <v>1.5054446693239196E-2</v>
      </c>
      <c r="Y893">
        <v>4.0798359030296133E-3</v>
      </c>
    </row>
    <row r="894" spans="1:25" x14ac:dyDescent="0.25">
      <c r="A894" s="1096"/>
      <c r="B894" s="1455">
        <v>644</v>
      </c>
      <c r="C894" s="1100">
        <v>1.0122551757994873</v>
      </c>
      <c r="D894" s="1100">
        <v>0.97304918768220816</v>
      </c>
      <c r="E894" s="1100">
        <v>1.0186038422954737</v>
      </c>
      <c r="F894" s="1100">
        <v>1.0194658228183222</v>
      </c>
      <c r="G894" s="1100">
        <v>0.97868586731885032</v>
      </c>
      <c r="H894" s="1100">
        <v>1.0317537772015388</v>
      </c>
      <c r="I894" s="1100">
        <v>1.0136303266177658</v>
      </c>
      <c r="K894">
        <v>2.2551616696756405</v>
      </c>
      <c r="L894">
        <v>0</v>
      </c>
      <c r="M894">
        <v>1.5258486264986711E-3</v>
      </c>
      <c r="N894">
        <v>0.14682542453974348</v>
      </c>
      <c r="O894">
        <v>1.9642276732002726E-2</v>
      </c>
      <c r="P894">
        <v>2.6844971015990853E-2</v>
      </c>
      <c r="Q894">
        <v>5.5806675626770995E-3</v>
      </c>
      <c r="R894">
        <v>1.5050627012797E-3</v>
      </c>
      <c r="S894">
        <v>0.24788118286771774</v>
      </c>
      <c r="T894">
        <v>1.3700570769594593</v>
      </c>
      <c r="U894">
        <v>0.14108638037083926</v>
      </c>
      <c r="V894">
        <v>0.18161537922658647</v>
      </c>
      <c r="W894">
        <v>9.540139081471978E-2</v>
      </c>
      <c r="X894">
        <v>1.6151420982023941E-2</v>
      </c>
      <c r="Y894">
        <v>4.0962845290972091E-3</v>
      </c>
    </row>
    <row r="895" spans="1:25" x14ac:dyDescent="0.25">
      <c r="A895" s="1096"/>
      <c r="B895" s="1455">
        <v>645</v>
      </c>
      <c r="C895" s="1100">
        <v>1.0076129008316606</v>
      </c>
      <c r="D895" s="1100">
        <v>0.99252654016762354</v>
      </c>
      <c r="E895" s="1100">
        <v>0.99773003138369909</v>
      </c>
      <c r="F895" s="1100">
        <v>0.98998008975981344</v>
      </c>
      <c r="G895" s="1100">
        <v>0.97504713011316724</v>
      </c>
      <c r="H895" s="1100">
        <v>1.0040909534989997</v>
      </c>
      <c r="I895" s="1100">
        <v>1.0107758702722593</v>
      </c>
      <c r="K895">
        <v>2.19950064040848</v>
      </c>
      <c r="L895">
        <v>0</v>
      </c>
      <c r="M895">
        <v>1.5510976202134218E-3</v>
      </c>
      <c r="N895">
        <v>0.14008499440656036</v>
      </c>
      <c r="O895">
        <v>1.9633942505555176E-2</v>
      </c>
      <c r="P895">
        <v>2.5839459029786054E-2</v>
      </c>
      <c r="Q895">
        <v>5.4629909994457016E-3</v>
      </c>
      <c r="R895">
        <v>1.5293856090224792E-3</v>
      </c>
      <c r="S895">
        <v>0.2434933633187025</v>
      </c>
      <c r="T895">
        <v>1.3303947424976574</v>
      </c>
      <c r="U895">
        <v>0.14168863857370587</v>
      </c>
      <c r="V895">
        <v>0.18145554999899305</v>
      </c>
      <c r="W895">
        <v>9.2150670595623208E-2</v>
      </c>
      <c r="X895">
        <v>1.5155517027712716E-2</v>
      </c>
      <c r="Y895">
        <v>4.1624834659286705E-3</v>
      </c>
    </row>
    <row r="896" spans="1:25" x14ac:dyDescent="0.25">
      <c r="A896" s="1096"/>
      <c r="B896" s="1455">
        <v>646</v>
      </c>
      <c r="C896" s="1100">
        <v>0.99530731794497085</v>
      </c>
      <c r="D896" s="1100">
        <v>1.0083391865493532</v>
      </c>
      <c r="E896" s="1100">
        <v>1.0220581968102884</v>
      </c>
      <c r="F896" s="1100">
        <v>1.0075665326284171</v>
      </c>
      <c r="G896" s="1100">
        <v>1.004412200821468</v>
      </c>
      <c r="H896" s="1100">
        <v>0.99380430594247493</v>
      </c>
      <c r="I896" s="1100">
        <v>1.037336162339727</v>
      </c>
      <c r="K896">
        <v>2.2417804889810946</v>
      </c>
      <c r="L896">
        <v>0</v>
      </c>
      <c r="M896">
        <v>1.4724605858321416E-3</v>
      </c>
      <c r="N896">
        <v>0.14309685434173197</v>
      </c>
      <c r="O896">
        <v>1.9822954693443199E-2</v>
      </c>
      <c r="P896">
        <v>2.6812944635471774E-2</v>
      </c>
      <c r="Q896">
        <v>5.6513716167117863E-3</v>
      </c>
      <c r="R896">
        <v>1.4516359804050416E-3</v>
      </c>
      <c r="S896">
        <v>0.25033192732996967</v>
      </c>
      <c r="T896">
        <v>1.3540727215644208</v>
      </c>
      <c r="U896">
        <v>0.1434967812341375</v>
      </c>
      <c r="V896">
        <v>0.18552465006808258</v>
      </c>
      <c r="W896">
        <v>9.2791042724679709E-2</v>
      </c>
      <c r="X896">
        <v>1.6249190770882129E-2</v>
      </c>
      <c r="Y896">
        <v>3.9508746069901917E-3</v>
      </c>
    </row>
    <row r="897" spans="1:25" x14ac:dyDescent="0.25">
      <c r="A897" s="1096"/>
      <c r="B897" s="1455">
        <v>647</v>
      </c>
      <c r="C897" s="1100">
        <v>0.99286065248520894</v>
      </c>
      <c r="D897" s="1100">
        <v>1.009961104835355</v>
      </c>
      <c r="E897" s="1100">
        <v>0.99738173316762802</v>
      </c>
      <c r="F897" s="1100">
        <v>0.98116020215339872</v>
      </c>
      <c r="G897" s="1100">
        <v>1.0175449066375652</v>
      </c>
      <c r="H897" s="1100">
        <v>1.0170727171422616</v>
      </c>
      <c r="I897" s="1100">
        <v>1.03243945993522</v>
      </c>
      <c r="K897">
        <v>2.2093162154777346</v>
      </c>
      <c r="L897">
        <v>0</v>
      </c>
      <c r="M897">
        <v>1.5895470801043162E-3</v>
      </c>
      <c r="N897">
        <v>0.14343247295915154</v>
      </c>
      <c r="O897">
        <v>1.9849263529280299E-2</v>
      </c>
      <c r="P897">
        <v>2.5883715771645815E-2</v>
      </c>
      <c r="Q897">
        <v>5.5209665321043454E-3</v>
      </c>
      <c r="R897">
        <v>1.5675808581299235E-3</v>
      </c>
      <c r="S897">
        <v>0.25130399835609374</v>
      </c>
      <c r="T897">
        <v>1.3185415215371064</v>
      </c>
      <c r="U897">
        <v>0.14379308736423643</v>
      </c>
      <c r="V897">
        <v>0.18713381781264679</v>
      </c>
      <c r="W897">
        <v>9.4372279631010719E-2</v>
      </c>
      <c r="X897">
        <v>1.524061986349578E-2</v>
      </c>
      <c r="Y897">
        <v>4.2664383429386506E-3</v>
      </c>
    </row>
    <row r="898" spans="1:25" x14ac:dyDescent="0.25">
      <c r="A898" s="1096"/>
      <c r="B898" s="1455">
        <v>648</v>
      </c>
      <c r="C898" s="1100">
        <v>1.0022573160287951</v>
      </c>
      <c r="D898" s="1100">
        <v>0.98360494268546694</v>
      </c>
      <c r="E898" s="1100">
        <v>1.0056380732624755</v>
      </c>
      <c r="F898" s="1100">
        <v>1.0228495270771907</v>
      </c>
      <c r="G898" s="1100">
        <v>1.0057223210141664</v>
      </c>
      <c r="H898" s="1100">
        <v>0.9713995361116049</v>
      </c>
      <c r="I898" s="1100">
        <v>1.0256942569247962</v>
      </c>
      <c r="K898">
        <v>2.2483826061498409</v>
      </c>
      <c r="L898">
        <v>0</v>
      </c>
      <c r="M898">
        <v>1.4870147397095827E-3</v>
      </c>
      <c r="N898">
        <v>0.1374785848071757</v>
      </c>
      <c r="O898">
        <v>1.9783054648223448E-2</v>
      </c>
      <c r="P898">
        <v>2.6706634141243201E-2</v>
      </c>
      <c r="Q898">
        <v>5.5483687363520181E-3</v>
      </c>
      <c r="R898">
        <v>1.4654992439000467E-3</v>
      </c>
      <c r="S898">
        <v>0.24690237702266463</v>
      </c>
      <c r="T898">
        <v>1.3745798409509853</v>
      </c>
      <c r="U898">
        <v>0.14246392561835525</v>
      </c>
      <c r="V898">
        <v>0.18524451248548424</v>
      </c>
      <c r="W898">
        <v>9.0012622040419238E-2</v>
      </c>
      <c r="X898">
        <v>1.5695595354546024E-2</v>
      </c>
      <c r="Y898">
        <v>3.9886058402000121E-3</v>
      </c>
    </row>
    <row r="899" spans="1:25" x14ac:dyDescent="0.25">
      <c r="A899" s="1096"/>
      <c r="B899" s="1455">
        <v>649</v>
      </c>
      <c r="C899" s="1100">
        <v>0.96634168666106834</v>
      </c>
      <c r="D899" s="1100">
        <v>1.0255265347462308</v>
      </c>
      <c r="E899" s="1100">
        <v>1.0466639235632753</v>
      </c>
      <c r="F899" s="1100">
        <v>0.97760891244027093</v>
      </c>
      <c r="G899" s="1100">
        <v>0.96213234469225528</v>
      </c>
      <c r="H899" s="1100">
        <v>0.9992820832807201</v>
      </c>
      <c r="I899" s="1100">
        <v>1.0138318854244703</v>
      </c>
      <c r="K899">
        <v>2.2165574227626927</v>
      </c>
      <c r="L899">
        <v>0</v>
      </c>
      <c r="M899">
        <v>1.4433135932243304E-3</v>
      </c>
      <c r="N899">
        <v>0.15107238966709649</v>
      </c>
      <c r="O899">
        <v>2.0357260581777725E-2</v>
      </c>
      <c r="P899">
        <v>2.6749443679374523E-2</v>
      </c>
      <c r="Q899">
        <v>5.946275261899921E-3</v>
      </c>
      <c r="R899">
        <v>1.4230131005489261E-3</v>
      </c>
      <c r="S899">
        <v>0.2505390628792411</v>
      </c>
      <c r="T899">
        <v>1.3138685418537877</v>
      </c>
      <c r="U899">
        <v>0.14785695355105447</v>
      </c>
      <c r="V899">
        <v>0.1825570519826957</v>
      </c>
      <c r="W899">
        <v>9.6578195632414876E-2</v>
      </c>
      <c r="X899">
        <v>1.7179575602472172E-2</v>
      </c>
      <c r="Y899">
        <v>3.8729725635516534E-3</v>
      </c>
    </row>
    <row r="900" spans="1:25" x14ac:dyDescent="0.25">
      <c r="A900" s="1096"/>
      <c r="B900" s="1455">
        <v>650</v>
      </c>
      <c r="C900" s="1100">
        <v>0.98244541571333954</v>
      </c>
      <c r="D900" s="1100">
        <v>0.96941982123929915</v>
      </c>
      <c r="E900" s="1100">
        <v>1.0112273727740844</v>
      </c>
      <c r="F900" s="1100">
        <v>0.98756243773125507</v>
      </c>
      <c r="G900" s="1100">
        <v>0.98309612674869051</v>
      </c>
      <c r="H900" s="1100">
        <v>1.0015387983965267</v>
      </c>
      <c r="I900" s="1100">
        <v>0.99286783115991628</v>
      </c>
      <c r="K900">
        <v>2.2178027618656864</v>
      </c>
      <c r="L900">
        <v>0</v>
      </c>
      <c r="M900">
        <v>1.5509656288221049E-3</v>
      </c>
      <c r="N900">
        <v>0.14589585340120131</v>
      </c>
      <c r="O900">
        <v>2.0250182445604503E-2</v>
      </c>
      <c r="P900">
        <v>2.6202788468527746E-2</v>
      </c>
      <c r="Q900">
        <v>5.7112284537893972E-3</v>
      </c>
      <c r="R900">
        <v>1.5292001426505924E-3</v>
      </c>
      <c r="S900">
        <v>0.24811522287916599</v>
      </c>
      <c r="T900">
        <v>1.3271682701563257</v>
      </c>
      <c r="U900">
        <v>0.14534995490728936</v>
      </c>
      <c r="V900">
        <v>0.1838858216458106</v>
      </c>
      <c r="W900">
        <v>9.5209033665151516E-2</v>
      </c>
      <c r="X900">
        <v>1.58741926413896E-2</v>
      </c>
      <c r="Y900">
        <v>4.1619786876033677E-3</v>
      </c>
    </row>
    <row r="901" spans="1:25" x14ac:dyDescent="0.25">
      <c r="A901" s="1096"/>
      <c r="B901" s="1455">
        <v>651</v>
      </c>
      <c r="C901" s="1100">
        <v>0.9854849912637742</v>
      </c>
      <c r="D901" s="1100">
        <v>0.98667718855373043</v>
      </c>
      <c r="E901" s="1100">
        <v>1.0271528138824708</v>
      </c>
      <c r="F901" s="1100">
        <v>1.0129363110655958</v>
      </c>
      <c r="G901" s="1100">
        <v>0.98887520847775723</v>
      </c>
      <c r="H901" s="1100">
        <v>1.0116113392991883</v>
      </c>
      <c r="I901" s="1100">
        <v>1.0059855833064879</v>
      </c>
      <c r="K901">
        <v>2.2580859240961462</v>
      </c>
      <c r="L901">
        <v>0</v>
      </c>
      <c r="M901">
        <v>1.5049838243805539E-3</v>
      </c>
      <c r="N901">
        <v>0.14855951353769314</v>
      </c>
      <c r="O901">
        <v>2.0119662615126568E-2</v>
      </c>
      <c r="P901">
        <v>2.7003849390690698E-2</v>
      </c>
      <c r="Q901">
        <v>5.7650119843791125E-3</v>
      </c>
      <c r="R901">
        <v>1.4840739164640186E-3</v>
      </c>
      <c r="S901">
        <v>0.24936295618185542</v>
      </c>
      <c r="T901">
        <v>1.3613001342747364</v>
      </c>
      <c r="U901">
        <v>0.14493895996388378</v>
      </c>
      <c r="V901">
        <v>0.18436755523180276</v>
      </c>
      <c r="W901">
        <v>9.6047628268726204E-2</v>
      </c>
      <c r="X901">
        <v>1.6602402579389153E-2</v>
      </c>
      <c r="Y901">
        <v>4.0391599757799782E-3</v>
      </c>
    </row>
    <row r="902" spans="1:25" x14ac:dyDescent="0.25">
      <c r="A902" s="1096"/>
      <c r="B902" s="1455">
        <v>652</v>
      </c>
      <c r="C902" s="1100">
        <v>0.9566897987918469</v>
      </c>
      <c r="D902" s="1100">
        <v>0.99499668657415208</v>
      </c>
      <c r="E902" s="1100">
        <v>1.0250439640368598</v>
      </c>
      <c r="F902" s="1100">
        <v>0.99130291903432233</v>
      </c>
      <c r="G902" s="1100">
        <v>0.97042796592002623</v>
      </c>
      <c r="H902" s="1100">
        <v>1.0077529585926035</v>
      </c>
      <c r="I902" s="1100">
        <v>0.99048255550422359</v>
      </c>
      <c r="K902">
        <v>2.241275095578827</v>
      </c>
      <c r="L902">
        <v>0</v>
      </c>
      <c r="M902">
        <v>1.5483038774425978E-3</v>
      </c>
      <c r="N902">
        <v>0.15185870339657379</v>
      </c>
      <c r="O902">
        <v>2.0685607018909955E-2</v>
      </c>
      <c r="P902">
        <v>2.6644979153408025E-2</v>
      </c>
      <c r="Q902">
        <v>5.9148037618921801E-3</v>
      </c>
      <c r="R902">
        <v>1.526709728304973E-3</v>
      </c>
      <c r="S902">
        <v>0.25151532964802242</v>
      </c>
      <c r="T902">
        <v>1.3322221972733999</v>
      </c>
      <c r="U902">
        <v>0.14929635022272394</v>
      </c>
      <c r="V902">
        <v>0.18409310069926169</v>
      </c>
      <c r="W902">
        <v>9.8301270357782439E-2</v>
      </c>
      <c r="X902">
        <v>1.6609147595271954E-2</v>
      </c>
      <c r="Y902">
        <v>4.1552006007194607E-3</v>
      </c>
    </row>
    <row r="903" spans="1:25" x14ac:dyDescent="0.25">
      <c r="A903" s="1096"/>
      <c r="B903" s="1455">
        <v>653</v>
      </c>
      <c r="C903" s="1100">
        <v>0.96706844617098198</v>
      </c>
      <c r="D903" s="1100">
        <v>1.0050188728852925</v>
      </c>
      <c r="E903" s="1100">
        <v>0.99556089653032898</v>
      </c>
      <c r="F903" s="1100">
        <v>1.0249454520254169</v>
      </c>
      <c r="G903" s="1100">
        <v>0.97134394888220466</v>
      </c>
      <c r="H903" s="1100">
        <v>1.0100728306618114</v>
      </c>
      <c r="I903" s="1100">
        <v>0.98363190937551992</v>
      </c>
      <c r="K903">
        <v>2.2693035655120455</v>
      </c>
      <c r="L903">
        <v>0</v>
      </c>
      <c r="M903">
        <v>1.6285956864578305E-3</v>
      </c>
      <c r="N903">
        <v>0.14613540936460784</v>
      </c>
      <c r="O903">
        <v>2.0399483966728776E-2</v>
      </c>
      <c r="P903">
        <v>2.6576764283827537E-2</v>
      </c>
      <c r="Q903">
        <v>5.6636116789447622E-3</v>
      </c>
      <c r="R903">
        <v>1.6059338778358105E-3</v>
      </c>
      <c r="S903">
        <v>0.24582440036256423</v>
      </c>
      <c r="T903">
        <v>1.3773799202986934</v>
      </c>
      <c r="U903">
        <v>0.14762378949913926</v>
      </c>
      <c r="V903">
        <v>0.18350325503248888</v>
      </c>
      <c r="W903">
        <v>9.6255095153640016E-2</v>
      </c>
      <c r="X903">
        <v>1.5593675060524836E-2</v>
      </c>
      <c r="Y903">
        <v>4.370822619508526E-3</v>
      </c>
    </row>
    <row r="904" spans="1:25" x14ac:dyDescent="0.25">
      <c r="A904" s="1096"/>
      <c r="B904" s="1455">
        <v>654</v>
      </c>
      <c r="C904" s="1100">
        <v>0.99659041374176527</v>
      </c>
      <c r="D904" s="1100">
        <v>1.0088342956221135</v>
      </c>
      <c r="E904" s="1100">
        <v>1.0314465848516279</v>
      </c>
      <c r="F904" s="1100">
        <v>1.0134515916955218</v>
      </c>
      <c r="G904" s="1100">
        <v>1.0316681343476775</v>
      </c>
      <c r="H904" s="1100">
        <v>0.96613037280740133</v>
      </c>
      <c r="I904" s="1100">
        <v>0.98487002712107719</v>
      </c>
      <c r="K904">
        <v>2.2321699118540552</v>
      </c>
      <c r="L904">
        <v>0</v>
      </c>
      <c r="M904">
        <v>1.4017804420312838E-3</v>
      </c>
      <c r="N904">
        <v>0.14008196629951258</v>
      </c>
      <c r="O904">
        <v>1.9801192121833452E-2</v>
      </c>
      <c r="P904">
        <v>2.6935830236250867E-2</v>
      </c>
      <c r="Q904">
        <v>5.6979055603037509E-3</v>
      </c>
      <c r="R904">
        <v>1.3813875773374762E-3</v>
      </c>
      <c r="S904">
        <v>0.2351878404305347</v>
      </c>
      <c r="T904">
        <v>1.3620022914485501</v>
      </c>
      <c r="U904">
        <v>0.14333380799743856</v>
      </c>
      <c r="V904">
        <v>0.18853726776455898</v>
      </c>
      <c r="W904">
        <v>9.0341097393489458E-2</v>
      </c>
      <c r="X904">
        <v>1.651142385505381E-2</v>
      </c>
      <c r="Y904">
        <v>3.7596816112201253E-3</v>
      </c>
    </row>
    <row r="905" spans="1:25" x14ac:dyDescent="0.25">
      <c r="A905" s="1096"/>
      <c r="B905" s="1455">
        <v>655</v>
      </c>
      <c r="C905" s="1100">
        <v>1.0275106474352587</v>
      </c>
      <c r="D905" s="1100">
        <v>0.9823411505571672</v>
      </c>
      <c r="E905" s="1100">
        <v>0.98976160503287958</v>
      </c>
      <c r="F905" s="1100">
        <v>0.99676599979189651</v>
      </c>
      <c r="G905" s="1100">
        <v>1.0098387655695331</v>
      </c>
      <c r="H905" s="1100">
        <v>1.0221116053695876</v>
      </c>
      <c r="I905" s="1100">
        <v>0.98923308670699184</v>
      </c>
      <c r="K905">
        <v>2.1993326676621034</v>
      </c>
      <c r="L905">
        <v>0</v>
      </c>
      <c r="M905">
        <v>1.5777158017859433E-3</v>
      </c>
      <c r="N905">
        <v>0.13913288633091456</v>
      </c>
      <c r="O905">
        <v>1.9292615083260068E-2</v>
      </c>
      <c r="P905">
        <v>2.5710840119544845E-2</v>
      </c>
      <c r="Q905">
        <v>5.3250467683891647E-3</v>
      </c>
      <c r="R905">
        <v>1.5560205630876524E-3</v>
      </c>
      <c r="S905">
        <v>0.23623340402172496</v>
      </c>
      <c r="T905">
        <v>1.3395024924767627</v>
      </c>
      <c r="U905">
        <v>0.13892700069101299</v>
      </c>
      <c r="V905">
        <v>0.18424149867213765</v>
      </c>
      <c r="W905">
        <v>9.1961000200093887E-2</v>
      </c>
      <c r="X905">
        <v>1.4792603506277053E-2</v>
      </c>
      <c r="Y905">
        <v>4.2349750306838237E-3</v>
      </c>
    </row>
    <row r="906" spans="1:25" x14ac:dyDescent="0.25">
      <c r="A906" s="1096"/>
      <c r="B906" s="1455">
        <v>656</v>
      </c>
      <c r="C906" s="1100">
        <v>1.0328382745446232</v>
      </c>
      <c r="D906" s="1100">
        <v>0.96918625573640271</v>
      </c>
      <c r="E906" s="1100">
        <v>1.0120452701600204</v>
      </c>
      <c r="F906" s="1100">
        <v>1.0058717672048447</v>
      </c>
      <c r="G906" s="1100">
        <v>0.9759136292995706</v>
      </c>
      <c r="H906" s="1100">
        <v>0.98135911639020823</v>
      </c>
      <c r="I906" s="1100">
        <v>1.0297556149058551</v>
      </c>
      <c r="K906">
        <v>2.2086310089078327</v>
      </c>
      <c r="L906">
        <v>0</v>
      </c>
      <c r="M906">
        <v>1.4431894809329442E-3</v>
      </c>
      <c r="N906">
        <v>0.13605335235819077</v>
      </c>
      <c r="O906">
        <v>1.9263682857128581E-2</v>
      </c>
      <c r="P906">
        <v>2.6340146898459822E-2</v>
      </c>
      <c r="Q906">
        <v>5.4374424266040201E-3</v>
      </c>
      <c r="R906">
        <v>1.4225200095205827E-3</v>
      </c>
      <c r="S906">
        <v>0.2431898736879782</v>
      </c>
      <c r="T906">
        <v>1.3517753816002984</v>
      </c>
      <c r="U906">
        <v>0.13826006145741646</v>
      </c>
      <c r="V906">
        <v>0.1801279673557904</v>
      </c>
      <c r="W906">
        <v>8.8743237363113209E-2</v>
      </c>
      <c r="X906">
        <v>1.5588901841946846E-2</v>
      </c>
      <c r="Y906">
        <v>3.871630532319916E-3</v>
      </c>
    </row>
    <row r="907" spans="1:25" x14ac:dyDescent="0.25">
      <c r="A907" s="1096"/>
      <c r="B907" s="1455">
        <v>657</v>
      </c>
      <c r="C907" s="1100">
        <v>1.0131115681595719</v>
      </c>
      <c r="D907" s="1100">
        <v>0.97704272189163222</v>
      </c>
      <c r="E907" s="1100">
        <v>1.0221753357275085</v>
      </c>
      <c r="F907" s="1100">
        <v>1.010920616989111</v>
      </c>
      <c r="G907" s="1100">
        <v>1.0157566096409425</v>
      </c>
      <c r="H907" s="1100">
        <v>1.0043093628178874</v>
      </c>
      <c r="I907" s="1100">
        <v>0.99705339808205262</v>
      </c>
      <c r="K907">
        <v>2.2341735717552114</v>
      </c>
      <c r="L907">
        <v>0</v>
      </c>
      <c r="M907">
        <v>1.4716916847536609E-3</v>
      </c>
      <c r="N907">
        <v>0.14309414228499606</v>
      </c>
      <c r="O907">
        <v>1.9610217226797958E-2</v>
      </c>
      <c r="P907">
        <v>2.671620860430161E-2</v>
      </c>
      <c r="Q907">
        <v>5.5913721403964842E-3</v>
      </c>
      <c r="R907">
        <v>1.4510956649152129E-3</v>
      </c>
      <c r="S907">
        <v>0.24097432013044001</v>
      </c>
      <c r="T907">
        <v>1.358580533942737</v>
      </c>
      <c r="U907">
        <v>0.14097526032856153</v>
      </c>
      <c r="V907">
        <v>0.18575917954594498</v>
      </c>
      <c r="W907">
        <v>9.2782935803565891E-2</v>
      </c>
      <c r="X907">
        <v>1.6160593720963696E-2</v>
      </c>
      <c r="Y907">
        <v>3.9494040463418298E-3</v>
      </c>
    </row>
    <row r="908" spans="1:25" x14ac:dyDescent="0.25">
      <c r="A908" s="1096"/>
      <c r="B908" s="1455">
        <v>658</v>
      </c>
      <c r="C908" s="1100">
        <v>0.99006704640688348</v>
      </c>
      <c r="D908" s="1100">
        <v>1.041212703923148</v>
      </c>
      <c r="E908" s="1100">
        <v>1.0173301055467685</v>
      </c>
      <c r="F908" s="1100">
        <v>0.99522240710363996</v>
      </c>
      <c r="G908" s="1100">
        <v>1.0330562483858718</v>
      </c>
      <c r="H908" s="1100">
        <v>1.0172842393886663</v>
      </c>
      <c r="I908" s="1100">
        <v>1.0379878347185796</v>
      </c>
      <c r="K908">
        <v>2.2328944780151017</v>
      </c>
      <c r="L908">
        <v>0</v>
      </c>
      <c r="M908">
        <v>1.5194439887650339E-3</v>
      </c>
      <c r="N908">
        <v>0.14561969767512387</v>
      </c>
      <c r="O908">
        <v>1.978475456537148E-2</v>
      </c>
      <c r="P908">
        <v>2.6542309795511341E-2</v>
      </c>
      <c r="Q908">
        <v>5.6140262762473386E-3</v>
      </c>
      <c r="R908">
        <v>1.498450899322641E-3</v>
      </c>
      <c r="S908">
        <v>0.24975798973286023</v>
      </c>
      <c r="T908">
        <v>1.3374739137400495</v>
      </c>
      <c r="U908">
        <v>0.14424525962228893</v>
      </c>
      <c r="V908">
        <v>0.18907356202097622</v>
      </c>
      <c r="W908">
        <v>9.4688605714636914E-2</v>
      </c>
      <c r="X908">
        <v>1.6037062577727638E-2</v>
      </c>
      <c r="Y908">
        <v>4.0782893837500219E-3</v>
      </c>
    </row>
    <row r="909" spans="1:25" x14ac:dyDescent="0.25">
      <c r="A909" s="1096"/>
      <c r="B909" s="1455">
        <v>659</v>
      </c>
      <c r="C909" s="1100">
        <v>0.9918368401295421</v>
      </c>
      <c r="D909" s="1100">
        <v>0.9870303674895109</v>
      </c>
      <c r="E909" s="1100">
        <v>0.99810277643335155</v>
      </c>
      <c r="F909" s="1100">
        <v>1.0333739627761984</v>
      </c>
      <c r="G909" s="1100">
        <v>1.040493287844849</v>
      </c>
      <c r="H909" s="1100">
        <v>0.98862716226340175</v>
      </c>
      <c r="I909" s="1100">
        <v>1.0026917838493796</v>
      </c>
      <c r="K909">
        <v>2.2719183123689923</v>
      </c>
      <c r="L909">
        <v>0</v>
      </c>
      <c r="M909">
        <v>1.5521974739813515E-3</v>
      </c>
      <c r="N909">
        <v>0.14031114259371286</v>
      </c>
      <c r="O909">
        <v>1.9970855628053383E-2</v>
      </c>
      <c r="P909">
        <v>2.6803441346535312E-2</v>
      </c>
      <c r="Q909">
        <v>5.5588192083497944E-3</v>
      </c>
      <c r="R909">
        <v>1.5301302140396378E-3</v>
      </c>
      <c r="S909">
        <v>0.2448163152983045</v>
      </c>
      <c r="T909">
        <v>1.3887106328376979</v>
      </c>
      <c r="U909">
        <v>0.14394318929089983</v>
      </c>
      <c r="V909">
        <v>0.18979013302107214</v>
      </c>
      <c r="W909">
        <v>9.2278955985111433E-2</v>
      </c>
      <c r="X909">
        <v>1.5592384383868275E-2</v>
      </c>
      <c r="Y909">
        <v>4.1645100353263978E-3</v>
      </c>
    </row>
    <row r="910" spans="1:25" x14ac:dyDescent="0.25">
      <c r="A910" s="1096"/>
      <c r="B910" s="1455">
        <v>660</v>
      </c>
      <c r="C910" s="1100">
        <v>1.0087359638477726</v>
      </c>
      <c r="D910" s="1100">
        <v>1.0297208874255097</v>
      </c>
      <c r="E910" s="1100">
        <v>0.99234473194869055</v>
      </c>
      <c r="F910" s="1100">
        <v>0.97331064332213924</v>
      </c>
      <c r="G910" s="1100">
        <v>1.020970484449889</v>
      </c>
      <c r="H910" s="1100">
        <v>1.0036128510267472</v>
      </c>
      <c r="I910" s="1100">
        <v>1.0311980317899816</v>
      </c>
      <c r="K910">
        <v>2.1780637807308221</v>
      </c>
      <c r="L910">
        <v>0</v>
      </c>
      <c r="M910">
        <v>1.5533922333456809E-3</v>
      </c>
      <c r="N910">
        <v>0.138026369563229</v>
      </c>
      <c r="O910">
        <v>1.9450679748132162E-2</v>
      </c>
      <c r="P910">
        <v>2.5499557509353916E-2</v>
      </c>
      <c r="Q910">
        <v>5.3827023216878392E-3</v>
      </c>
      <c r="R910">
        <v>1.5316377440358429E-3</v>
      </c>
      <c r="S910">
        <v>0.24356113882994296</v>
      </c>
      <c r="T910">
        <v>1.3079855595396526</v>
      </c>
      <c r="U910">
        <v>0.14151860971182545</v>
      </c>
      <c r="V910">
        <v>0.18657641614546752</v>
      </c>
      <c r="W910">
        <v>9.1088692239108177E-2</v>
      </c>
      <c r="X910">
        <v>1.482719657671047E-2</v>
      </c>
      <c r="Y910">
        <v>4.168613035018939E-3</v>
      </c>
    </row>
    <row r="911" spans="1:25" x14ac:dyDescent="0.25">
      <c r="A911" s="1096"/>
      <c r="B911" s="1455">
        <v>661</v>
      </c>
      <c r="C911" s="1100">
        <v>0.99847450416135186</v>
      </c>
      <c r="D911" s="1100">
        <v>0.99316799822040436</v>
      </c>
      <c r="E911" s="1100">
        <v>0.98920321638418596</v>
      </c>
      <c r="F911" s="1100">
        <v>0.99218376119168794</v>
      </c>
      <c r="G911" s="1100">
        <v>1.0254910695444979</v>
      </c>
      <c r="H911" s="1100">
        <v>1.0289391998701454</v>
      </c>
      <c r="I911" s="1100">
        <v>1.0036866680965284</v>
      </c>
      <c r="K911">
        <v>2.2190721670293621</v>
      </c>
      <c r="L911">
        <v>0</v>
      </c>
      <c r="M911">
        <v>1.6323919321557811E-3</v>
      </c>
      <c r="N911">
        <v>0.14372503093653963</v>
      </c>
      <c r="O911">
        <v>1.980548618855995E-2</v>
      </c>
      <c r="P911">
        <v>2.5848327630330879E-2</v>
      </c>
      <c r="Q911">
        <v>5.4635214018036067E-3</v>
      </c>
      <c r="R911">
        <v>1.6100937887833537E-3</v>
      </c>
      <c r="S911">
        <v>0.24585804818674037</v>
      </c>
      <c r="T911">
        <v>1.3333439030067606</v>
      </c>
      <c r="U911">
        <v>0.1429657826922997</v>
      </c>
      <c r="V911">
        <v>0.18768904702346473</v>
      </c>
      <c r="W911">
        <v>9.5028010511102212E-2</v>
      </c>
      <c r="X911">
        <v>1.4985163069337597E-2</v>
      </c>
      <c r="Y911">
        <v>4.3821445257934645E-3</v>
      </c>
    </row>
    <row r="912" spans="1:25" x14ac:dyDescent="0.25">
      <c r="A912" s="1096"/>
      <c r="B912" s="1455">
        <v>662</v>
      </c>
      <c r="C912" s="1100">
        <v>1.022645612029734</v>
      </c>
      <c r="D912" s="1100">
        <v>1.0251195496293588</v>
      </c>
      <c r="E912" s="1100">
        <v>1.0034429798546973</v>
      </c>
      <c r="F912" s="1100">
        <v>0.98601205486576338</v>
      </c>
      <c r="G912" s="1100">
        <v>0.96649928462762935</v>
      </c>
      <c r="H912" s="1100">
        <v>0.98710994871063917</v>
      </c>
      <c r="I912" s="1100">
        <v>1.0099884790015821</v>
      </c>
      <c r="K912">
        <v>2.1724865722884745</v>
      </c>
      <c r="L912">
        <v>0</v>
      </c>
      <c r="M912">
        <v>1.4742325926126894E-3</v>
      </c>
      <c r="N912">
        <v>0.13542786704743304</v>
      </c>
      <c r="O912">
        <v>1.9211771893915777E-2</v>
      </c>
      <c r="P912">
        <v>2.5702056006946836E-2</v>
      </c>
      <c r="Q912">
        <v>5.376300511935714E-3</v>
      </c>
      <c r="R912">
        <v>1.4532415284412735E-3</v>
      </c>
      <c r="S912">
        <v>0.23461262150105067</v>
      </c>
      <c r="T912">
        <v>1.3250712985641526</v>
      </c>
      <c r="U912">
        <v>0.13961870335812349</v>
      </c>
      <c r="V912">
        <v>0.17962885832711994</v>
      </c>
      <c r="W912">
        <v>8.8785280540683437E-2</v>
      </c>
      <c r="X912">
        <v>1.5117561221807027E-2</v>
      </c>
      <c r="Y912">
        <v>3.9552443794760453E-3</v>
      </c>
    </row>
    <row r="913" spans="1:25" x14ac:dyDescent="0.25">
      <c r="A913" s="1096"/>
      <c r="B913" s="1455">
        <v>663</v>
      </c>
      <c r="C913" s="1100">
        <v>1.0154126108107977</v>
      </c>
      <c r="D913" s="1100">
        <v>0.99133513909279347</v>
      </c>
      <c r="E913" s="1100">
        <v>1.0039562533828283</v>
      </c>
      <c r="F913" s="1100">
        <v>0.95058227655964511</v>
      </c>
      <c r="G913" s="1100">
        <v>0.9795715140349186</v>
      </c>
      <c r="H913" s="1100">
        <v>1.0066068720303636</v>
      </c>
      <c r="I913" s="1100">
        <v>0.98140500573014966</v>
      </c>
      <c r="K913">
        <v>2.1358604689267344</v>
      </c>
      <c r="L913">
        <v>0</v>
      </c>
      <c r="M913">
        <v>1.523639446335968E-3</v>
      </c>
      <c r="N913">
        <v>0.14022291971432135</v>
      </c>
      <c r="O913">
        <v>1.9492114967611825E-2</v>
      </c>
      <c r="P913">
        <v>2.5104970151084916E-2</v>
      </c>
      <c r="Q913">
        <v>5.4575621100171941E-3</v>
      </c>
      <c r="R913">
        <v>1.5023650966354165E-3</v>
      </c>
      <c r="S913">
        <v>0.23498423544442518</v>
      </c>
      <c r="T913">
        <v>1.2774591242465148</v>
      </c>
      <c r="U913">
        <v>0.14061440169875106</v>
      </c>
      <c r="V913">
        <v>0.18152017257971728</v>
      </c>
      <c r="W913">
        <v>9.1900915588100845E-2</v>
      </c>
      <c r="X913">
        <v>1.5036384237366897E-2</v>
      </c>
      <c r="Y913">
        <v>4.0889425385206004E-3</v>
      </c>
    </row>
    <row r="914" spans="1:25" x14ac:dyDescent="0.25">
      <c r="A914" s="1096"/>
      <c r="B914" s="1455">
        <v>664</v>
      </c>
      <c r="C914" s="1100">
        <v>1.0242989411979431</v>
      </c>
      <c r="D914" s="1100">
        <v>0.99943445351076365</v>
      </c>
      <c r="E914" s="1100">
        <v>1.0042646449792867</v>
      </c>
      <c r="F914" s="1100">
        <v>1.0217531313954056</v>
      </c>
      <c r="G914" s="1100">
        <v>1.0091697235764951</v>
      </c>
      <c r="H914" s="1100">
        <v>1.0293185011021899</v>
      </c>
      <c r="I914" s="1100">
        <v>1.0138885886915763</v>
      </c>
      <c r="K914">
        <v>2.2441843016624996</v>
      </c>
      <c r="L914">
        <v>0</v>
      </c>
      <c r="M914">
        <v>1.5407511154193303E-3</v>
      </c>
      <c r="N914">
        <v>0.14197421630481499</v>
      </c>
      <c r="O914">
        <v>1.9288639287063883E-2</v>
      </c>
      <c r="P914">
        <v>2.6530929187102804E-2</v>
      </c>
      <c r="Q914">
        <v>5.402261900342601E-3</v>
      </c>
      <c r="R914">
        <v>1.5197125225795182E-3</v>
      </c>
      <c r="S914">
        <v>0.24148567606360788</v>
      </c>
      <c r="T914">
        <v>1.3731040396787821</v>
      </c>
      <c r="U914">
        <v>0.13939519165136249</v>
      </c>
      <c r="V914">
        <v>0.18435918493328493</v>
      </c>
      <c r="W914">
        <v>9.3031702351276904E-2</v>
      </c>
      <c r="X914">
        <v>1.549734238433627E-2</v>
      </c>
      <c r="Y914">
        <v>4.1361565133630198E-3</v>
      </c>
    </row>
    <row r="915" spans="1:25" x14ac:dyDescent="0.25">
      <c r="A915" s="1096"/>
      <c r="B915" s="1455">
        <v>665</v>
      </c>
      <c r="C915" s="1100">
        <v>0.99780946358410627</v>
      </c>
      <c r="D915" s="1100">
        <v>1.0306236880628543</v>
      </c>
      <c r="E915" s="1100">
        <v>0.99843573236320415</v>
      </c>
      <c r="F915" s="1100">
        <v>1.0149479327258879</v>
      </c>
      <c r="G915" s="1100">
        <v>1.0003538114533672</v>
      </c>
      <c r="H915" s="1100">
        <v>0.99863279034330721</v>
      </c>
      <c r="I915" s="1100">
        <v>0.97396467439147938</v>
      </c>
      <c r="K915">
        <v>2.2262521801406687</v>
      </c>
      <c r="L915">
        <v>0</v>
      </c>
      <c r="M915">
        <v>1.5427078649479324E-3</v>
      </c>
      <c r="N915">
        <v>0.13961386764181835</v>
      </c>
      <c r="O915">
        <v>1.9663668667220555E-2</v>
      </c>
      <c r="P915">
        <v>2.6221150246656711E-2</v>
      </c>
      <c r="Q915">
        <v>5.4751486449394022E-3</v>
      </c>
      <c r="R915">
        <v>1.5209952641105787E-3</v>
      </c>
      <c r="S915">
        <v>0.23211918866014469</v>
      </c>
      <c r="T915">
        <v>1.3639491409352866</v>
      </c>
      <c r="U915">
        <v>0.14308235148758378</v>
      </c>
      <c r="V915">
        <v>0.18489518515795714</v>
      </c>
      <c r="W915">
        <v>9.1802183097818554E-2</v>
      </c>
      <c r="X915">
        <v>1.5312360489124389E-2</v>
      </c>
      <c r="Y915">
        <v>4.1396477129549353E-3</v>
      </c>
    </row>
    <row r="916" spans="1:25" x14ac:dyDescent="0.25">
      <c r="A916" s="1096"/>
      <c r="B916" s="1455">
        <v>666</v>
      </c>
      <c r="C916" s="1100">
        <v>1.0197876240728394</v>
      </c>
      <c r="D916" s="1100">
        <v>0.99714549640679118</v>
      </c>
      <c r="E916" s="1100">
        <v>0.98332040016694455</v>
      </c>
      <c r="F916" s="1100">
        <v>0.97558550644102537</v>
      </c>
      <c r="G916" s="1100">
        <v>1.0020739848143307</v>
      </c>
      <c r="H916" s="1100">
        <v>1.0226658599201592</v>
      </c>
      <c r="I916" s="1100">
        <v>1.0267350185869435</v>
      </c>
      <c r="K916">
        <v>2.1799456922785363</v>
      </c>
      <c r="L916">
        <v>0</v>
      </c>
      <c r="M916">
        <v>1.6065788320209576E-3</v>
      </c>
      <c r="N916">
        <v>0.13894614172804406</v>
      </c>
      <c r="O916">
        <v>1.9370918515010441E-2</v>
      </c>
      <c r="P916">
        <v>2.5331493852943296E-2</v>
      </c>
      <c r="Q916">
        <v>5.3118965510745107E-3</v>
      </c>
      <c r="R916">
        <v>1.584498669818842E-3</v>
      </c>
      <c r="S916">
        <v>0.24520736147998909</v>
      </c>
      <c r="T916">
        <v>1.3110309600374397</v>
      </c>
      <c r="U916">
        <v>0.13996460751729578</v>
      </c>
      <c r="V916">
        <v>0.18379555198036557</v>
      </c>
      <c r="W916">
        <v>9.2193601211952053E-2</v>
      </c>
      <c r="X916">
        <v>1.4502756517223126E-2</v>
      </c>
      <c r="Y916">
        <v>4.3124830494007636E-3</v>
      </c>
    </row>
    <row r="917" spans="1:25" x14ac:dyDescent="0.25">
      <c r="A917" s="1096"/>
      <c r="B917" s="1455">
        <v>667</v>
      </c>
      <c r="C917" s="1100">
        <v>0.95942085284807288</v>
      </c>
      <c r="D917" s="1100">
        <v>0.96361723752691164</v>
      </c>
      <c r="E917" s="1100">
        <v>0.99488414860495256</v>
      </c>
      <c r="F917" s="1100">
        <v>0.99489229503619137</v>
      </c>
      <c r="G917" s="1100">
        <v>0.99932220141984263</v>
      </c>
      <c r="H917" s="1100">
        <v>0.99147678366721503</v>
      </c>
      <c r="I917" s="1100">
        <v>1.0057193352580229</v>
      </c>
      <c r="K917">
        <v>2.2446089831787539</v>
      </c>
      <c r="L917">
        <v>0</v>
      </c>
      <c r="M917">
        <v>1.6286198577438267E-3</v>
      </c>
      <c r="N917">
        <v>0.14580038655068531</v>
      </c>
      <c r="O917">
        <v>2.0752827507209418E-2</v>
      </c>
      <c r="P917">
        <v>2.6233982156387038E-2</v>
      </c>
      <c r="Q917">
        <v>5.7577837633307032E-3</v>
      </c>
      <c r="R917">
        <v>1.6055326636816869E-3</v>
      </c>
      <c r="S917">
        <v>0.25715097233659373</v>
      </c>
      <c r="T917">
        <v>1.3369917788109804</v>
      </c>
      <c r="U917">
        <v>0.14879888360802576</v>
      </c>
      <c r="V917">
        <v>0.1871541676804602</v>
      </c>
      <c r="W917">
        <v>9.6073206497372068E-2</v>
      </c>
      <c r="X917">
        <v>1.554835081493031E-2</v>
      </c>
      <c r="Y917">
        <v>4.369730646841213E-3</v>
      </c>
    </row>
    <row r="918" spans="1:25" x14ac:dyDescent="0.25">
      <c r="A918" s="1096"/>
      <c r="B918" s="1455">
        <v>668</v>
      </c>
      <c r="C918" s="1100">
        <v>1.0072458003401632</v>
      </c>
      <c r="D918" s="1100">
        <v>1.0310504650439272</v>
      </c>
      <c r="E918" s="1100">
        <v>0.98183976293225872</v>
      </c>
      <c r="F918" s="1100">
        <v>0.96464667698449491</v>
      </c>
      <c r="G918" s="1100">
        <v>0.98099460391814797</v>
      </c>
      <c r="H918" s="1100">
        <v>1.0019593618435265</v>
      </c>
      <c r="I918" s="1100">
        <v>1.0412395654130686</v>
      </c>
      <c r="K918">
        <v>2.1619370412575272</v>
      </c>
      <c r="L918">
        <v>0</v>
      </c>
      <c r="M918">
        <v>1.5868217926922985E-3</v>
      </c>
      <c r="N918">
        <v>0.1365847748846008</v>
      </c>
      <c r="O918">
        <v>1.9467468901621241E-2</v>
      </c>
      <c r="P918">
        <v>2.5115946104846101E-2</v>
      </c>
      <c r="Q918">
        <v>5.3303563547581609E-3</v>
      </c>
      <c r="R918">
        <v>1.5645624658894215E-3</v>
      </c>
      <c r="S918">
        <v>0.24592201240367553</v>
      </c>
      <c r="T918">
        <v>1.2963291919544044</v>
      </c>
      <c r="U918">
        <v>0.14170401616227388</v>
      </c>
      <c r="V918">
        <v>0.18213561406679638</v>
      </c>
      <c r="W918">
        <v>9.0707680985866929E-2</v>
      </c>
      <c r="X918">
        <v>1.4404015491210499E-2</v>
      </c>
      <c r="Y918">
        <v>4.2582232742727367E-3</v>
      </c>
    </row>
    <row r="919" spans="1:25" x14ac:dyDescent="0.25">
      <c r="A919" s="1096"/>
      <c r="B919" s="1455">
        <v>669</v>
      </c>
      <c r="C919" s="1100">
        <v>0.95738823704519904</v>
      </c>
      <c r="D919" s="1100">
        <v>1.0186823908321891</v>
      </c>
      <c r="E919" s="1100">
        <v>1.0209669414093219</v>
      </c>
      <c r="F919" s="1100">
        <v>1.0056292615909976</v>
      </c>
      <c r="G919" s="1100">
        <v>1.0374982085748334</v>
      </c>
      <c r="H919" s="1100">
        <v>1.0085116115012478</v>
      </c>
      <c r="I919" s="1100">
        <v>0.99362274888596491</v>
      </c>
      <c r="K919">
        <v>2.2636569408551659</v>
      </c>
      <c r="L919">
        <v>0</v>
      </c>
      <c r="M919">
        <v>1.5534742141048886E-3</v>
      </c>
      <c r="N919">
        <v>0.15050527782328391</v>
      </c>
      <c r="O919">
        <v>2.0561149815647529E-2</v>
      </c>
      <c r="P919">
        <v>2.6903414491411322E-2</v>
      </c>
      <c r="Q919">
        <v>5.8554748016641763E-3</v>
      </c>
      <c r="R919">
        <v>1.531824252877132E-3</v>
      </c>
      <c r="S919">
        <v>0.24922787180004194</v>
      </c>
      <c r="T919">
        <v>1.3514669598725544</v>
      </c>
      <c r="U919">
        <v>0.14917759617703305</v>
      </c>
      <c r="V919">
        <v>0.19162489070824193</v>
      </c>
      <c r="W919">
        <v>9.7657283706027193E-2</v>
      </c>
      <c r="X919">
        <v>1.6529550969886182E-2</v>
      </c>
      <c r="Y919">
        <v>4.1691206506023048E-3</v>
      </c>
    </row>
    <row r="920" spans="1:25" x14ac:dyDescent="0.25">
      <c r="A920" s="1096"/>
      <c r="B920" s="1455">
        <v>670</v>
      </c>
      <c r="C920" s="1100">
        <v>0.99929302693279909</v>
      </c>
      <c r="D920" s="1100">
        <v>1.0407682419751549</v>
      </c>
      <c r="E920" s="1100">
        <v>0.97340577317379307</v>
      </c>
      <c r="F920" s="1100">
        <v>0.98713434501541053</v>
      </c>
      <c r="G920" s="1100">
        <v>1.0336728382999456</v>
      </c>
      <c r="H920" s="1100">
        <v>0.97558870787973573</v>
      </c>
      <c r="I920" s="1100">
        <v>0.9696824741587653</v>
      </c>
      <c r="K920">
        <v>2.1753272557102261</v>
      </c>
      <c r="L920">
        <v>0</v>
      </c>
      <c r="M920">
        <v>1.5814744902301391E-3</v>
      </c>
      <c r="N920">
        <v>0.13264315553025446</v>
      </c>
      <c r="O920">
        <v>1.9576736326035515E-2</v>
      </c>
      <c r="P920">
        <v>2.5215950606635555E-2</v>
      </c>
      <c r="Q920">
        <v>5.3144608695914006E-3</v>
      </c>
      <c r="R920">
        <v>1.5586905200778536E-3</v>
      </c>
      <c r="S920">
        <v>0.22768496598219462</v>
      </c>
      <c r="T920">
        <v>1.326539808848741</v>
      </c>
      <c r="U920">
        <v>0.14281239203393617</v>
      </c>
      <c r="V920">
        <v>0.1885520128209692</v>
      </c>
      <c r="W920">
        <v>8.8540608188728803E-2</v>
      </c>
      <c r="X920">
        <v>1.4227706699832587E-2</v>
      </c>
      <c r="Y920">
        <v>4.2422417734600667E-3</v>
      </c>
    </row>
    <row r="921" spans="1:25" x14ac:dyDescent="0.25">
      <c r="A921" s="1096"/>
      <c r="B921" s="1455">
        <v>671</v>
      </c>
      <c r="C921" s="1100">
        <v>0.9992896493824186</v>
      </c>
      <c r="D921" s="1100">
        <v>1.0389192423605822</v>
      </c>
      <c r="E921" s="1100">
        <v>0.98026348456356427</v>
      </c>
      <c r="F921" s="1100">
        <v>1.0219896901806609</v>
      </c>
      <c r="G921" s="1100">
        <v>1.0013146042163488</v>
      </c>
      <c r="H921" s="1100">
        <v>0.9920570514117415</v>
      </c>
      <c r="I921" s="1100">
        <v>0.97923687069401388</v>
      </c>
      <c r="K921">
        <v>2.228596856706428</v>
      </c>
      <c r="L921">
        <v>0</v>
      </c>
      <c r="M921">
        <v>1.5861641935872234E-3</v>
      </c>
      <c r="N921">
        <v>0.13585933525871136</v>
      </c>
      <c r="O921">
        <v>1.9588697429193721E-2</v>
      </c>
      <c r="P921">
        <v>2.5979600266478244E-2</v>
      </c>
      <c r="Q921">
        <v>5.354968557833825E-3</v>
      </c>
      <c r="R921">
        <v>1.5636919998512054E-3</v>
      </c>
      <c r="S921">
        <v>0.23146333466142693</v>
      </c>
      <c r="T921">
        <v>1.3733870347705273</v>
      </c>
      <c r="U921">
        <v>0.14282861551060724</v>
      </c>
      <c r="V921">
        <v>0.18490007048700041</v>
      </c>
      <c r="W921">
        <v>9.0311753056186481E-2</v>
      </c>
      <c r="X921">
        <v>1.4690064749531107E-2</v>
      </c>
      <c r="Y921">
        <v>4.2558541526657653E-3</v>
      </c>
    </row>
    <row r="922" spans="1:25" x14ac:dyDescent="0.25">
      <c r="A922" s="1096"/>
      <c r="B922" s="1455">
        <v>672</v>
      </c>
      <c r="C922" s="1100">
        <v>0.97893817429302166</v>
      </c>
      <c r="D922" s="1100">
        <v>0.99905195108376099</v>
      </c>
      <c r="E922" s="1100">
        <v>1.0241699815886958</v>
      </c>
      <c r="F922" s="1100">
        <v>0.99092050383732055</v>
      </c>
      <c r="G922" s="1100">
        <v>1.0018824112807037</v>
      </c>
      <c r="H922" s="1100">
        <v>1.0023891888893524</v>
      </c>
      <c r="I922" s="1100">
        <v>1.0056236013708935</v>
      </c>
      <c r="K922">
        <v>2.2281580532240355</v>
      </c>
      <c r="L922">
        <v>0</v>
      </c>
      <c r="M922">
        <v>1.5064546118427672E-3</v>
      </c>
      <c r="N922">
        <v>0.14735401890352567</v>
      </c>
      <c r="O922">
        <v>2.0196843151015931E-2</v>
      </c>
      <c r="P922">
        <v>2.6562980413426595E-2</v>
      </c>
      <c r="Q922">
        <v>5.7700446709935179E-3</v>
      </c>
      <c r="R922">
        <v>1.4853317064349881E-3</v>
      </c>
      <c r="S922">
        <v>0.24860232110235875</v>
      </c>
      <c r="T922">
        <v>1.331706428562405</v>
      </c>
      <c r="U922">
        <v>0.14590122165496722</v>
      </c>
      <c r="V922">
        <v>0.18623769643579663</v>
      </c>
      <c r="W922">
        <v>9.5433904293146604E-2</v>
      </c>
      <c r="X922">
        <v>1.6371133676355433E-2</v>
      </c>
      <c r="Y922">
        <v>4.0425832654506057E-3</v>
      </c>
    </row>
    <row r="923" spans="1:25" x14ac:dyDescent="0.25">
      <c r="A923" s="1096"/>
      <c r="B923" s="1455">
        <v>673</v>
      </c>
      <c r="C923" s="1100">
        <v>0.99740681085729177</v>
      </c>
      <c r="D923" s="1100">
        <v>0.99894063133551314</v>
      </c>
      <c r="E923" s="1100">
        <v>1.0055128992509517</v>
      </c>
      <c r="F923" s="1100">
        <v>1.0358516520447001</v>
      </c>
      <c r="G923" s="1100">
        <v>1.0416442649550191</v>
      </c>
      <c r="H923" s="1100">
        <v>0.97943289579934256</v>
      </c>
      <c r="I923" s="1100">
        <v>1.0162599566467747</v>
      </c>
      <c r="K923">
        <v>2.2712473988601261</v>
      </c>
      <c r="L923">
        <v>0</v>
      </c>
      <c r="M923">
        <v>1.5018745583538608E-3</v>
      </c>
      <c r="N923">
        <v>0.1388166501591136</v>
      </c>
      <c r="O923">
        <v>1.9811636963040967E-2</v>
      </c>
      <c r="P923">
        <v>2.6980650105934405E-2</v>
      </c>
      <c r="Q923">
        <v>5.5556880303909472E-3</v>
      </c>
      <c r="R923">
        <v>1.4803222917371807E-3</v>
      </c>
      <c r="S923">
        <v>0.24457262392832052</v>
      </c>
      <c r="T923">
        <v>1.3920528232696736</v>
      </c>
      <c r="U923">
        <v>0.1431564550459079</v>
      </c>
      <c r="V923">
        <v>0.18959269939665721</v>
      </c>
      <c r="W923">
        <v>9.0895438287584993E-2</v>
      </c>
      <c r="X923">
        <v>1.5805336650123153E-2</v>
      </c>
      <c r="Y923">
        <v>4.0289492899962852E-3</v>
      </c>
    </row>
    <row r="924" spans="1:25" x14ac:dyDescent="0.25">
      <c r="A924" s="1096"/>
      <c r="B924" s="1455">
        <v>674</v>
      </c>
      <c r="C924" s="1100">
        <v>0.97280493839878612</v>
      </c>
      <c r="D924" s="1100">
        <v>0.98204268463728717</v>
      </c>
      <c r="E924" s="1100">
        <v>1.0046434392187855</v>
      </c>
      <c r="F924" s="1100">
        <v>1.0081324054507268</v>
      </c>
      <c r="G924" s="1100">
        <v>0.963967454508736</v>
      </c>
      <c r="H924" s="1100">
        <v>1.0315655933647598</v>
      </c>
      <c r="I924" s="1100">
        <v>1.0256872789757236</v>
      </c>
      <c r="K924">
        <v>2.2655520690731374</v>
      </c>
      <c r="L924">
        <v>0</v>
      </c>
      <c r="M924">
        <v>1.6308586112087757E-3</v>
      </c>
      <c r="N924">
        <v>0.15045383051117486</v>
      </c>
      <c r="O924">
        <v>2.0388488175387614E-2</v>
      </c>
      <c r="P924">
        <v>2.6610022762004967E-2</v>
      </c>
      <c r="Q924">
        <v>5.7124711582074821E-3</v>
      </c>
      <c r="R924">
        <v>1.608638131031291E-3</v>
      </c>
      <c r="S924">
        <v>0.25967605820064271</v>
      </c>
      <c r="T924">
        <v>1.3548001907595677</v>
      </c>
      <c r="U924">
        <v>0.1467747688052575</v>
      </c>
      <c r="V924">
        <v>0.18231604517897079</v>
      </c>
      <c r="W924">
        <v>9.856603929784219E-2</v>
      </c>
      <c r="X924">
        <v>1.5898191999008885E-2</v>
      </c>
      <c r="Y924">
        <v>4.3781827052497974E-3</v>
      </c>
    </row>
    <row r="925" spans="1:25" x14ac:dyDescent="0.25">
      <c r="A925" s="1096"/>
      <c r="B925" s="1455">
        <v>675</v>
      </c>
      <c r="C925" s="1100">
        <v>0.9967000965890902</v>
      </c>
      <c r="D925" s="1100">
        <v>0.97025084750836621</v>
      </c>
      <c r="E925" s="1100">
        <v>0.99366581790939124</v>
      </c>
      <c r="F925" s="1100">
        <v>0.97128009684220784</v>
      </c>
      <c r="G925" s="1100">
        <v>1.0032712177756149</v>
      </c>
      <c r="H925" s="1100">
        <v>1.020558188160914</v>
      </c>
      <c r="I925" s="1100">
        <v>0.98950244164598578</v>
      </c>
      <c r="K925">
        <v>2.1883177245757754</v>
      </c>
      <c r="L925">
        <v>0</v>
      </c>
      <c r="M925">
        <v>1.6153278624636762E-3</v>
      </c>
      <c r="N925">
        <v>0.14413794073058886</v>
      </c>
      <c r="O925">
        <v>1.9945720300223957E-2</v>
      </c>
      <c r="P925">
        <v>2.5513384010717038E-2</v>
      </c>
      <c r="Q925">
        <v>5.5270609656894966E-3</v>
      </c>
      <c r="R925">
        <v>1.5930816085633808E-3</v>
      </c>
      <c r="S925">
        <v>0.24502039807591047</v>
      </c>
      <c r="T925">
        <v>1.3052586528262384</v>
      </c>
      <c r="U925">
        <v>0.14323059649921688</v>
      </c>
      <c r="V925">
        <v>0.18528695888000804</v>
      </c>
      <c r="W925">
        <v>9.5046871273478495E-2</v>
      </c>
      <c r="X925">
        <v>1.5036544288306227E-2</v>
      </c>
      <c r="Y925">
        <v>4.3358429792983997E-3</v>
      </c>
    </row>
    <row r="926" spans="1:25" x14ac:dyDescent="0.25">
      <c r="A926" s="1096"/>
      <c r="B926" s="1455">
        <v>676</v>
      </c>
      <c r="C926" s="1100">
        <v>1.0247274873372101</v>
      </c>
      <c r="D926" s="1100">
        <v>0.97215058620727313</v>
      </c>
      <c r="E926" s="1100">
        <v>0.96656014242397115</v>
      </c>
      <c r="F926" s="1100">
        <v>0.97811078246214778</v>
      </c>
      <c r="G926" s="1100">
        <v>1.0200700473522182</v>
      </c>
      <c r="H926" s="1100">
        <v>0.98239480750535768</v>
      </c>
      <c r="I926" s="1100">
        <v>0.97936067004279059</v>
      </c>
      <c r="K926">
        <v>2.1587668654675269</v>
      </c>
      <c r="L926">
        <v>0</v>
      </c>
      <c r="M926">
        <v>1.5988956885012856E-3</v>
      </c>
      <c r="N926">
        <v>0.13136654689087277</v>
      </c>
      <c r="O926">
        <v>1.9375263507469757E-2</v>
      </c>
      <c r="P926">
        <v>2.489932029282621E-2</v>
      </c>
      <c r="Q926">
        <v>5.2230941485516902E-3</v>
      </c>
      <c r="R926">
        <v>1.576020322574846E-3</v>
      </c>
      <c r="S926">
        <v>0.23250603741872383</v>
      </c>
      <c r="T926">
        <v>1.3144074388624303</v>
      </c>
      <c r="U926">
        <v>0.13925238220104977</v>
      </c>
      <c r="V926">
        <v>0.18553595749797716</v>
      </c>
      <c r="W926">
        <v>8.8054579172269942E-2</v>
      </c>
      <c r="X926">
        <v>1.3879713058193707E-2</v>
      </c>
      <c r="Y926">
        <v>4.2894077830890219E-3</v>
      </c>
    </row>
    <row r="927" spans="1:25" x14ac:dyDescent="0.25">
      <c r="A927" s="1096"/>
      <c r="B927" s="1455">
        <v>677</v>
      </c>
      <c r="C927" s="1100">
        <v>0.98844177930432464</v>
      </c>
      <c r="D927" s="1100">
        <v>1.0227497513334183</v>
      </c>
      <c r="E927" s="1100">
        <v>1.0254818042773923</v>
      </c>
      <c r="F927" s="1100">
        <v>1.0095037385837802</v>
      </c>
      <c r="G927" s="1100">
        <v>0.98285632800592893</v>
      </c>
      <c r="H927" s="1100">
        <v>1.0028331318088795</v>
      </c>
      <c r="I927" s="1100">
        <v>0.96279535137957728</v>
      </c>
      <c r="K927">
        <v>2.2298237446960827</v>
      </c>
      <c r="L927">
        <v>0</v>
      </c>
      <c r="M927">
        <v>1.4809022187904904E-3</v>
      </c>
      <c r="N927">
        <v>0.14542971659412809</v>
      </c>
      <c r="O927">
        <v>1.9900585145343198E-2</v>
      </c>
      <c r="P927">
        <v>2.6661752093668969E-2</v>
      </c>
      <c r="Q927">
        <v>5.6928063209767911E-3</v>
      </c>
      <c r="R927">
        <v>1.4601467911043694E-3</v>
      </c>
      <c r="S927">
        <v>0.23303938684066042</v>
      </c>
      <c r="T927">
        <v>1.3566834097316312</v>
      </c>
      <c r="U927">
        <v>0.14450148724492509</v>
      </c>
      <c r="V927">
        <v>0.18350552547821133</v>
      </c>
      <c r="W927">
        <v>9.4115642420693077E-2</v>
      </c>
      <c r="X927">
        <v>1.6340150025405783E-2</v>
      </c>
      <c r="Y927">
        <v>3.9740382281257683E-3</v>
      </c>
    </row>
    <row r="928" spans="1:25" x14ac:dyDescent="0.25">
      <c r="A928" s="1096"/>
      <c r="B928" s="1455">
        <v>678</v>
      </c>
      <c r="C928" s="1100">
        <v>1.0008445453811721</v>
      </c>
      <c r="D928" s="1100">
        <v>0.98957712245819085</v>
      </c>
      <c r="E928" s="1100">
        <v>0.99505553673958269</v>
      </c>
      <c r="F928" s="1100">
        <v>1.0088429822634191</v>
      </c>
      <c r="G928" s="1100">
        <v>0.98840988548980435</v>
      </c>
      <c r="H928" s="1100">
        <v>1.0044219838486641</v>
      </c>
      <c r="I928" s="1100">
        <v>1.0092404843805758</v>
      </c>
      <c r="K928">
        <v>2.2313751684122272</v>
      </c>
      <c r="L928">
        <v>0</v>
      </c>
      <c r="M928">
        <v>1.5718160473013414E-3</v>
      </c>
      <c r="N928">
        <v>0.14081408873891979</v>
      </c>
      <c r="O928">
        <v>1.9777993816491164E-2</v>
      </c>
      <c r="P928">
        <v>2.6193545267668497E-2</v>
      </c>
      <c r="Q928">
        <v>5.4882683518540972E-3</v>
      </c>
      <c r="R928">
        <v>1.5498212742241781E-3</v>
      </c>
      <c r="S928">
        <v>0.24513784098082375</v>
      </c>
      <c r="T928">
        <v>1.355739747078754</v>
      </c>
      <c r="U928">
        <v>0.14264067956376925</v>
      </c>
      <c r="V928">
        <v>0.18336183159431765</v>
      </c>
      <c r="W928">
        <v>9.2778063695696619E-2</v>
      </c>
      <c r="X928">
        <v>1.5247001487014401E-2</v>
      </c>
      <c r="Y928">
        <v>4.2181026099924711E-3</v>
      </c>
    </row>
    <row r="929" spans="1:25" x14ac:dyDescent="0.25">
      <c r="A929" s="1096"/>
      <c r="B929" s="1455">
        <v>679</v>
      </c>
      <c r="C929" s="1100">
        <v>0.96189002894537934</v>
      </c>
      <c r="D929" s="1100">
        <v>0.98999484334633936</v>
      </c>
      <c r="E929" s="1100">
        <v>1.012856643811084</v>
      </c>
      <c r="F929" s="1100">
        <v>0.96107883548235074</v>
      </c>
      <c r="G929" s="1100">
        <v>1.0181220883398057</v>
      </c>
      <c r="H929" s="1100">
        <v>0.99017443531026683</v>
      </c>
      <c r="I929" s="1100">
        <v>0.97099059008684119</v>
      </c>
      <c r="K929">
        <v>2.1883305409817977</v>
      </c>
      <c r="L929">
        <v>0</v>
      </c>
      <c r="M929">
        <v>1.5536458078550248E-3</v>
      </c>
      <c r="N929">
        <v>0.14684451012675115</v>
      </c>
      <c r="O929">
        <v>2.0588643350717493E-2</v>
      </c>
      <c r="P929">
        <v>2.5807141696500901E-2</v>
      </c>
      <c r="Q929">
        <v>5.8161400304272623E-3</v>
      </c>
      <c r="R929">
        <v>1.5315924723258922E-3</v>
      </c>
      <c r="S929">
        <v>0.24432944611456928</v>
      </c>
      <c r="T929">
        <v>1.291580310457116</v>
      </c>
      <c r="U929">
        <v>0.14845995970708928</v>
      </c>
      <c r="V929">
        <v>0.18913706154934978</v>
      </c>
      <c r="W929">
        <v>9.5736236061292959E-2</v>
      </c>
      <c r="X929">
        <v>1.5884655403165165E-2</v>
      </c>
      <c r="Y929">
        <v>4.1684898203482677E-3</v>
      </c>
    </row>
    <row r="930" spans="1:25" x14ac:dyDescent="0.25">
      <c r="A930" s="1096"/>
      <c r="B930" s="1455">
        <v>680</v>
      </c>
      <c r="C930" s="1100">
        <v>1.0110339480321135</v>
      </c>
      <c r="D930" s="1100">
        <v>0.98986170998303025</v>
      </c>
      <c r="E930" s="1100">
        <v>1.0077916827433817</v>
      </c>
      <c r="F930" s="1100">
        <v>0.98147202085282248</v>
      </c>
      <c r="G930" s="1100">
        <v>1.0205737596364428</v>
      </c>
      <c r="H930" s="1100">
        <v>0.95630667971942629</v>
      </c>
      <c r="I930" s="1100">
        <v>1.0209439504343401</v>
      </c>
      <c r="K930">
        <v>2.1805029577600132</v>
      </c>
      <c r="L930">
        <v>0</v>
      </c>
      <c r="M930">
        <v>1.442713558570755E-3</v>
      </c>
      <c r="N930">
        <v>0.13422196847339432</v>
      </c>
      <c r="O930">
        <v>1.9585317227065972E-2</v>
      </c>
      <c r="P930">
        <v>2.5913193486535608E-2</v>
      </c>
      <c r="Q930">
        <v>5.5047707362297733E-3</v>
      </c>
      <c r="R930">
        <v>1.4215096022515597E-3</v>
      </c>
      <c r="S930">
        <v>0.24164175347881731</v>
      </c>
      <c r="T930">
        <v>1.3189774009384265</v>
      </c>
      <c r="U930">
        <v>0.14123212723185394</v>
      </c>
      <c r="V930">
        <v>0.18641125255874308</v>
      </c>
      <c r="W930">
        <v>8.7768567315553159E-2</v>
      </c>
      <c r="X930">
        <v>1.5398929732898999E-2</v>
      </c>
      <c r="Y930">
        <v>3.8688805368143021E-3</v>
      </c>
    </row>
    <row r="931" spans="1:25" x14ac:dyDescent="0.25">
      <c r="A931" s="1096"/>
      <c r="B931" s="1455">
        <v>681</v>
      </c>
      <c r="C931" s="1100">
        <v>0.97088299698501901</v>
      </c>
      <c r="D931" s="1100">
        <v>0.98488529252968393</v>
      </c>
      <c r="E931" s="1100">
        <v>0.99879849281828859</v>
      </c>
      <c r="F931" s="1100">
        <v>0.97480754683203852</v>
      </c>
      <c r="G931" s="1100">
        <v>0.99800843540850659</v>
      </c>
      <c r="H931" s="1100">
        <v>1.0180240010527308</v>
      </c>
      <c r="I931" s="1100">
        <v>1.0270061986519896</v>
      </c>
      <c r="K931">
        <v>2.2191672701451739</v>
      </c>
      <c r="L931">
        <v>0</v>
      </c>
      <c r="M931">
        <v>1.6312745801175456E-3</v>
      </c>
      <c r="N931">
        <v>0.14783117648936178</v>
      </c>
      <c r="O931">
        <v>2.0412088166657256E-2</v>
      </c>
      <c r="P931">
        <v>2.593182329060683E-2</v>
      </c>
      <c r="Q931">
        <v>5.685612853201529E-3</v>
      </c>
      <c r="R931">
        <v>1.6087527836957174E-3</v>
      </c>
      <c r="S931">
        <v>0.2589502054160267</v>
      </c>
      <c r="T931">
        <v>1.310006586382519</v>
      </c>
      <c r="U931">
        <v>0.1470514571145784</v>
      </c>
      <c r="V931">
        <v>0.18627926283575799</v>
      </c>
      <c r="W931">
        <v>9.7184442040071498E-2</v>
      </c>
      <c r="X931">
        <v>1.5478642600803141E-2</v>
      </c>
      <c r="Y931">
        <v>4.3784947520071268E-3</v>
      </c>
    </row>
    <row r="932" spans="1:25" x14ac:dyDescent="0.25">
      <c r="A932" s="1096"/>
      <c r="B932" s="1455">
        <v>682</v>
      </c>
      <c r="C932" s="1100">
        <v>1.011987278595694</v>
      </c>
      <c r="D932" s="1100">
        <v>1.0190844436693676</v>
      </c>
      <c r="E932" s="1100">
        <v>1.0165052302079249</v>
      </c>
      <c r="F932" s="1100">
        <v>1.0013322564490901</v>
      </c>
      <c r="G932" s="1100">
        <v>0.97953809716976381</v>
      </c>
      <c r="H932" s="1100">
        <v>1.0208631043425267</v>
      </c>
      <c r="I932" s="1100">
        <v>1.0076344716950709</v>
      </c>
      <c r="K932">
        <v>2.2166255673102087</v>
      </c>
      <c r="L932">
        <v>0</v>
      </c>
      <c r="M932">
        <v>1.5014017222580397E-3</v>
      </c>
      <c r="N932">
        <v>0.14353991865793106</v>
      </c>
      <c r="O932">
        <v>1.9447389376849828E-2</v>
      </c>
      <c r="P932">
        <v>2.6360226659464393E-2</v>
      </c>
      <c r="Q932">
        <v>5.513766084495505E-3</v>
      </c>
      <c r="R932">
        <v>1.4807306322220954E-3</v>
      </c>
      <c r="S932">
        <v>0.24000776473469079</v>
      </c>
      <c r="T932">
        <v>1.3456832902606808</v>
      </c>
      <c r="U932">
        <v>0.14111894202891134</v>
      </c>
      <c r="V932">
        <v>0.18172533270618832</v>
      </c>
      <c r="W932">
        <v>9.3381401955830168E-2</v>
      </c>
      <c r="X932">
        <v>1.5838145277016435E-2</v>
      </c>
      <c r="Y932">
        <v>4.0300606581868178E-3</v>
      </c>
    </row>
    <row r="933" spans="1:25" x14ac:dyDescent="0.25">
      <c r="A933" s="1096"/>
      <c r="B933" s="1455">
        <v>683</v>
      </c>
      <c r="C933" s="1100">
        <v>0.96603326129657752</v>
      </c>
      <c r="D933" s="1100">
        <v>0.97773686516029168</v>
      </c>
      <c r="E933" s="1100">
        <v>1.0035767057594827</v>
      </c>
      <c r="F933" s="1100">
        <v>1.0028447768149638</v>
      </c>
      <c r="G933" s="1100">
        <v>1.0063583584439193</v>
      </c>
      <c r="H933" s="1100">
        <v>1.0078829952523569</v>
      </c>
      <c r="I933" s="1100">
        <v>1.0213495016631149</v>
      </c>
      <c r="K933">
        <v>2.259987675971197</v>
      </c>
      <c r="L933">
        <v>0</v>
      </c>
      <c r="M933">
        <v>1.6096990903929087E-3</v>
      </c>
      <c r="N933">
        <v>0.14797604562035019</v>
      </c>
      <c r="O933">
        <v>2.0550571035466848E-2</v>
      </c>
      <c r="P933">
        <v>2.6567017402607088E-2</v>
      </c>
      <c r="Q933">
        <v>5.7517271047772527E-3</v>
      </c>
      <c r="R933">
        <v>1.5872515605512955E-3</v>
      </c>
      <c r="S933">
        <v>0.25893584380455237</v>
      </c>
      <c r="T933">
        <v>1.3476925000049347</v>
      </c>
      <c r="U933">
        <v>0.14780108316642235</v>
      </c>
      <c r="V933">
        <v>0.1875342194155106</v>
      </c>
      <c r="W933">
        <v>9.7004063731950724E-2</v>
      </c>
      <c r="X933">
        <v>1.587707670398095E-2</v>
      </c>
      <c r="Y933">
        <v>4.3199755104843139E-3</v>
      </c>
    </row>
    <row r="934" spans="1:25" x14ac:dyDescent="0.25">
      <c r="A934" s="1096"/>
      <c r="B934" s="1455">
        <v>684</v>
      </c>
      <c r="C934" s="1100">
        <v>1.0022384966281148</v>
      </c>
      <c r="D934" s="1100">
        <v>0.99344064634177942</v>
      </c>
      <c r="E934" s="1100">
        <v>1.013124856515119</v>
      </c>
      <c r="F934" s="1100">
        <v>1.0059323678310179</v>
      </c>
      <c r="G934" s="1100">
        <v>0.97238143780811526</v>
      </c>
      <c r="H934" s="1100">
        <v>0.99904782728354713</v>
      </c>
      <c r="I934" s="1100">
        <v>0.98662899637016832</v>
      </c>
      <c r="K934">
        <v>2.2207082708726662</v>
      </c>
      <c r="L934">
        <v>0</v>
      </c>
      <c r="M934">
        <v>1.5024735899822996E-3</v>
      </c>
      <c r="N934">
        <v>0.14214109863475122</v>
      </c>
      <c r="O934">
        <v>1.9744847529144897E-2</v>
      </c>
      <c r="P934">
        <v>2.637533746137196E-2</v>
      </c>
      <c r="Q934">
        <v>5.5792671523202325E-3</v>
      </c>
      <c r="R934">
        <v>1.481336045035136E-3</v>
      </c>
      <c r="S934">
        <v>0.2385589806123655</v>
      </c>
      <c r="T934">
        <v>1.3518588460881564</v>
      </c>
      <c r="U934">
        <v>0.14248382412677821</v>
      </c>
      <c r="V934">
        <v>0.18148369173295831</v>
      </c>
      <c r="W934">
        <v>9.2655195372638346E-2</v>
      </c>
      <c r="X934">
        <v>1.5816611314839805E-2</v>
      </c>
      <c r="Y934">
        <v>4.0317083922896341E-3</v>
      </c>
    </row>
    <row r="935" spans="1:25" x14ac:dyDescent="0.25">
      <c r="A935" s="1096"/>
      <c r="B935" s="1455">
        <v>685</v>
      </c>
      <c r="C935" s="1100">
        <v>1.0097100451300276</v>
      </c>
      <c r="D935" s="1100">
        <v>0.98378275469752385</v>
      </c>
      <c r="E935" s="1100">
        <v>1.0241683485627793</v>
      </c>
      <c r="F935" s="1100">
        <v>0.98260667764291076</v>
      </c>
      <c r="G935" s="1100">
        <v>1.0046409651931976</v>
      </c>
      <c r="H935" s="1100">
        <v>0.9878739339047834</v>
      </c>
      <c r="I935" s="1100">
        <v>0.99854769645495767</v>
      </c>
      <c r="K935">
        <v>2.1907820163074323</v>
      </c>
      <c r="L935">
        <v>0</v>
      </c>
      <c r="M935">
        <v>1.4442847260260562E-3</v>
      </c>
      <c r="N935">
        <v>0.1412426495464289</v>
      </c>
      <c r="O935">
        <v>1.9647785516364827E-2</v>
      </c>
      <c r="P935">
        <v>2.62054746644927E-2</v>
      </c>
      <c r="Q935">
        <v>5.6131750709711055E-3</v>
      </c>
      <c r="R935">
        <v>1.4237359826232727E-3</v>
      </c>
      <c r="S935">
        <v>0.24002324421165613</v>
      </c>
      <c r="T935">
        <v>1.3205334039816758</v>
      </c>
      <c r="U935">
        <v>0.14145473987247167</v>
      </c>
      <c r="V935">
        <v>0.18470191941505337</v>
      </c>
      <c r="W935">
        <v>9.1475959972812382E-2</v>
      </c>
      <c r="X935">
        <v>1.6029272788647485E-2</v>
      </c>
      <c r="Y935">
        <v>3.8749400102600132E-3</v>
      </c>
    </row>
    <row r="936" spans="1:25" x14ac:dyDescent="0.25">
      <c r="A936" s="1096"/>
      <c r="B936" s="1455">
        <v>686</v>
      </c>
      <c r="C936" s="1100">
        <v>0.99070309290124692</v>
      </c>
      <c r="D936" s="1100">
        <v>0.99662149307012116</v>
      </c>
      <c r="E936" s="1100">
        <v>0.98867075889669009</v>
      </c>
      <c r="F936" s="1100">
        <v>0.99698103772086888</v>
      </c>
      <c r="G936" s="1100">
        <v>0.97199298713923465</v>
      </c>
      <c r="H936" s="1100">
        <v>0.97936314867617846</v>
      </c>
      <c r="I936" s="1100">
        <v>0.97543658544661926</v>
      </c>
      <c r="K936">
        <v>2.2013748125395178</v>
      </c>
      <c r="L936">
        <v>0</v>
      </c>
      <c r="M936">
        <v>1.566459349589206E-3</v>
      </c>
      <c r="N936">
        <v>0.1376015511409662</v>
      </c>
      <c r="O936">
        <v>1.9945274102612237E-2</v>
      </c>
      <c r="P936">
        <v>2.5737908812838217E-2</v>
      </c>
      <c r="Q936">
        <v>5.4991210402191076E-3</v>
      </c>
      <c r="R936">
        <v>1.5439786745609508E-3</v>
      </c>
      <c r="S936">
        <v>0.23648040117022281</v>
      </c>
      <c r="T936">
        <v>1.3397899951334924</v>
      </c>
      <c r="U936">
        <v>0.14408601959329886</v>
      </c>
      <c r="V936">
        <v>0.18210718820190458</v>
      </c>
      <c r="W936">
        <v>9.1008341753155031E-2</v>
      </c>
      <c r="X936">
        <v>1.4939291286113916E-2</v>
      </c>
      <c r="Y936">
        <v>4.2022009797216282E-3</v>
      </c>
    </row>
    <row r="937" spans="1:25" x14ac:dyDescent="0.25">
      <c r="A937" s="1096"/>
      <c r="B937" s="1455">
        <v>687</v>
      </c>
      <c r="C937" s="1100">
        <v>0.95896343240772575</v>
      </c>
      <c r="D937" s="1100">
        <v>0.99675823920033113</v>
      </c>
      <c r="E937" s="1100">
        <v>0.98264524556549271</v>
      </c>
      <c r="F937" s="1100">
        <v>1.004023380644655</v>
      </c>
      <c r="G937" s="1100">
        <v>0.96872574826873148</v>
      </c>
      <c r="H937" s="1100">
        <v>0.98902725799895874</v>
      </c>
      <c r="I937" s="1100">
        <v>1.0383932725110616</v>
      </c>
      <c r="K937">
        <v>2.2520949959596921</v>
      </c>
      <c r="L937">
        <v>0</v>
      </c>
      <c r="M937">
        <v>1.6547330583903154E-3</v>
      </c>
      <c r="N937">
        <v>0.14275112229036829</v>
      </c>
      <c r="O937">
        <v>2.0600879667369568E-2</v>
      </c>
      <c r="P937">
        <v>2.6162317108043485E-2</v>
      </c>
      <c r="Q937">
        <v>5.6453078475436902E-3</v>
      </c>
      <c r="R937">
        <v>1.6312175886171567E-3</v>
      </c>
      <c r="S937">
        <v>0.26084688616998336</v>
      </c>
      <c r="T937">
        <v>1.3492460897077401</v>
      </c>
      <c r="U937">
        <v>0.1488405287897917</v>
      </c>
      <c r="V937">
        <v>0.18371397084999397</v>
      </c>
      <c r="W937">
        <v>9.4756814350049387E-2</v>
      </c>
      <c r="X937">
        <v>1.5114958103095421E-2</v>
      </c>
      <c r="Y937">
        <v>4.4396365454823323E-3</v>
      </c>
    </row>
    <row r="938" spans="1:25" x14ac:dyDescent="0.25">
      <c r="A938" s="1096"/>
      <c r="B938" s="1455">
        <v>688</v>
      </c>
      <c r="C938" s="1100">
        <v>0.99112663930784506</v>
      </c>
      <c r="D938" s="1100">
        <v>1.0107670354577865</v>
      </c>
      <c r="E938" s="1100">
        <v>1.0041568921560906</v>
      </c>
      <c r="F938" s="1100">
        <v>1.0435475902615852</v>
      </c>
      <c r="G938" s="1100">
        <v>0.98937153720344428</v>
      </c>
      <c r="H938" s="1100">
        <v>0.96482295874220958</v>
      </c>
      <c r="I938" s="1100">
        <v>1.0288623027527282</v>
      </c>
      <c r="K938">
        <v>2.2761489219832551</v>
      </c>
      <c r="L938">
        <v>0</v>
      </c>
      <c r="M938">
        <v>1.4891819501520627E-3</v>
      </c>
      <c r="N938">
        <v>0.13705072112089292</v>
      </c>
      <c r="O938">
        <v>1.9884762113055225E-2</v>
      </c>
      <c r="P938">
        <v>2.7057899480167916E-2</v>
      </c>
      <c r="Q938">
        <v>5.5686191135483273E-3</v>
      </c>
      <c r="R938">
        <v>1.4674882261159288E-3</v>
      </c>
      <c r="S938">
        <v>0.24648918187568963</v>
      </c>
      <c r="T938">
        <v>1.4023927838866517</v>
      </c>
      <c r="U938">
        <v>0.14406039885311978</v>
      </c>
      <c r="V938">
        <v>0.18405976515942893</v>
      </c>
      <c r="W938">
        <v>8.9811207186929934E-2</v>
      </c>
      <c r="X938">
        <v>1.5801257723681395E-2</v>
      </c>
      <c r="Y938">
        <v>3.9940191941238304E-3</v>
      </c>
    </row>
    <row r="939" spans="1:25" x14ac:dyDescent="0.25">
      <c r="A939" s="1096"/>
      <c r="B939" s="1455">
        <v>689</v>
      </c>
      <c r="C939" s="1100">
        <v>1.0158527368804726</v>
      </c>
      <c r="D939" s="1100">
        <v>0.97240580993293024</v>
      </c>
      <c r="E939" s="1100">
        <v>1.0107170954357458</v>
      </c>
      <c r="F939" s="1100">
        <v>1.0414122927597611</v>
      </c>
      <c r="G939" s="1100">
        <v>0.99292520459789835</v>
      </c>
      <c r="H939" s="1100">
        <v>0.98163102962714965</v>
      </c>
      <c r="I939" s="1100">
        <v>1.0302270397141633</v>
      </c>
      <c r="K939">
        <v>2.2703424522220681</v>
      </c>
      <c r="L939">
        <v>0</v>
      </c>
      <c r="M939">
        <v>1.4707097507004974E-3</v>
      </c>
      <c r="N939">
        <v>0.13809354341821481</v>
      </c>
      <c r="O939">
        <v>1.9570672748777752E-2</v>
      </c>
      <c r="P939">
        <v>2.7094503042163563E-2</v>
      </c>
      <c r="Q939">
        <v>5.5167707281261105E-3</v>
      </c>
      <c r="R939">
        <v>1.4496519665085071E-3</v>
      </c>
      <c r="S939">
        <v>0.24696785891841555</v>
      </c>
      <c r="T939">
        <v>1.3995351972604955</v>
      </c>
      <c r="U939">
        <v>0.14056881955124872</v>
      </c>
      <c r="V939">
        <v>0.18301023325490681</v>
      </c>
      <c r="W939">
        <v>9.0144484714683393E-2</v>
      </c>
      <c r="X939">
        <v>1.5915951594035561E-2</v>
      </c>
      <c r="Y939">
        <v>3.9454747751938293E-3</v>
      </c>
    </row>
    <row r="940" spans="1:25" x14ac:dyDescent="0.25">
      <c r="A940" s="1096"/>
      <c r="B940" s="1455">
        <v>690</v>
      </c>
      <c r="C940" s="1100">
        <v>1.007951392066643</v>
      </c>
      <c r="D940" s="1100">
        <v>0.99846495813362379</v>
      </c>
      <c r="E940" s="1100">
        <v>1.0097933631075338</v>
      </c>
      <c r="F940" s="1100">
        <v>0.99840367031450661</v>
      </c>
      <c r="G940" s="1100">
        <v>0.98647240662417734</v>
      </c>
      <c r="H940" s="1100">
        <v>1.0049564030099076</v>
      </c>
      <c r="I940" s="1100">
        <v>0.98361214439453948</v>
      </c>
      <c r="K940">
        <v>2.2074343200322155</v>
      </c>
      <c r="L940">
        <v>0</v>
      </c>
      <c r="M940">
        <v>1.5115544223821787E-3</v>
      </c>
      <c r="N940">
        <v>0.14158116311843216</v>
      </c>
      <c r="O940">
        <v>1.960909071014608E-2</v>
      </c>
      <c r="P940">
        <v>2.6146751304538599E-2</v>
      </c>
      <c r="Q940">
        <v>5.5224992504233064E-3</v>
      </c>
      <c r="R940">
        <v>1.4904141517114524E-3</v>
      </c>
      <c r="S940">
        <v>0.23632410089229461</v>
      </c>
      <c r="T940">
        <v>1.3417350124340788</v>
      </c>
      <c r="U940">
        <v>0.1416686271659284</v>
      </c>
      <c r="V940">
        <v>0.18273789196518256</v>
      </c>
      <c r="W940">
        <v>9.2471473225033463E-2</v>
      </c>
      <c r="X940">
        <v>1.5602434230763429E-2</v>
      </c>
      <c r="Y940">
        <v>4.0564160060655051E-3</v>
      </c>
    </row>
    <row r="941" spans="1:25" x14ac:dyDescent="0.25">
      <c r="A941" s="1096"/>
      <c r="B941" s="1455">
        <v>691</v>
      </c>
      <c r="C941" s="1100">
        <v>0.98448958634016392</v>
      </c>
      <c r="D941" s="1100">
        <v>0.96305480712910818</v>
      </c>
      <c r="E941" s="1100">
        <v>0.97591501292242855</v>
      </c>
      <c r="F941" s="1100">
        <v>0.97971920802816836</v>
      </c>
      <c r="G941" s="1100">
        <v>1.0161474337617846</v>
      </c>
      <c r="H941" s="1100">
        <v>0.98896377625025456</v>
      </c>
      <c r="I941" s="1100">
        <v>0.98820620748905996</v>
      </c>
      <c r="K941">
        <v>2.1969826913243549</v>
      </c>
      <c r="L941">
        <v>0</v>
      </c>
      <c r="M941">
        <v>1.6467238219088718E-3</v>
      </c>
      <c r="N941">
        <v>0.13919632682098032</v>
      </c>
      <c r="O941">
        <v>2.0214873964672992E-2</v>
      </c>
      <c r="P941">
        <v>2.5390036036257477E-2</v>
      </c>
      <c r="Q941">
        <v>5.5017503147348646E-3</v>
      </c>
      <c r="R941">
        <v>1.6233206695216325E-3</v>
      </c>
      <c r="S941">
        <v>0.24596047286856462</v>
      </c>
      <c r="T941">
        <v>1.3165776801790556</v>
      </c>
      <c r="U941">
        <v>0.1449656582235444</v>
      </c>
      <c r="V941">
        <v>0.18746527819254433</v>
      </c>
      <c r="W941">
        <v>9.2773645532569171E-2</v>
      </c>
      <c r="X941">
        <v>1.4542228608894186E-2</v>
      </c>
      <c r="Y941">
        <v>4.4181437349229951E-3</v>
      </c>
    </row>
    <row r="942" spans="1:25" x14ac:dyDescent="0.25">
      <c r="A942" s="1096"/>
      <c r="B942" s="1455">
        <v>692</v>
      </c>
      <c r="C942" s="1100">
        <v>0.96589071428343176</v>
      </c>
      <c r="D942" s="1100">
        <v>1.0004863516973801</v>
      </c>
      <c r="E942" s="1100">
        <v>1.0136142780295163</v>
      </c>
      <c r="F942" s="1100">
        <v>0.9660214865919915</v>
      </c>
      <c r="G942" s="1100">
        <v>0.98500813982276469</v>
      </c>
      <c r="H942" s="1100">
        <v>1.0000951105444091</v>
      </c>
      <c r="I942" s="1100">
        <v>1.0068847410093429</v>
      </c>
      <c r="K942">
        <v>2.1989012283315983</v>
      </c>
      <c r="L942">
        <v>0</v>
      </c>
      <c r="M942">
        <v>1.5566390455646073E-3</v>
      </c>
      <c r="N942">
        <v>0.14748531115951888</v>
      </c>
      <c r="O942">
        <v>2.0456360720130368E-2</v>
      </c>
      <c r="P942">
        <v>2.5952828899747073E-2</v>
      </c>
      <c r="Q942">
        <v>5.7831416217750554E-3</v>
      </c>
      <c r="R942">
        <v>1.5347624069504326E-3</v>
      </c>
      <c r="S942">
        <v>0.25182007048867494</v>
      </c>
      <c r="T942">
        <v>1.2982240441178157</v>
      </c>
      <c r="U942">
        <v>0.14784685337437384</v>
      </c>
      <c r="V942">
        <v>0.18513930913028262</v>
      </c>
      <c r="W942">
        <v>9.6111171699949136E-2</v>
      </c>
      <c r="X942">
        <v>1.5926896420514827E-2</v>
      </c>
      <c r="Y942">
        <v>4.1771173374275982E-3</v>
      </c>
    </row>
    <row r="943" spans="1:25" x14ac:dyDescent="0.25">
      <c r="A943" s="1096"/>
      <c r="B943" s="1455">
        <v>693</v>
      </c>
      <c r="C943" s="1100">
        <v>1.0330196968204288</v>
      </c>
      <c r="D943" s="1100">
        <v>1.025673374358443</v>
      </c>
      <c r="E943" s="1100">
        <v>0.98626973172164856</v>
      </c>
      <c r="F943" s="1100">
        <v>1.0020038404648017</v>
      </c>
      <c r="G943" s="1100">
        <v>1.00350106707387</v>
      </c>
      <c r="H943" s="1100">
        <v>1.0025301172566581</v>
      </c>
      <c r="I943" s="1100">
        <v>0.99772433588018616</v>
      </c>
      <c r="K943">
        <v>2.1896153749552627</v>
      </c>
      <c r="L943">
        <v>0</v>
      </c>
      <c r="M943">
        <v>1.5357521119976432E-3</v>
      </c>
      <c r="N943">
        <v>0.13397326421954811</v>
      </c>
      <c r="O943">
        <v>1.9006259628426198E-2</v>
      </c>
      <c r="P943">
        <v>2.5635962808503214E-2</v>
      </c>
      <c r="Q943">
        <v>5.2275051270507349E-3</v>
      </c>
      <c r="R943">
        <v>1.5142214357848802E-3</v>
      </c>
      <c r="S943">
        <v>0.23043659989815857</v>
      </c>
      <c r="T943">
        <v>1.3465367011032412</v>
      </c>
      <c r="U943">
        <v>0.13817834141600435</v>
      </c>
      <c r="V943">
        <v>0.18321435132302977</v>
      </c>
      <c r="W943">
        <v>8.8736426396807289E-2</v>
      </c>
      <c r="X943">
        <v>1.4570282125460765E-2</v>
      </c>
      <c r="Y943">
        <v>4.1212115852442893E-3</v>
      </c>
    </row>
    <row r="944" spans="1:25" x14ac:dyDescent="0.25">
      <c r="A944" s="1096"/>
      <c r="B944" s="1455">
        <v>694</v>
      </c>
      <c r="C944" s="1100">
        <v>0.95888713256838043</v>
      </c>
      <c r="D944" s="1100">
        <v>1.0081332669020306</v>
      </c>
      <c r="E944" s="1100">
        <v>1.0092649862531917</v>
      </c>
      <c r="F944" s="1100">
        <v>1.0078915950629632</v>
      </c>
      <c r="G944" s="1100">
        <v>0.97151966614555363</v>
      </c>
      <c r="H944" s="1100">
        <v>1.0234899770412933</v>
      </c>
      <c r="I944" s="1100">
        <v>1.0426708070551691</v>
      </c>
      <c r="K944">
        <v>2.2747844116289153</v>
      </c>
      <c r="L944">
        <v>0</v>
      </c>
      <c r="M944">
        <v>1.6165465903728857E-3</v>
      </c>
      <c r="N944">
        <v>0.15121283322770138</v>
      </c>
      <c r="O944">
        <v>2.0568449843701805E-2</v>
      </c>
      <c r="P944">
        <v>2.6805360477660939E-2</v>
      </c>
      <c r="Q944">
        <v>5.7896235234610001E-3</v>
      </c>
      <c r="R944">
        <v>1.5943473246960191E-3</v>
      </c>
      <c r="S944">
        <v>0.26367981736326362</v>
      </c>
      <c r="T944">
        <v>1.3544846898560929</v>
      </c>
      <c r="U944">
        <v>0.14891624554019317</v>
      </c>
      <c r="V944">
        <v>0.18405924902052717</v>
      </c>
      <c r="W944">
        <v>9.8793032262658551E-2</v>
      </c>
      <c r="X944">
        <v>1.6158021937961578E-2</v>
      </c>
      <c r="Y944">
        <v>4.3392878413682301E-3</v>
      </c>
    </row>
    <row r="945" spans="1:25" x14ac:dyDescent="0.25">
      <c r="A945" s="1096"/>
      <c r="B945" s="1455">
        <v>695</v>
      </c>
      <c r="C945" s="1100">
        <v>1.0167768877152679</v>
      </c>
      <c r="D945" s="1100">
        <v>1.0044570566293858</v>
      </c>
      <c r="E945" s="1100">
        <v>0.97630653631979902</v>
      </c>
      <c r="F945" s="1100">
        <v>1.0147550590978884</v>
      </c>
      <c r="G945" s="1100">
        <v>0.99204958600034199</v>
      </c>
      <c r="H945" s="1100">
        <v>0.9961020747626681</v>
      </c>
      <c r="I945" s="1100">
        <v>1.024834237752805</v>
      </c>
      <c r="K945">
        <v>2.222728963229212</v>
      </c>
      <c r="L945">
        <v>0</v>
      </c>
      <c r="M945">
        <v>1.5898517440898795E-3</v>
      </c>
      <c r="N945">
        <v>0.13456221298168833</v>
      </c>
      <c r="O945">
        <v>1.9392784795761963E-2</v>
      </c>
      <c r="P945">
        <v>2.5856922512715135E-2</v>
      </c>
      <c r="Q945">
        <v>5.2801129925438353E-3</v>
      </c>
      <c r="R945">
        <v>1.5674187749011369E-3</v>
      </c>
      <c r="S945">
        <v>0.24239334280606459</v>
      </c>
      <c r="T945">
        <v>1.3636603902579751</v>
      </c>
      <c r="U945">
        <v>0.14036322083582664</v>
      </c>
      <c r="V945">
        <v>0.18282875874729909</v>
      </c>
      <c r="W945">
        <v>8.966376668023178E-2</v>
      </c>
      <c r="X945">
        <v>1.4483886382471601E-2</v>
      </c>
      <c r="Y945">
        <v>4.2659972058206137E-3</v>
      </c>
    </row>
    <row r="946" spans="1:25" x14ac:dyDescent="0.25">
      <c r="A946" s="1096"/>
      <c r="B946" s="1455">
        <v>696</v>
      </c>
      <c r="C946" s="1100">
        <v>0.98915086115086448</v>
      </c>
      <c r="D946" s="1100">
        <v>1.0017779823060331</v>
      </c>
      <c r="E946" s="1100">
        <v>0.98517473524604893</v>
      </c>
      <c r="F946" s="1100">
        <v>0.9848194849329337</v>
      </c>
      <c r="G946" s="1100">
        <v>0.96980200264901228</v>
      </c>
      <c r="H946" s="1100">
        <v>0.97468731153214927</v>
      </c>
      <c r="I946" s="1100">
        <v>1.0182514202503847</v>
      </c>
      <c r="K946">
        <v>2.1929184606308718</v>
      </c>
      <c r="L946">
        <v>0</v>
      </c>
      <c r="M946">
        <v>1.570983337841557E-3</v>
      </c>
      <c r="N946">
        <v>0.13653811724388101</v>
      </c>
      <c r="O946">
        <v>1.9951703689816958E-2</v>
      </c>
      <c r="P946">
        <v>2.5581524183762139E-2</v>
      </c>
      <c r="Q946">
        <v>5.4814566350574016E-3</v>
      </c>
      <c r="R946">
        <v>1.5483295805478138E-3</v>
      </c>
      <c r="S946">
        <v>0.24619694035195899</v>
      </c>
      <c r="T946">
        <v>1.3234422298956097</v>
      </c>
      <c r="U946">
        <v>0.14430400728240136</v>
      </c>
      <c r="V946">
        <v>0.18195040748136601</v>
      </c>
      <c r="W946">
        <v>9.0494785680096168E-2</v>
      </c>
      <c r="X946">
        <v>1.4785899232670541E-2</v>
      </c>
      <c r="Y946">
        <v>4.2140427115420973E-3</v>
      </c>
    </row>
    <row r="947" spans="1:25" x14ac:dyDescent="0.25">
      <c r="A947" s="1096"/>
      <c r="B947" s="1455">
        <v>697</v>
      </c>
      <c r="C947" s="1100">
        <v>0.99738691124350387</v>
      </c>
      <c r="D947" s="1100">
        <v>1.0262310998644411</v>
      </c>
      <c r="E947" s="1100">
        <v>0.99575813387805412</v>
      </c>
      <c r="F947" s="1100">
        <v>0.96637224736680472</v>
      </c>
      <c r="G947" s="1100">
        <v>1.0019375813329985</v>
      </c>
      <c r="H947" s="1100">
        <v>0.96965917410945446</v>
      </c>
      <c r="I947" s="1100">
        <v>1.0309678349479674</v>
      </c>
      <c r="K947">
        <v>2.1648809557328033</v>
      </c>
      <c r="L947">
        <v>0</v>
      </c>
      <c r="M947">
        <v>1.5083428775372839E-3</v>
      </c>
      <c r="N947">
        <v>0.13534606569010021</v>
      </c>
      <c r="O947">
        <v>1.9688826302438543E-2</v>
      </c>
      <c r="P947">
        <v>2.5444946615174026E-2</v>
      </c>
      <c r="Q947">
        <v>5.4673946655486826E-3</v>
      </c>
      <c r="R947">
        <v>1.486479616352152E-3</v>
      </c>
      <c r="S947">
        <v>0.2439220689809431</v>
      </c>
      <c r="T947">
        <v>1.2986662061007781</v>
      </c>
      <c r="U947">
        <v>0.14313679166207866</v>
      </c>
      <c r="V947">
        <v>0.18509705018162442</v>
      </c>
      <c r="W947">
        <v>8.9137985988069268E-2</v>
      </c>
      <c r="X947">
        <v>1.4949775309394897E-2</v>
      </c>
      <c r="Y947">
        <v>4.0457074978367223E-3</v>
      </c>
    </row>
    <row r="948" spans="1:25" x14ac:dyDescent="0.25">
      <c r="A948" s="1096"/>
      <c r="B948" s="1455">
        <v>698</v>
      </c>
      <c r="C948" s="1100">
        <v>1.0418179690886813</v>
      </c>
      <c r="D948" s="1100">
        <v>1.0388079901729974</v>
      </c>
      <c r="E948" s="1100">
        <v>0.99773047051774166</v>
      </c>
      <c r="F948" s="1100">
        <v>1.0062588622649649</v>
      </c>
      <c r="G948" s="1100">
        <v>1.0240662718602169</v>
      </c>
      <c r="H948" s="1100">
        <v>0.96965845019134311</v>
      </c>
      <c r="I948" s="1100">
        <v>0.99442032962760152</v>
      </c>
      <c r="K948">
        <v>2.1814834382897796</v>
      </c>
      <c r="L948">
        <v>0</v>
      </c>
      <c r="M948">
        <v>1.4342730899949134E-3</v>
      </c>
      <c r="N948">
        <v>0.12946903794756212</v>
      </c>
      <c r="O948">
        <v>1.8799872452976298E-2</v>
      </c>
      <c r="P948">
        <v>2.5856152472332413E-2</v>
      </c>
      <c r="Q948">
        <v>5.2309198401439237E-3</v>
      </c>
      <c r="R948">
        <v>1.413483446568859E-3</v>
      </c>
      <c r="S948">
        <v>0.22389464185572064</v>
      </c>
      <c r="T948">
        <v>1.3522711360272557</v>
      </c>
      <c r="U948">
        <v>0.13703670446737393</v>
      </c>
      <c r="V948">
        <v>0.18506356903733012</v>
      </c>
      <c r="W948">
        <v>8.5167262912956163E-2</v>
      </c>
      <c r="X948">
        <v>1.4867894932688407E-2</v>
      </c>
      <c r="Y948">
        <v>3.8470359868675009E-3</v>
      </c>
    </row>
    <row r="949" spans="1:25" x14ac:dyDescent="0.25">
      <c r="A949" s="1096"/>
      <c r="B949" s="1455">
        <v>699</v>
      </c>
      <c r="C949" s="1100">
        <v>1.0218657381977854</v>
      </c>
      <c r="D949" s="1100">
        <v>1.018666940863062</v>
      </c>
      <c r="E949" s="1100">
        <v>0.98722856605219178</v>
      </c>
      <c r="F949" s="1100">
        <v>0.99015522868161632</v>
      </c>
      <c r="G949" s="1100">
        <v>1.0094383120921366</v>
      </c>
      <c r="H949" s="1100">
        <v>0.99860589679564227</v>
      </c>
      <c r="I949" s="1100">
        <v>1.0136053169970527</v>
      </c>
      <c r="K949">
        <v>2.1855951438481913</v>
      </c>
      <c r="L949">
        <v>0</v>
      </c>
      <c r="M949">
        <v>1.5457010821286143E-3</v>
      </c>
      <c r="N949">
        <v>0.13522518077963719</v>
      </c>
      <c r="O949">
        <v>1.9243296885213285E-2</v>
      </c>
      <c r="P949">
        <v>2.556824960224139E-2</v>
      </c>
      <c r="Q949">
        <v>5.2978413644152195E-3</v>
      </c>
      <c r="R949">
        <v>1.5239457678450628E-3</v>
      </c>
      <c r="S949">
        <v>0.23716183426922438</v>
      </c>
      <c r="T949">
        <v>1.3306152539309295</v>
      </c>
      <c r="U949">
        <v>0.13968875352234209</v>
      </c>
      <c r="V949">
        <v>0.18451299882766425</v>
      </c>
      <c r="W949">
        <v>8.9514062007976972E-2</v>
      </c>
      <c r="X949">
        <v>1.4641749961342296E-2</v>
      </c>
      <c r="Y949">
        <v>4.1476780114869062E-3</v>
      </c>
    </row>
    <row r="950" spans="1:25" x14ac:dyDescent="0.25">
      <c r="A950" s="1096"/>
      <c r="B950" s="1455">
        <v>700</v>
      </c>
      <c r="C950" s="1100">
        <v>0.98383109024403981</v>
      </c>
      <c r="D950" s="1100">
        <v>0.98216659697423092</v>
      </c>
      <c r="E950" s="1100">
        <v>0.99264774758123342</v>
      </c>
      <c r="F950" s="1100">
        <v>1.0366636709511456</v>
      </c>
      <c r="G950" s="1100">
        <v>0.98471470919987947</v>
      </c>
      <c r="H950" s="1100">
        <v>1.0078624814556261</v>
      </c>
      <c r="I950" s="1100">
        <v>0.99628867066930715</v>
      </c>
      <c r="K950">
        <v>2.2802472532096316</v>
      </c>
      <c r="L950">
        <v>0</v>
      </c>
      <c r="M950">
        <v>1.6151693356931654E-3</v>
      </c>
      <c r="N950">
        <v>0.1436556826189492</v>
      </c>
      <c r="O950">
        <v>2.0151782309488216E-2</v>
      </c>
      <c r="P950">
        <v>2.6725378055782088E-2</v>
      </c>
      <c r="Q950">
        <v>5.5784285276502064E-3</v>
      </c>
      <c r="R950">
        <v>1.5926450638984015E-3</v>
      </c>
      <c r="S950">
        <v>0.24736532815757922</v>
      </c>
      <c r="T950">
        <v>1.393123108034088</v>
      </c>
      <c r="U950">
        <v>0.14510174500031664</v>
      </c>
      <c r="V950">
        <v>0.18396694414757317</v>
      </c>
      <c r="W950">
        <v>9.4786509833524851E-2</v>
      </c>
      <c r="X950">
        <v>1.548021594784791E-2</v>
      </c>
      <c r="Y950">
        <v>4.3346548486272365E-3</v>
      </c>
    </row>
    <row r="951" spans="1:25" x14ac:dyDescent="0.25">
      <c r="A951" s="1096"/>
      <c r="B951" s="1455">
        <v>701</v>
      </c>
      <c r="C951" s="1100">
        <v>1.0000371843693618</v>
      </c>
      <c r="D951" s="1100">
        <v>1.0221628455592229</v>
      </c>
      <c r="E951" s="1100">
        <v>1.0093861213040665</v>
      </c>
      <c r="F951" s="1100">
        <v>0.99095032135217775</v>
      </c>
      <c r="G951" s="1100">
        <v>1.011512734091885</v>
      </c>
      <c r="H951" s="1100">
        <v>0.9994645506675347</v>
      </c>
      <c r="I951" s="1100">
        <v>1.0202492612793521</v>
      </c>
      <c r="K951">
        <v>2.2086126908620529</v>
      </c>
      <c r="L951">
        <v>0</v>
      </c>
      <c r="M951">
        <v>1.5086677769877176E-3</v>
      </c>
      <c r="N951">
        <v>0.14112614794630859</v>
      </c>
      <c r="O951">
        <v>1.9662290033392496E-2</v>
      </c>
      <c r="P951">
        <v>2.6164041068504038E-2</v>
      </c>
      <c r="Q951">
        <v>5.5352274204726196E-3</v>
      </c>
      <c r="R951">
        <v>1.4874519387025006E-3</v>
      </c>
      <c r="S951">
        <v>0.24375323799118975</v>
      </c>
      <c r="T951">
        <v>1.3317178774787668</v>
      </c>
      <c r="U951">
        <v>0.14278884145979603</v>
      </c>
      <c r="V951">
        <v>0.18603377837925741</v>
      </c>
      <c r="W951">
        <v>9.2196431959580147E-2</v>
      </c>
      <c r="X951">
        <v>1.5607679124318407E-2</v>
      </c>
      <c r="Y951">
        <v>4.0483538387483965E-3</v>
      </c>
    </row>
    <row r="952" spans="1:25" x14ac:dyDescent="0.25">
      <c r="A952" s="1096"/>
      <c r="B952" s="1455">
        <v>702</v>
      </c>
      <c r="C952" s="1100">
        <v>0.97611324440840186</v>
      </c>
      <c r="D952" s="1100">
        <v>1.0314131660043977</v>
      </c>
      <c r="E952" s="1100">
        <v>0.97944392644665834</v>
      </c>
      <c r="F952" s="1100">
        <v>1.0047937936189935</v>
      </c>
      <c r="G952" s="1100">
        <v>0.96686253652496446</v>
      </c>
      <c r="H952" s="1100">
        <v>1.0325872070967672</v>
      </c>
      <c r="I952" s="1100">
        <v>1.0149593679452762</v>
      </c>
      <c r="K952">
        <v>2.2409404883934791</v>
      </c>
      <c r="L952">
        <v>0</v>
      </c>
      <c r="M952">
        <v>1.6957358120753866E-3</v>
      </c>
      <c r="N952">
        <v>0.14496645297415819</v>
      </c>
      <c r="O952">
        <v>2.0085299898677994E-2</v>
      </c>
      <c r="P952">
        <v>2.5911996872586392E-2</v>
      </c>
      <c r="Q952">
        <v>5.4861527097651757E-3</v>
      </c>
      <c r="R952">
        <v>1.6726542376776852E-3</v>
      </c>
      <c r="S952">
        <v>0.24983205474098139</v>
      </c>
      <c r="T952">
        <v>1.3502776135700163</v>
      </c>
      <c r="U952">
        <v>0.14621794874813623</v>
      </c>
      <c r="V952">
        <v>0.18241394135473316</v>
      </c>
      <c r="W952">
        <v>9.6413365598578854E-2</v>
      </c>
      <c r="X952">
        <v>1.4806330055606902E-2</v>
      </c>
      <c r="Y952">
        <v>4.552413444637398E-3</v>
      </c>
    </row>
    <row r="953" spans="1:25" x14ac:dyDescent="0.25">
      <c r="A953" s="1096"/>
      <c r="B953" s="1455">
        <v>703</v>
      </c>
      <c r="C953" s="1100">
        <v>0.98150994973331462</v>
      </c>
      <c r="D953" s="1100">
        <v>1.001167064940343</v>
      </c>
      <c r="E953" s="1100">
        <v>0.97333970603672437</v>
      </c>
      <c r="F953" s="1100">
        <v>1.0297984287677249</v>
      </c>
      <c r="G953" s="1100">
        <v>1.0158928212851164</v>
      </c>
      <c r="H953" s="1100">
        <v>1.0166295271996888</v>
      </c>
      <c r="I953" s="1100">
        <v>1.0132024189017867</v>
      </c>
      <c r="K953">
        <v>2.2751748427360474</v>
      </c>
      <c r="L953">
        <v>0</v>
      </c>
      <c r="M953">
        <v>1.6924740086532639E-3</v>
      </c>
      <c r="N953">
        <v>0.14200839060637988</v>
      </c>
      <c r="O953">
        <v>2.0102218196438624E-2</v>
      </c>
      <c r="P953">
        <v>2.630633698072302E-2</v>
      </c>
      <c r="Q953">
        <v>5.4567446831580895E-3</v>
      </c>
      <c r="R953">
        <v>1.669075225882259E-3</v>
      </c>
      <c r="S953">
        <v>0.25033231485660995</v>
      </c>
      <c r="T953">
        <v>1.3838729754052455</v>
      </c>
      <c r="U953">
        <v>0.14539972427867834</v>
      </c>
      <c r="V953">
        <v>0.18761716998776681</v>
      </c>
      <c r="W953">
        <v>9.4795796052048298E-2</v>
      </c>
      <c r="X953">
        <v>1.4763897917416398E-2</v>
      </c>
      <c r="Y953">
        <v>4.5426725543511685E-3</v>
      </c>
    </row>
    <row r="954" spans="1:25" x14ac:dyDescent="0.25">
      <c r="A954" s="1096"/>
      <c r="B954" s="1455">
        <v>704</v>
      </c>
      <c r="C954" s="1100">
        <v>1.0271074704474901</v>
      </c>
      <c r="D954" s="1100">
        <v>0.98895986215002629</v>
      </c>
      <c r="E954" s="1100">
        <v>0.97876640348238442</v>
      </c>
      <c r="F954" s="1100">
        <v>1.0187839248412573</v>
      </c>
      <c r="G954" s="1100">
        <v>0.98859353778816972</v>
      </c>
      <c r="H954" s="1100">
        <v>0.99819961882536401</v>
      </c>
      <c r="I954" s="1100">
        <v>1.006890377164483</v>
      </c>
      <c r="K954">
        <v>2.2203999195798314</v>
      </c>
      <c r="L954">
        <v>0</v>
      </c>
      <c r="M954">
        <v>1.574553413331432E-3</v>
      </c>
      <c r="N954">
        <v>0.13426718097830823</v>
      </c>
      <c r="O954">
        <v>1.9265010006193493E-2</v>
      </c>
      <c r="P954">
        <v>2.5884083830223198E-2</v>
      </c>
      <c r="Q954">
        <v>5.2584723181765356E-3</v>
      </c>
      <c r="R954">
        <v>1.5523829905545977E-3</v>
      </c>
      <c r="S954">
        <v>0.23777554864457995</v>
      </c>
      <c r="T954">
        <v>1.369077265963214</v>
      </c>
      <c r="U954">
        <v>0.13895695029129723</v>
      </c>
      <c r="V954">
        <v>0.18185348397424558</v>
      </c>
      <c r="W954">
        <v>8.9334127312576866E-2</v>
      </c>
      <c r="X954">
        <v>1.4524891926417156E-2</v>
      </c>
      <c r="Y954">
        <v>4.2250747573743122E-3</v>
      </c>
    </row>
    <row r="955" spans="1:25" x14ac:dyDescent="0.25">
      <c r="A955" s="1096"/>
      <c r="B955" s="1455">
        <v>705</v>
      </c>
      <c r="C955" s="1100">
        <v>0.95977022230031239</v>
      </c>
      <c r="D955" s="1100">
        <v>1.0026282445394872</v>
      </c>
      <c r="E955" s="1100">
        <v>0.98557175515765083</v>
      </c>
      <c r="F955" s="1100">
        <v>0.96952221547300932</v>
      </c>
      <c r="G955" s="1100">
        <v>1.0096126384841064</v>
      </c>
      <c r="H955" s="1100">
        <v>0.98259875824592002</v>
      </c>
      <c r="I955" s="1100">
        <v>1.020955099472679</v>
      </c>
      <c r="K955">
        <v>2.2019198025777929</v>
      </c>
      <c r="L955">
        <v>0</v>
      </c>
      <c r="M955">
        <v>1.6305714728736917E-3</v>
      </c>
      <c r="N955">
        <v>0.141904059049446</v>
      </c>
      <c r="O955">
        <v>2.0558888516035059E-2</v>
      </c>
      <c r="P955">
        <v>2.5575463784382791E-2</v>
      </c>
      <c r="Q955">
        <v>5.6505452350202835E-3</v>
      </c>
      <c r="R955">
        <v>1.6072477643217994E-3</v>
      </c>
      <c r="S955">
        <v>0.25497610761679357</v>
      </c>
      <c r="T955">
        <v>1.3028855996915381</v>
      </c>
      <c r="U955">
        <v>0.14872241468413014</v>
      </c>
      <c r="V955">
        <v>0.18828648620983091</v>
      </c>
      <c r="W955">
        <v>9.4028778208358227E-2</v>
      </c>
      <c r="X955">
        <v>1.4980384705409909E-2</v>
      </c>
      <c r="Y955">
        <v>4.374398585400824E-3</v>
      </c>
    </row>
    <row r="956" spans="1:25" x14ac:dyDescent="0.25">
      <c r="A956" s="1096"/>
      <c r="B956" s="1455">
        <v>706</v>
      </c>
      <c r="C956" s="1100">
        <v>1.0081219358729419</v>
      </c>
      <c r="D956" s="1100">
        <v>1.0079819298450157</v>
      </c>
      <c r="E956" s="1100">
        <v>0.96381252091574976</v>
      </c>
      <c r="F956" s="1100">
        <v>0.9660715880514229</v>
      </c>
      <c r="G956" s="1100">
        <v>0.98817521162317978</v>
      </c>
      <c r="H956" s="1100">
        <v>0.95768364048178489</v>
      </c>
      <c r="I956" s="1100">
        <v>1.0065921776539957</v>
      </c>
      <c r="K956">
        <v>2.141842297742568</v>
      </c>
      <c r="L956">
        <v>0</v>
      </c>
      <c r="M956">
        <v>1.5807194126559833E-3</v>
      </c>
      <c r="N956">
        <v>0.12874855621094916</v>
      </c>
      <c r="O956">
        <v>1.9536517463645243E-2</v>
      </c>
      <c r="P956">
        <v>2.4680711547233995E-2</v>
      </c>
      <c r="Q956">
        <v>5.2517553206082044E-3</v>
      </c>
      <c r="R956">
        <v>1.5575205499309759E-3</v>
      </c>
      <c r="S956">
        <v>0.23654450088814341</v>
      </c>
      <c r="T956">
        <v>1.2982267044396065</v>
      </c>
      <c r="U956">
        <v>0.1415398760866467</v>
      </c>
      <c r="V956">
        <v>0.18288120409955047</v>
      </c>
      <c r="W956">
        <v>8.6444741610047754E-2</v>
      </c>
      <c r="X956">
        <v>1.3771871438459295E-2</v>
      </c>
      <c r="Y956">
        <v>4.2390575004008215E-3</v>
      </c>
    </row>
    <row r="957" spans="1:25" x14ac:dyDescent="0.25">
      <c r="A957" s="1096"/>
      <c r="B957" s="1455">
        <v>707</v>
      </c>
      <c r="C957" s="1100">
        <v>0.9977298187049719</v>
      </c>
      <c r="D957" s="1100">
        <v>1.0287867818483563</v>
      </c>
      <c r="E957" s="1100">
        <v>0.97130517665073624</v>
      </c>
      <c r="F957" s="1100">
        <v>0.99253896384992113</v>
      </c>
      <c r="G957" s="1100">
        <v>1.0083654172001142</v>
      </c>
      <c r="H957" s="1100">
        <v>0.99964384184748567</v>
      </c>
      <c r="I957" s="1100">
        <v>0.9844884227318752</v>
      </c>
      <c r="K957">
        <v>2.1935690154131637</v>
      </c>
      <c r="L957">
        <v>0</v>
      </c>
      <c r="M957">
        <v>1.6342218406798677E-3</v>
      </c>
      <c r="N957">
        <v>0.13624626492821465</v>
      </c>
      <c r="O957">
        <v>1.9656118145822885E-2</v>
      </c>
      <c r="P957">
        <v>2.533248272802309E-2</v>
      </c>
      <c r="Q957">
        <v>5.3245815450907582E-3</v>
      </c>
      <c r="R957">
        <v>1.6112445037642991E-3</v>
      </c>
      <c r="S957">
        <v>0.23473162876509612</v>
      </c>
      <c r="T957">
        <v>1.333800638346504</v>
      </c>
      <c r="U957">
        <v>0.14303132000258942</v>
      </c>
      <c r="V957">
        <v>0.18578238674379091</v>
      </c>
      <c r="W957">
        <v>9.106184936931265E-2</v>
      </c>
      <c r="X957">
        <v>1.4239445782993704E-2</v>
      </c>
      <c r="Y957">
        <v>4.3852763926385064E-3</v>
      </c>
    </row>
    <row r="958" spans="1:25" x14ac:dyDescent="0.25">
      <c r="A958" s="1096"/>
      <c r="B958" s="1455">
        <v>708</v>
      </c>
      <c r="C958" s="1100">
        <v>1.0243453768247834</v>
      </c>
      <c r="D958" s="1100">
        <v>1.0197940909276024</v>
      </c>
      <c r="E958" s="1100">
        <v>1.0493914139016736</v>
      </c>
      <c r="F958" s="1100">
        <v>1.0089868601518377</v>
      </c>
      <c r="G958" s="1100">
        <v>0.97051664539356441</v>
      </c>
      <c r="H958" s="1100">
        <v>0.97220236876134891</v>
      </c>
      <c r="I958" s="1100">
        <v>1.0261447183900942</v>
      </c>
      <c r="K958">
        <v>2.213540775986405</v>
      </c>
      <c r="L958">
        <v>0</v>
      </c>
      <c r="M958">
        <v>1.3187859323839221E-3</v>
      </c>
      <c r="N958">
        <v>0.13912085868103707</v>
      </c>
      <c r="O958">
        <v>1.9229893467518598E-2</v>
      </c>
      <c r="P958">
        <v>2.7062981889718729E-2</v>
      </c>
      <c r="Q958">
        <v>5.6319941127321209E-3</v>
      </c>
      <c r="R958">
        <v>1.2997202827487169E-3</v>
      </c>
      <c r="S958">
        <v>0.23774148082362218</v>
      </c>
      <c r="T958">
        <v>1.3560464851673406</v>
      </c>
      <c r="U958">
        <v>0.13949070798562416</v>
      </c>
      <c r="V958">
        <v>0.18002839726626171</v>
      </c>
      <c r="W958">
        <v>8.8799042801024103E-2</v>
      </c>
      <c r="X958">
        <v>1.6870589284192414E-2</v>
      </c>
      <c r="Y958">
        <v>3.5374101569659493E-3</v>
      </c>
    </row>
    <row r="959" spans="1:25" x14ac:dyDescent="0.25">
      <c r="A959" s="1096"/>
      <c r="B959" s="1455">
        <v>709</v>
      </c>
      <c r="C959" s="1100">
        <v>0.99234190975245773</v>
      </c>
      <c r="D959" s="1100">
        <v>0.98467923357354292</v>
      </c>
      <c r="E959" s="1100">
        <v>0.98177223402853153</v>
      </c>
      <c r="F959" s="1100">
        <v>0.98106207172116278</v>
      </c>
      <c r="G959" s="1100">
        <v>1.021803329268054</v>
      </c>
      <c r="H959" s="1100">
        <v>1.0284609021894824</v>
      </c>
      <c r="I959" s="1100">
        <v>0.99743424035375372</v>
      </c>
      <c r="K959">
        <v>2.2060549418756352</v>
      </c>
      <c r="L959">
        <v>0</v>
      </c>
      <c r="M959">
        <v>1.6703110677778004E-3</v>
      </c>
      <c r="N959">
        <v>0.14379439489686946</v>
      </c>
      <c r="O959">
        <v>1.9960868233514509E-2</v>
      </c>
      <c r="P959">
        <v>2.5525865384340811E-2</v>
      </c>
      <c r="Q959">
        <v>5.4650784937977735E-3</v>
      </c>
      <c r="R959">
        <v>1.6474843457908782E-3</v>
      </c>
      <c r="S959">
        <v>0.24679188918845477</v>
      </c>
      <c r="T959">
        <v>1.3183887497004274</v>
      </c>
      <c r="U959">
        <v>0.14383209934872021</v>
      </c>
      <c r="V959">
        <v>0.18763294458657595</v>
      </c>
      <c r="W959">
        <v>9.5499569455750263E-2</v>
      </c>
      <c r="X959">
        <v>1.4702400012995095E-2</v>
      </c>
      <c r="Y959">
        <v>4.4839092961741385E-3</v>
      </c>
    </row>
    <row r="960" spans="1:25" x14ac:dyDescent="0.25">
      <c r="A960" s="1096"/>
      <c r="B960" s="1455">
        <v>710</v>
      </c>
      <c r="C960" s="1100">
        <v>0.9944521260267194</v>
      </c>
      <c r="D960" s="1100">
        <v>0.99791021308455863</v>
      </c>
      <c r="E960" s="1100">
        <v>0.9758754547838725</v>
      </c>
      <c r="F960" s="1100">
        <v>1.0187310289418099</v>
      </c>
      <c r="G960" s="1100">
        <v>0.98151388691952579</v>
      </c>
      <c r="H960" s="1100">
        <v>0.98817175021120018</v>
      </c>
      <c r="I960" s="1100">
        <v>0.99957039444749185</v>
      </c>
      <c r="K960">
        <v>2.235167982056935</v>
      </c>
      <c r="L960">
        <v>0</v>
      </c>
      <c r="M960">
        <v>1.6163621149836009E-3</v>
      </c>
      <c r="N960">
        <v>0.13661193884367756</v>
      </c>
      <c r="O960">
        <v>1.9856414967832504E-2</v>
      </c>
      <c r="P960">
        <v>2.5956836988415499E-2</v>
      </c>
      <c r="Q960">
        <v>5.4039730910413449E-3</v>
      </c>
      <c r="R960">
        <v>1.5933720496504958E-3</v>
      </c>
      <c r="S960">
        <v>0.24187338901577596</v>
      </c>
      <c r="T960">
        <v>1.3690029569921622</v>
      </c>
      <c r="U960">
        <v>0.14351328378926367</v>
      </c>
      <c r="V960">
        <v>0.18294671337680796</v>
      </c>
      <c r="W960">
        <v>9.1053346035516333E-2</v>
      </c>
      <c r="X960">
        <v>1.4635485557578872E-2</v>
      </c>
      <c r="Y960">
        <v>4.3366334641936474E-3</v>
      </c>
    </row>
    <row r="961" spans="1:25" x14ac:dyDescent="0.25">
      <c r="A961" s="1096"/>
      <c r="B961" s="1455">
        <v>711</v>
      </c>
      <c r="C961" s="1100">
        <v>1.0061289125276309</v>
      </c>
      <c r="D961" s="1100">
        <v>1.0308408638556135</v>
      </c>
      <c r="E961" s="1100">
        <v>1.0065725057448383</v>
      </c>
      <c r="F961" s="1100">
        <v>1.0029745383134654</v>
      </c>
      <c r="G961" s="1100">
        <v>1.0014169103821771</v>
      </c>
      <c r="H961" s="1100">
        <v>1.0005013703959125</v>
      </c>
      <c r="I961" s="1100">
        <v>1.019861965914314</v>
      </c>
      <c r="K961">
        <v>2.2175953750459896</v>
      </c>
      <c r="L961">
        <v>0</v>
      </c>
      <c r="M961">
        <v>1.5070806191409699E-3</v>
      </c>
      <c r="N961">
        <v>0.13978713455826883</v>
      </c>
      <c r="O961">
        <v>1.9505190542562365E-2</v>
      </c>
      <c r="P961">
        <v>2.626399329070208E-2</v>
      </c>
      <c r="Q961">
        <v>5.4755620928981664E-3</v>
      </c>
      <c r="R961">
        <v>1.4859090633176782E-3</v>
      </c>
      <c r="S961">
        <v>0.24123554775643882</v>
      </c>
      <c r="T961">
        <v>1.3478719966489663</v>
      </c>
      <c r="U961">
        <v>0.14191786295460043</v>
      </c>
      <c r="V961">
        <v>0.18453089168980835</v>
      </c>
      <c r="W961">
        <v>9.1473548102777538E-2</v>
      </c>
      <c r="X961">
        <v>1.551066432423075E-2</v>
      </c>
      <c r="Y961">
        <v>4.0441546405596421E-3</v>
      </c>
    </row>
    <row r="962" spans="1:25" x14ac:dyDescent="0.25">
      <c r="A962" s="1096"/>
      <c r="B962" s="1455">
        <v>712</v>
      </c>
      <c r="C962" s="1100">
        <v>1.0096261006581453</v>
      </c>
      <c r="D962" s="1100">
        <v>0.95673189619209098</v>
      </c>
      <c r="E962" s="1100">
        <v>1.0189819596333376</v>
      </c>
      <c r="F962" s="1100">
        <v>1.0372677386441795</v>
      </c>
      <c r="G962" s="1100">
        <v>1.0004957646825376</v>
      </c>
      <c r="H962" s="1100">
        <v>0.9890316329632387</v>
      </c>
      <c r="I962" s="1100">
        <v>1.034336752035081</v>
      </c>
      <c r="K962">
        <v>2.2783714250450116</v>
      </c>
      <c r="L962">
        <v>0</v>
      </c>
      <c r="M962">
        <v>1.4707849908765815E-3</v>
      </c>
      <c r="N962">
        <v>0.14160392266086383</v>
      </c>
      <c r="O962">
        <v>1.9767068458867616E-2</v>
      </c>
      <c r="P962">
        <v>2.7284777887458089E-2</v>
      </c>
      <c r="Q962">
        <v>5.6182356961093109E-3</v>
      </c>
      <c r="R962">
        <v>1.449883706026467E-3</v>
      </c>
      <c r="S962">
        <v>0.25221782955061356</v>
      </c>
      <c r="T962">
        <v>1.3939818017816623</v>
      </c>
      <c r="U962">
        <v>0.14145463525582352</v>
      </c>
      <c r="V962">
        <v>0.18423357498982024</v>
      </c>
      <c r="W962">
        <v>9.1988292979789943E-2</v>
      </c>
      <c r="X962">
        <v>1.6296081575083353E-2</v>
      </c>
      <c r="Y962">
        <v>3.9461054937688046E-3</v>
      </c>
    </row>
    <row r="963" spans="1:25" x14ac:dyDescent="0.25">
      <c r="A963" s="1096"/>
      <c r="B963" s="1455">
        <v>713</v>
      </c>
      <c r="C963" s="1100">
        <v>1.0095140724386689</v>
      </c>
      <c r="D963" s="1100">
        <v>0.99767882168153244</v>
      </c>
      <c r="E963" s="1100">
        <v>0.98400538990947439</v>
      </c>
      <c r="F963" s="1100">
        <v>1.0020099551839705</v>
      </c>
      <c r="G963" s="1100">
        <v>0.96983866767324434</v>
      </c>
      <c r="H963" s="1100">
        <v>1.0159630150938586</v>
      </c>
      <c r="I963" s="1100">
        <v>1.0049526736955328</v>
      </c>
      <c r="K963">
        <v>2.2122706779976404</v>
      </c>
      <c r="L963">
        <v>0</v>
      </c>
      <c r="M963">
        <v>1.6098186453619638E-3</v>
      </c>
      <c r="N963">
        <v>0.13950228705692833</v>
      </c>
      <c r="O963">
        <v>1.9566172311487082E-2</v>
      </c>
      <c r="P963">
        <v>2.5756187982409046E-2</v>
      </c>
      <c r="Q963">
        <v>5.3691683109334662E-3</v>
      </c>
      <c r="R963">
        <v>1.5875479882279733E-3</v>
      </c>
      <c r="S963">
        <v>0.24185383220964363</v>
      </c>
      <c r="T963">
        <v>1.3465420425521195</v>
      </c>
      <c r="U963">
        <v>0.14139054758438535</v>
      </c>
      <c r="V963">
        <v>0.18074407615512608</v>
      </c>
      <c r="W963">
        <v>9.2524448730493411E-2</v>
      </c>
      <c r="X963">
        <v>1.4723403472346517E-2</v>
      </c>
      <c r="Y963">
        <v>4.3207822889028734E-3</v>
      </c>
    </row>
    <row r="964" spans="1:25" x14ac:dyDescent="0.25">
      <c r="A964" s="1096"/>
      <c r="B964" s="1455">
        <v>714</v>
      </c>
      <c r="C964" s="1100">
        <v>0.98223248109513106</v>
      </c>
      <c r="D964" s="1100">
        <v>1.019151340578057</v>
      </c>
      <c r="E964" s="1100">
        <v>0.99953786479055962</v>
      </c>
      <c r="F964" s="1100">
        <v>1.0125171653775633</v>
      </c>
      <c r="G964" s="1100">
        <v>1.0188547937366352</v>
      </c>
      <c r="H964" s="1100">
        <v>1.0427652159334295</v>
      </c>
      <c r="I964" s="1100">
        <v>1.0038349690355719</v>
      </c>
      <c r="K964">
        <v>2.2604441903974126</v>
      </c>
      <c r="L964">
        <v>0</v>
      </c>
      <c r="M964">
        <v>1.6367205698178547E-3</v>
      </c>
      <c r="N964">
        <v>0.14870580548860832</v>
      </c>
      <c r="O964">
        <v>2.0025461212290988E-2</v>
      </c>
      <c r="P964">
        <v>2.6487141701295135E-2</v>
      </c>
      <c r="Q964">
        <v>5.5820701865754753E-3</v>
      </c>
      <c r="R964">
        <v>1.6146597330263157E-3</v>
      </c>
      <c r="S964">
        <v>0.24799187079502594</v>
      </c>
      <c r="T964">
        <v>1.360684279111352</v>
      </c>
      <c r="U964">
        <v>0.14535404213236786</v>
      </c>
      <c r="V964">
        <v>0.18793029885528931</v>
      </c>
      <c r="W964">
        <v>9.7716446093769921E-2</v>
      </c>
      <c r="X964">
        <v>1.5594264136767561E-2</v>
      </c>
      <c r="Y964">
        <v>4.3945715208596895E-3</v>
      </c>
    </row>
    <row r="965" spans="1:25" x14ac:dyDescent="0.25">
      <c r="A965" s="1096"/>
      <c r="B965" s="1455">
        <v>715</v>
      </c>
      <c r="C965" s="1100">
        <v>0.98449811547601696</v>
      </c>
      <c r="D965" s="1100">
        <v>0.98843237904969117</v>
      </c>
      <c r="E965" s="1100">
        <v>1.0068696706173779</v>
      </c>
      <c r="F965" s="1100">
        <v>1.0077447138385742</v>
      </c>
      <c r="G965" s="1100">
        <v>0.98875879610804573</v>
      </c>
      <c r="H965" s="1100">
        <v>0.9665526707323312</v>
      </c>
      <c r="I965" s="1100">
        <v>0.99910249442985533</v>
      </c>
      <c r="K965">
        <v>2.2298896793489482</v>
      </c>
      <c r="L965">
        <v>0</v>
      </c>
      <c r="M965">
        <v>1.5008210287537874E-3</v>
      </c>
      <c r="N965">
        <v>0.13926178094215724</v>
      </c>
      <c r="O965">
        <v>2.0119021186173723E-2</v>
      </c>
      <c r="P965">
        <v>2.6434510074233086E-2</v>
      </c>
      <c r="Q965">
        <v>5.6495597123956765E-3</v>
      </c>
      <c r="R965">
        <v>1.478996877750937E-3</v>
      </c>
      <c r="S965">
        <v>0.24385147583985009</v>
      </c>
      <c r="T965">
        <v>1.3542830346877295</v>
      </c>
      <c r="U965">
        <v>0.14503669205676475</v>
      </c>
      <c r="V965">
        <v>0.18439598901690821</v>
      </c>
      <c r="W965">
        <v>9.1113759867205754E-2</v>
      </c>
      <c r="X965">
        <v>1.5740338166484919E-2</v>
      </c>
      <c r="Y965">
        <v>4.0253419500483325E-3</v>
      </c>
    </row>
    <row r="966" spans="1:25" x14ac:dyDescent="0.25">
      <c r="A966" s="1096"/>
      <c r="B966" s="1455">
        <v>716</v>
      </c>
      <c r="C966" s="1100">
        <v>0.9915599960316035</v>
      </c>
      <c r="D966" s="1100">
        <v>1.0353139096466786</v>
      </c>
      <c r="E966" s="1100">
        <v>0.96428020459956909</v>
      </c>
      <c r="F966" s="1100">
        <v>1.0020383134374331</v>
      </c>
      <c r="G966" s="1100">
        <v>0.97825132262138337</v>
      </c>
      <c r="H966" s="1100">
        <v>1.0145217979484953</v>
      </c>
      <c r="I966" s="1100">
        <v>0.98134795053059265</v>
      </c>
      <c r="K966">
        <v>2.2087118181448875</v>
      </c>
      <c r="L966">
        <v>0</v>
      </c>
      <c r="M966">
        <v>1.6908808664574703E-3</v>
      </c>
      <c r="N966">
        <v>0.13803147123328585</v>
      </c>
      <c r="O966">
        <v>1.9746556125585953E-2</v>
      </c>
      <c r="P966">
        <v>2.5351364609920771E-2</v>
      </c>
      <c r="Q966">
        <v>5.3107637945373452E-3</v>
      </c>
      <c r="R966">
        <v>1.6674555425868465E-3</v>
      </c>
      <c r="S966">
        <v>0.23582116185995783</v>
      </c>
      <c r="T966">
        <v>1.3465598987053711</v>
      </c>
      <c r="U966">
        <v>0.14390508376990516</v>
      </c>
      <c r="V966">
        <v>0.18274205542888303</v>
      </c>
      <c r="W966">
        <v>9.2651002480718544E-2</v>
      </c>
      <c r="X966">
        <v>1.4077621150240324E-2</v>
      </c>
      <c r="Y966">
        <v>4.538264310349511E-3</v>
      </c>
    </row>
    <row r="967" spans="1:25" x14ac:dyDescent="0.25">
      <c r="A967" s="1096"/>
      <c r="B967" s="1455">
        <v>717</v>
      </c>
      <c r="C967" s="1100">
        <v>1.0044181138401358</v>
      </c>
      <c r="D967" s="1100">
        <v>0.98946486527510891</v>
      </c>
      <c r="E967" s="1100">
        <v>0.99140011046560805</v>
      </c>
      <c r="F967" s="1100">
        <v>1.0026946966571308</v>
      </c>
      <c r="G967" s="1100">
        <v>1.0096567124715121</v>
      </c>
      <c r="H967" s="1100">
        <v>1.0047242631108881</v>
      </c>
      <c r="I967" s="1100">
        <v>1.0030675631173782</v>
      </c>
      <c r="K967">
        <v>2.2205817789622762</v>
      </c>
      <c r="L967">
        <v>0</v>
      </c>
      <c r="M967">
        <v>1.5786464554539083E-3</v>
      </c>
      <c r="N967">
        <v>0.13987254029096632</v>
      </c>
      <c r="O967">
        <v>1.9705842297419937E-2</v>
      </c>
      <c r="P967">
        <v>2.6000458551572746E-2</v>
      </c>
      <c r="Q967">
        <v>5.4481160828833411E-3</v>
      </c>
      <c r="R967">
        <v>1.5565627490073562E-3</v>
      </c>
      <c r="S967">
        <v>0.24278161041744115</v>
      </c>
      <c r="T967">
        <v>1.3474720412671695</v>
      </c>
      <c r="U967">
        <v>0.14212481553585804</v>
      </c>
      <c r="V967">
        <v>0.18554950167708686</v>
      </c>
      <c r="W967">
        <v>9.2359221078167436E-2</v>
      </c>
      <c r="X967">
        <v>1.5053264788128823E-2</v>
      </c>
      <c r="Y967">
        <v>4.2364506820257164E-3</v>
      </c>
    </row>
    <row r="968" spans="1:25" x14ac:dyDescent="0.25">
      <c r="A968" s="1096"/>
      <c r="B968" s="1455">
        <v>718</v>
      </c>
      <c r="C968" s="1100">
        <v>1.0318316136128809</v>
      </c>
      <c r="D968" s="1100">
        <v>0.99451730429568119</v>
      </c>
      <c r="E968" s="1100">
        <v>1.0391199687652288</v>
      </c>
      <c r="F968" s="1100">
        <v>1.0000304941639124</v>
      </c>
      <c r="G968" s="1100">
        <v>1.0327451147129423</v>
      </c>
      <c r="H968" s="1100">
        <v>0.992919428127509</v>
      </c>
      <c r="I968" s="1100">
        <v>1.0080154555215355</v>
      </c>
      <c r="K968">
        <v>2.2078398641661279</v>
      </c>
      <c r="L968">
        <v>0</v>
      </c>
      <c r="M968">
        <v>1.3736691624823755E-3</v>
      </c>
      <c r="N968">
        <v>0.14053986312611513</v>
      </c>
      <c r="O968">
        <v>1.9189810764744398E-2</v>
      </c>
      <c r="P968">
        <v>2.6753339820749133E-2</v>
      </c>
      <c r="Q968">
        <v>5.5639075327880714E-3</v>
      </c>
      <c r="R968">
        <v>1.3542244235202198E-3</v>
      </c>
      <c r="S968">
        <v>0.23632602984783646</v>
      </c>
      <c r="T968">
        <v>1.3439833639454364</v>
      </c>
      <c r="U968">
        <v>0.13845559391613205</v>
      </c>
      <c r="V968">
        <v>0.18663179302414445</v>
      </c>
      <c r="W968">
        <v>9.0235247422945475E-2</v>
      </c>
      <c r="X968">
        <v>1.6494607043336173E-2</v>
      </c>
      <c r="Y968">
        <v>3.6857524608608031E-3</v>
      </c>
    </row>
    <row r="969" spans="1:25" x14ac:dyDescent="0.25">
      <c r="A969" s="1096"/>
      <c r="B969" s="1455">
        <v>719</v>
      </c>
      <c r="C969" s="1100">
        <v>1.0350127879410784</v>
      </c>
      <c r="D969" s="1100">
        <v>0.98227799225449053</v>
      </c>
      <c r="E969" s="1100">
        <v>0.96532340041709896</v>
      </c>
      <c r="F969" s="1100">
        <v>1.0106951694647779</v>
      </c>
      <c r="G969" s="1100">
        <v>0.99632547767022239</v>
      </c>
      <c r="H969" s="1100">
        <v>1.0063676013513982</v>
      </c>
      <c r="I969" s="1100">
        <v>1.0230043120486585</v>
      </c>
      <c r="K969">
        <v>2.2094758376020738</v>
      </c>
      <c r="L969">
        <v>0</v>
      </c>
      <c r="M969">
        <v>1.6220764222496114E-3</v>
      </c>
      <c r="N969">
        <v>0.13281872367886444</v>
      </c>
      <c r="O969">
        <v>1.9138292432700453E-2</v>
      </c>
      <c r="P969">
        <v>2.5510002453191134E-2</v>
      </c>
      <c r="Q969">
        <v>5.1526804508734972E-3</v>
      </c>
      <c r="R969">
        <v>1.5994222268701432E-3</v>
      </c>
      <c r="S969">
        <v>0.24109776445175859</v>
      </c>
      <c r="T969">
        <v>1.3581940233280858</v>
      </c>
      <c r="U969">
        <v>0.13786584462808499</v>
      </c>
      <c r="V969">
        <v>0.18227575781978655</v>
      </c>
      <c r="W969">
        <v>8.909522381119743E-2</v>
      </c>
      <c r="X969">
        <v>1.3997078690766036E-2</v>
      </c>
      <c r="Y969">
        <v>4.3531000521451427E-3</v>
      </c>
    </row>
    <row r="970" spans="1:25" x14ac:dyDescent="0.25">
      <c r="A970" s="1096"/>
      <c r="B970" s="1455">
        <v>720</v>
      </c>
      <c r="C970" s="1100">
        <v>1.0116115385107598</v>
      </c>
      <c r="D970" s="1100">
        <v>1.0136093792565763</v>
      </c>
      <c r="E970" s="1100">
        <v>0.97308966064538926</v>
      </c>
      <c r="F970" s="1100">
        <v>0.99666299757747112</v>
      </c>
      <c r="G970" s="1100">
        <v>1.0000531178328849</v>
      </c>
      <c r="H970" s="1100">
        <v>0.99333890861739393</v>
      </c>
      <c r="I970" s="1100">
        <v>0.98227116729790165</v>
      </c>
      <c r="K970">
        <v>2.1890384916954591</v>
      </c>
      <c r="L970">
        <v>0</v>
      </c>
      <c r="M970">
        <v>1.6009651436991797E-3</v>
      </c>
      <c r="N970">
        <v>0.13418450458717665</v>
      </c>
      <c r="O970">
        <v>1.9450975999305092E-2</v>
      </c>
      <c r="P970">
        <v>2.5357985987966569E-2</v>
      </c>
      <c r="Q970">
        <v>5.2786182793723773E-3</v>
      </c>
      <c r="R970">
        <v>1.5783125254306893E-3</v>
      </c>
      <c r="S970">
        <v>0.23222266634205041</v>
      </c>
      <c r="T970">
        <v>1.3393443723026128</v>
      </c>
      <c r="U970">
        <v>0.14107263257775293</v>
      </c>
      <c r="V970">
        <v>0.18402864831977578</v>
      </c>
      <c r="W970">
        <v>8.9586663945938269E-2</v>
      </c>
      <c r="X970">
        <v>1.4238429568139291E-2</v>
      </c>
      <c r="Y970">
        <v>4.2956464036381595E-3</v>
      </c>
    </row>
    <row r="971" spans="1:25" x14ac:dyDescent="0.25">
      <c r="A971" s="1096"/>
      <c r="B971" s="1455">
        <v>721</v>
      </c>
      <c r="C971" s="1100">
        <v>1.0397305469480986</v>
      </c>
      <c r="D971" s="1100">
        <v>0.99980815543654689</v>
      </c>
      <c r="E971" s="1100">
        <v>0.97672290887390856</v>
      </c>
      <c r="F971" s="1100">
        <v>0.99524619422849769</v>
      </c>
      <c r="G971" s="1100">
        <v>1.0365362397203723</v>
      </c>
      <c r="H971" s="1100">
        <v>0.97928087235658268</v>
      </c>
      <c r="I971" s="1100">
        <v>1.0021309819561695</v>
      </c>
      <c r="K971">
        <v>2.1759251206178276</v>
      </c>
      <c r="L971">
        <v>0</v>
      </c>
      <c r="M971">
        <v>1.5287428723208631E-3</v>
      </c>
      <c r="N971">
        <v>0.12952136831523542</v>
      </c>
      <c r="O971">
        <v>1.8984273210336387E-2</v>
      </c>
      <c r="P971">
        <v>2.5369936307676609E-2</v>
      </c>
      <c r="Q971">
        <v>5.1710788984801019E-3</v>
      </c>
      <c r="R971">
        <v>1.5068016332118865E-3</v>
      </c>
      <c r="S971">
        <v>0.23103259515693592</v>
      </c>
      <c r="T971">
        <v>1.3374441985044976</v>
      </c>
      <c r="U971">
        <v>0.137265404231389</v>
      </c>
      <c r="V971">
        <v>0.18657042837936733</v>
      </c>
      <c r="W971">
        <v>8.6283110232727139E-2</v>
      </c>
      <c r="X971">
        <v>1.4203651291711568E-2</v>
      </c>
      <c r="Y971">
        <v>4.101017328577863E-3</v>
      </c>
    </row>
    <row r="972" spans="1:25" x14ac:dyDescent="0.25">
      <c r="A972" s="1096"/>
      <c r="B972" s="1455">
        <v>722</v>
      </c>
      <c r="C972" s="1100">
        <v>1.0146833312929873</v>
      </c>
      <c r="D972" s="1100">
        <v>1.0039608962979234</v>
      </c>
      <c r="E972" s="1100">
        <v>1.0081254381469587</v>
      </c>
      <c r="F972" s="1100">
        <v>0.97141469817598869</v>
      </c>
      <c r="G972" s="1100">
        <v>0.9833588167669346</v>
      </c>
      <c r="H972" s="1100">
        <v>1.0024274506146398</v>
      </c>
      <c r="I972" s="1100">
        <v>0.98516043628412175</v>
      </c>
      <c r="K972">
        <v>2.1636039418399262</v>
      </c>
      <c r="L972">
        <v>0</v>
      </c>
      <c r="M972">
        <v>1.5011315436059484E-3</v>
      </c>
      <c r="N972">
        <v>0.13989360341506499</v>
      </c>
      <c r="O972">
        <v>1.9454456894376197E-2</v>
      </c>
      <c r="P972">
        <v>2.5565341705030584E-2</v>
      </c>
      <c r="Q972">
        <v>5.4698169939669181E-3</v>
      </c>
      <c r="R972">
        <v>1.480084079529616E-3</v>
      </c>
      <c r="S972">
        <v>0.23427472382812378</v>
      </c>
      <c r="T972">
        <v>1.3054621711434116</v>
      </c>
      <c r="U972">
        <v>0.14072493372035275</v>
      </c>
      <c r="V972">
        <v>0.18199393289184324</v>
      </c>
      <c r="W972">
        <v>9.1459253510296198E-2</v>
      </c>
      <c r="X972">
        <v>1.5298454246642848E-2</v>
      </c>
      <c r="Y972">
        <v>4.0283009548939264E-3</v>
      </c>
    </row>
    <row r="973" spans="1:25" x14ac:dyDescent="0.25">
      <c r="A973" s="1096"/>
      <c r="B973" s="1455">
        <v>723</v>
      </c>
      <c r="C973" s="1100">
        <v>1.0028465531760551</v>
      </c>
      <c r="D973" s="1100">
        <v>1.0351150136424923</v>
      </c>
      <c r="E973" s="1100">
        <v>0.99656314723808903</v>
      </c>
      <c r="F973" s="1100">
        <v>1.0276311546262789</v>
      </c>
      <c r="G973" s="1100">
        <v>1.0251906251209224</v>
      </c>
      <c r="H973" s="1100">
        <v>1.0279164528706017</v>
      </c>
      <c r="I973" s="1100">
        <v>0.9898971124121575</v>
      </c>
      <c r="K973">
        <v>2.2548776100782879</v>
      </c>
      <c r="L973">
        <v>0</v>
      </c>
      <c r="M973">
        <v>1.5845999399499062E-3</v>
      </c>
      <c r="N973">
        <v>0.14265388947309096</v>
      </c>
      <c r="O973">
        <v>1.9545037206086361E-2</v>
      </c>
      <c r="P973">
        <v>2.650046002666907E-2</v>
      </c>
      <c r="Q973">
        <v>5.4318687821604747E-3</v>
      </c>
      <c r="R973">
        <v>1.5629330890583372E-3</v>
      </c>
      <c r="S973">
        <v>0.23651170752344391</v>
      </c>
      <c r="T973">
        <v>1.3809906715671816</v>
      </c>
      <c r="U973">
        <v>0.14235938124775799</v>
      </c>
      <c r="V973">
        <v>0.18740241334047517</v>
      </c>
      <c r="W973">
        <v>9.3905791323387125E-2</v>
      </c>
      <c r="X973">
        <v>1.5344267791264795E-2</v>
      </c>
      <c r="Y973">
        <v>4.2537886476624546E-3</v>
      </c>
    </row>
    <row r="974" spans="1:25" x14ac:dyDescent="0.25">
      <c r="A974" s="1096"/>
      <c r="B974" s="1455">
        <v>724</v>
      </c>
      <c r="C974" s="1100">
        <v>0.98158644004602325</v>
      </c>
      <c r="D974" s="1100">
        <v>1.0360174694753714</v>
      </c>
      <c r="E974" s="1100">
        <v>1.0236304623485848</v>
      </c>
      <c r="F974" s="1100">
        <v>0.98763008906671323</v>
      </c>
      <c r="G974" s="1100">
        <v>0.97928144098530534</v>
      </c>
      <c r="H974" s="1100">
        <v>1.0174434125074945</v>
      </c>
      <c r="I974" s="1100">
        <v>0.9684148558239738</v>
      </c>
      <c r="K974">
        <v>2.2079498594088385</v>
      </c>
      <c r="L974">
        <v>0</v>
      </c>
      <c r="M974">
        <v>1.514513262978436E-3</v>
      </c>
      <c r="N974">
        <v>0.14793254419515633</v>
      </c>
      <c r="O974">
        <v>1.9981652138590766E-2</v>
      </c>
      <c r="P974">
        <v>2.6268280835627666E-2</v>
      </c>
      <c r="Q974">
        <v>5.7055121938948041E-3</v>
      </c>
      <c r="R974">
        <v>1.493591571497379E-3</v>
      </c>
      <c r="S974">
        <v>0.23566962947243469</v>
      </c>
      <c r="T974">
        <v>1.3272832901689553</v>
      </c>
      <c r="U974">
        <v>0.14550631821308724</v>
      </c>
      <c r="V974">
        <v>0.18351904357260077</v>
      </c>
      <c r="W974">
        <v>9.5838740400693762E-2</v>
      </c>
      <c r="X974">
        <v>1.6200706013988958E-2</v>
      </c>
      <c r="Y974">
        <v>4.0650638952866459E-3</v>
      </c>
    </row>
    <row r="975" spans="1:25" x14ac:dyDescent="0.25">
      <c r="A975" s="1096"/>
      <c r="B975" s="1455">
        <v>725</v>
      </c>
      <c r="C975" s="1100">
        <v>1.0009107050041046</v>
      </c>
      <c r="D975" s="1100">
        <v>0.98129227662394136</v>
      </c>
      <c r="E975" s="1100">
        <v>0.99225478755898378</v>
      </c>
      <c r="F975" s="1100">
        <v>1.0075376613384077</v>
      </c>
      <c r="G975" s="1100">
        <v>1.0035437727361129</v>
      </c>
      <c r="H975" s="1100">
        <v>1.0000399250541532</v>
      </c>
      <c r="I975" s="1100">
        <v>0.99672387466232237</v>
      </c>
      <c r="K975">
        <v>2.2276612383041687</v>
      </c>
      <c r="L975">
        <v>0</v>
      </c>
      <c r="M975">
        <v>1.5768776812258027E-3</v>
      </c>
      <c r="N975">
        <v>0.14006796541559402</v>
      </c>
      <c r="O975">
        <v>1.9811546170384203E-2</v>
      </c>
      <c r="P975">
        <v>2.6104966101443985E-2</v>
      </c>
      <c r="Q975">
        <v>5.4820692568046262E-3</v>
      </c>
      <c r="R975">
        <v>1.5547153906709549E-3</v>
      </c>
      <c r="S975">
        <v>0.24272918769055554</v>
      </c>
      <c r="T975">
        <v>1.3539814807627086</v>
      </c>
      <c r="U975">
        <v>0.14262481520894815</v>
      </c>
      <c r="V975">
        <v>0.18506618311504328</v>
      </c>
      <c r="W975">
        <v>9.244098837946739E-2</v>
      </c>
      <c r="X975">
        <v>1.5142775712157247E-2</v>
      </c>
      <c r="Y975">
        <v>4.231422781615546E-3</v>
      </c>
    </row>
    <row r="976" spans="1:25" x14ac:dyDescent="0.25">
      <c r="A976" s="1096"/>
      <c r="B976" s="1455">
        <v>726</v>
      </c>
      <c r="C976" s="1100">
        <v>1.0064134928919615</v>
      </c>
      <c r="D976" s="1100">
        <v>0.99585292437390616</v>
      </c>
      <c r="E976" s="1100">
        <v>1.0083531207909817</v>
      </c>
      <c r="F976" s="1100">
        <v>1.0186612447410111</v>
      </c>
      <c r="G976" s="1100">
        <v>1.0449567052595248</v>
      </c>
      <c r="H976" s="1100">
        <v>0.9760530474267457</v>
      </c>
      <c r="I976" s="1100">
        <v>0.97988581889498894</v>
      </c>
      <c r="K976">
        <v>2.2329214355371207</v>
      </c>
      <c r="L976">
        <v>0</v>
      </c>
      <c r="M976">
        <v>1.4755797171715807E-3</v>
      </c>
      <c r="N976">
        <v>0.13755406554994451</v>
      </c>
      <c r="O976">
        <v>1.9649480269714258E-2</v>
      </c>
      <c r="P976">
        <v>2.6553230692969304E-2</v>
      </c>
      <c r="Q976">
        <v>5.5259085639406081E-3</v>
      </c>
      <c r="R976">
        <v>1.4543314640112573E-3</v>
      </c>
      <c r="S976">
        <v>0.23382817885343959</v>
      </c>
      <c r="T976">
        <v>1.3689561436412361</v>
      </c>
      <c r="U976">
        <v>0.14188181142150119</v>
      </c>
      <c r="V976">
        <v>0.18943726392783827</v>
      </c>
      <c r="W976">
        <v>8.9917627082195251E-2</v>
      </c>
      <c r="X976">
        <v>1.5680762962699348E-2</v>
      </c>
      <c r="Y976">
        <v>3.9582108248003775E-3</v>
      </c>
    </row>
    <row r="977" spans="1:25" x14ac:dyDescent="0.25">
      <c r="A977" s="1096"/>
      <c r="B977" s="1455">
        <v>727</v>
      </c>
      <c r="C977" s="1100">
        <v>1.0214671436804683</v>
      </c>
      <c r="D977" s="1100">
        <v>1.0091925842369698</v>
      </c>
      <c r="E977" s="1100">
        <v>0.99688378341344497</v>
      </c>
      <c r="F977" s="1100">
        <v>0.97343417029689783</v>
      </c>
      <c r="G977" s="1100">
        <v>1.0059303189413002</v>
      </c>
      <c r="H977" s="1100">
        <v>0.99505371138165533</v>
      </c>
      <c r="I977" s="1100">
        <v>1.0070557114266179</v>
      </c>
      <c r="K977">
        <v>2.1637247293550876</v>
      </c>
      <c r="L977">
        <v>0</v>
      </c>
      <c r="M977">
        <v>1.5133972047492793E-3</v>
      </c>
      <c r="N977">
        <v>0.13631348911503832</v>
      </c>
      <c r="O977">
        <v>1.9296306577066432E-2</v>
      </c>
      <c r="P977">
        <v>2.5437185294793573E-2</v>
      </c>
      <c r="Q977">
        <v>5.3644744981553791E-3</v>
      </c>
      <c r="R977">
        <v>1.4920205186254435E-3</v>
      </c>
      <c r="S977">
        <v>0.23661085612701754</v>
      </c>
      <c r="T977">
        <v>1.308158078229626</v>
      </c>
      <c r="U977">
        <v>0.1397649973426551</v>
      </c>
      <c r="V977">
        <v>0.18414725489134043</v>
      </c>
      <c r="W977">
        <v>8.9714908066675161E-2</v>
      </c>
      <c r="X977">
        <v>1.4877767891576786E-2</v>
      </c>
      <c r="Y977">
        <v>4.0607880072666786E-3</v>
      </c>
    </row>
    <row r="978" spans="1:25" x14ac:dyDescent="0.25">
      <c r="A978" s="1096"/>
      <c r="B978" s="1455">
        <v>728</v>
      </c>
      <c r="C978" s="1100">
        <v>1.0095065584556366</v>
      </c>
      <c r="D978" s="1100">
        <v>1.0027886722789472</v>
      </c>
      <c r="E978" s="1100">
        <v>1.0257381698628927</v>
      </c>
      <c r="F978" s="1100">
        <v>1.0034706639038766</v>
      </c>
      <c r="G978" s="1100">
        <v>1.0188741092814115</v>
      </c>
      <c r="H978" s="1100">
        <v>1.0132638101339508</v>
      </c>
      <c r="I978" s="1100">
        <v>1.0112220808337282</v>
      </c>
      <c r="K978">
        <v>2.229372321972912</v>
      </c>
      <c r="L978">
        <v>0</v>
      </c>
      <c r="M978">
        <v>1.4706642320404179E-3</v>
      </c>
      <c r="N978">
        <v>0.14455715538982045</v>
      </c>
      <c r="O978">
        <v>1.9570166437793367E-2</v>
      </c>
      <c r="P978">
        <v>2.6687738087943891E-2</v>
      </c>
      <c r="Q978">
        <v>5.5997085877822518E-3</v>
      </c>
      <c r="R978">
        <v>1.4502644759236537E-3</v>
      </c>
      <c r="S978">
        <v>0.24285115157538703</v>
      </c>
      <c r="T978">
        <v>1.3485760440855823</v>
      </c>
      <c r="U978">
        <v>0.14148684671201675</v>
      </c>
      <c r="V978">
        <v>0.18632396177357594</v>
      </c>
      <c r="W978">
        <v>9.3536990921759058E-2</v>
      </c>
      <c r="X978">
        <v>1.6255816333460012E-2</v>
      </c>
      <c r="Y978">
        <v>3.9471418239081851E-3</v>
      </c>
    </row>
    <row r="979" spans="1:25" x14ac:dyDescent="0.25">
      <c r="A979" s="1096"/>
      <c r="B979" s="1455">
        <v>729</v>
      </c>
      <c r="C979" s="1100">
        <v>1.0243766888639116</v>
      </c>
      <c r="D979" s="1100">
        <v>1.013183204326898</v>
      </c>
      <c r="E979" s="1100">
        <v>1.0309358168844356</v>
      </c>
      <c r="F979" s="1100">
        <v>0.97974601306096298</v>
      </c>
      <c r="G979" s="1100">
        <v>0.99889458157324418</v>
      </c>
      <c r="H979" s="1100">
        <v>0.99571611192320308</v>
      </c>
      <c r="I979" s="1100">
        <v>1.0071945970176466</v>
      </c>
      <c r="K979">
        <v>2.1768066903590397</v>
      </c>
      <c r="L979">
        <v>0</v>
      </c>
      <c r="M979">
        <v>1.405685405316051E-3</v>
      </c>
      <c r="N979">
        <v>0.14031761070975385</v>
      </c>
      <c r="O979">
        <v>1.9245549829329998E-2</v>
      </c>
      <c r="P979">
        <v>2.617381179093322E-2</v>
      </c>
      <c r="Q979">
        <v>5.5352222035558929E-3</v>
      </c>
      <c r="R979">
        <v>1.3858433535637513E-3</v>
      </c>
      <c r="S979">
        <v>0.23581458031728683</v>
      </c>
      <c r="T979">
        <v>1.3167034115293408</v>
      </c>
      <c r="U979">
        <v>0.13944471706328415</v>
      </c>
      <c r="V979">
        <v>0.18321697699634623</v>
      </c>
      <c r="W979">
        <v>9.0519877287131165E-2</v>
      </c>
      <c r="X979">
        <v>1.608296591856944E-2</v>
      </c>
      <c r="Y979">
        <v>3.7718087652618077E-3</v>
      </c>
    </row>
    <row r="980" spans="1:25" x14ac:dyDescent="0.25">
      <c r="A980" s="1096"/>
      <c r="B980" s="1455">
        <v>730</v>
      </c>
      <c r="C980" s="1100">
        <v>0.99245251240583698</v>
      </c>
      <c r="D980" s="1100">
        <v>1.0221745245965408</v>
      </c>
      <c r="E980" s="1100">
        <v>0.9624917200601153</v>
      </c>
      <c r="F980" s="1100">
        <v>1.0304801549977114</v>
      </c>
      <c r="G980" s="1100">
        <v>1.0025050786109468</v>
      </c>
      <c r="H980" s="1100">
        <v>0.95506175742078991</v>
      </c>
      <c r="I980" s="1100">
        <v>1.0454349398054419</v>
      </c>
      <c r="K980">
        <v>2.2483067472153295</v>
      </c>
      <c r="L980">
        <v>0</v>
      </c>
      <c r="M980">
        <v>1.6007167377448104E-3</v>
      </c>
      <c r="N980">
        <v>0.1298513849566747</v>
      </c>
      <c r="O980">
        <v>1.9783198999872933E-2</v>
      </c>
      <c r="P980">
        <v>2.6013078373019565E-2</v>
      </c>
      <c r="Q980">
        <v>5.3108658028818111E-3</v>
      </c>
      <c r="R980">
        <v>1.5771598990770362E-3</v>
      </c>
      <c r="S980">
        <v>0.24757987263281725</v>
      </c>
      <c r="T980">
        <v>1.3847791881902223</v>
      </c>
      <c r="U980">
        <v>0.14377154533027955</v>
      </c>
      <c r="V980">
        <v>0.18542862317508099</v>
      </c>
      <c r="W980">
        <v>8.7255703877028218E-2</v>
      </c>
      <c r="X980">
        <v>1.426433338145042E-2</v>
      </c>
      <c r="Y980">
        <v>4.292509334666691E-3</v>
      </c>
    </row>
    <row r="981" spans="1:25" x14ac:dyDescent="0.25">
      <c r="A981" s="1096"/>
      <c r="B981" s="1455">
        <v>731</v>
      </c>
      <c r="C981" s="1100">
        <v>1.0074675214825342</v>
      </c>
      <c r="D981" s="1100">
        <v>1.0206136771171581</v>
      </c>
      <c r="E981" s="1100">
        <v>0.99538208854654475</v>
      </c>
      <c r="F981" s="1100">
        <v>1.0393891836847879</v>
      </c>
      <c r="G981" s="1100">
        <v>1.0037178324291958</v>
      </c>
      <c r="H981" s="1100">
        <v>1.0094280483212763</v>
      </c>
      <c r="I981" s="1100">
        <v>0.98807569289050368</v>
      </c>
      <c r="K981">
        <v>2.2611261587995508</v>
      </c>
      <c r="L981">
        <v>0</v>
      </c>
      <c r="M981">
        <v>1.5575855458787942E-3</v>
      </c>
      <c r="N981">
        <v>0.13968683668013154</v>
      </c>
      <c r="O981">
        <v>1.9515141706553888E-2</v>
      </c>
      <c r="P981">
        <v>2.6628086042410095E-2</v>
      </c>
      <c r="Q981">
        <v>5.4171111022366806E-3</v>
      </c>
      <c r="R981">
        <v>1.5358979946885041E-3</v>
      </c>
      <c r="S981">
        <v>0.23517734758602801</v>
      </c>
      <c r="T981">
        <v>1.3967899497931493</v>
      </c>
      <c r="U981">
        <v>0.14170372176352522</v>
      </c>
      <c r="V981">
        <v>0.18470285618315427</v>
      </c>
      <c r="W981">
        <v>9.2017423576452415E-2</v>
      </c>
      <c r="X981">
        <v>1.5329163884195562E-2</v>
      </c>
      <c r="Y981">
        <v>4.1802080329042335E-3</v>
      </c>
    </row>
    <row r="982" spans="1:25" x14ac:dyDescent="0.25">
      <c r="A982" s="1096"/>
      <c r="B982" s="1455">
        <v>732</v>
      </c>
      <c r="C982" s="1100">
        <v>1.0150334651501829</v>
      </c>
      <c r="D982" s="1100">
        <v>1.0130391850250806</v>
      </c>
      <c r="E982" s="1100">
        <v>1.020881407971622</v>
      </c>
      <c r="F982" s="1100">
        <v>0.97786926535642915</v>
      </c>
      <c r="G982" s="1100">
        <v>1.0016905504273153</v>
      </c>
      <c r="H982" s="1100">
        <v>1.0103752068921055</v>
      </c>
      <c r="I982" s="1100">
        <v>0.99828556033122706</v>
      </c>
      <c r="K982">
        <v>2.1813545232374025</v>
      </c>
      <c r="L982">
        <v>0</v>
      </c>
      <c r="M982">
        <v>1.4700144896489062E-3</v>
      </c>
      <c r="N982">
        <v>0.14238641704478283</v>
      </c>
      <c r="O982">
        <v>1.9417115233291621E-2</v>
      </c>
      <c r="P982">
        <v>2.5992726543384945E-2</v>
      </c>
      <c r="Q982">
        <v>5.5292027643483758E-3</v>
      </c>
      <c r="R982">
        <v>1.4495654502498056E-3</v>
      </c>
      <c r="S982">
        <v>0.23697439217950308</v>
      </c>
      <c r="T982">
        <v>1.3141600805313651</v>
      </c>
      <c r="U982">
        <v>0.1407053886995463</v>
      </c>
      <c r="V982">
        <v>0.18405721072091372</v>
      </c>
      <c r="W982">
        <v>9.2393876615570955E-2</v>
      </c>
      <c r="X982">
        <v>1.5813322637635081E-2</v>
      </c>
      <c r="Y982">
        <v>3.94523930645772E-3</v>
      </c>
    </row>
    <row r="983" spans="1:25" x14ac:dyDescent="0.25">
      <c r="A983" s="1096"/>
      <c r="B983" s="1455">
        <v>733</v>
      </c>
      <c r="C983" s="1100">
        <v>1.0339625672728929</v>
      </c>
      <c r="D983" s="1100">
        <v>1.0094246662492514</v>
      </c>
      <c r="E983" s="1100">
        <v>0.98312529567906393</v>
      </c>
      <c r="F983" s="1100">
        <v>0.99422554367291394</v>
      </c>
      <c r="G983" s="1100">
        <v>1.0264598325653118</v>
      </c>
      <c r="H983" s="1100">
        <v>0.99696808436327222</v>
      </c>
      <c r="I983" s="1100">
        <v>1.0179582233180788</v>
      </c>
      <c r="K983">
        <v>2.1861188978673667</v>
      </c>
      <c r="L983">
        <v>0</v>
      </c>
      <c r="M983">
        <v>1.5412048766630659E-3</v>
      </c>
      <c r="N983">
        <v>0.13316573530669043</v>
      </c>
      <c r="O983">
        <v>1.9053864721030603E-2</v>
      </c>
      <c r="P983">
        <v>2.5545722393625091E-2</v>
      </c>
      <c r="Q983">
        <v>5.2239198358552631E-3</v>
      </c>
      <c r="R983">
        <v>1.5194772097024837E-3</v>
      </c>
      <c r="S983">
        <v>0.23630298312366471</v>
      </c>
      <c r="T983">
        <v>1.3360799525144167</v>
      </c>
      <c r="U983">
        <v>0.13804535201374132</v>
      </c>
      <c r="V983">
        <v>0.18575469465723349</v>
      </c>
      <c r="W983">
        <v>8.8368566980735919E-2</v>
      </c>
      <c r="X983">
        <v>1.4464317918052106E-2</v>
      </c>
      <c r="Y983">
        <v>4.135516069282601E-3</v>
      </c>
    </row>
    <row r="984" spans="1:25" x14ac:dyDescent="0.25">
      <c r="A984" s="1096"/>
      <c r="B984" s="1455">
        <v>734</v>
      </c>
      <c r="C984" s="1100">
        <v>1.0139935788739276</v>
      </c>
      <c r="D984" s="1100">
        <v>0.99174028676706105</v>
      </c>
      <c r="E984" s="1100">
        <v>0.99803284251659896</v>
      </c>
      <c r="F984" s="1100">
        <v>1.0358995340975392</v>
      </c>
      <c r="G984" s="1100">
        <v>0.96249895726341139</v>
      </c>
      <c r="H984" s="1100">
        <v>0.98986988806442944</v>
      </c>
      <c r="I984" s="1100">
        <v>1.0036553988583388</v>
      </c>
      <c r="K984">
        <v>2.2503052275638331</v>
      </c>
      <c r="L984">
        <v>0</v>
      </c>
      <c r="M984">
        <v>1.5188179542701501E-3</v>
      </c>
      <c r="N984">
        <v>0.13726727154735452</v>
      </c>
      <c r="O984">
        <v>1.951398223846806E-2</v>
      </c>
      <c r="P984">
        <v>2.6591283871772058E-2</v>
      </c>
      <c r="Q984">
        <v>5.4312678473032745E-3</v>
      </c>
      <c r="R984">
        <v>1.4972523522601869E-3</v>
      </c>
      <c r="S984">
        <v>0.23922405684355272</v>
      </c>
      <c r="T984">
        <v>1.3921045365265281</v>
      </c>
      <c r="U984">
        <v>0.14079773288291397</v>
      </c>
      <c r="V984">
        <v>0.17966694045591464</v>
      </c>
      <c r="W984">
        <v>9.0280840049677721E-2</v>
      </c>
      <c r="X984">
        <v>1.5373853568609775E-2</v>
      </c>
      <c r="Y984">
        <v>4.0750273337469556E-3</v>
      </c>
    </row>
    <row r="985" spans="1:25" x14ac:dyDescent="0.25">
      <c r="A985" s="1096"/>
      <c r="B985" s="1455">
        <v>735</v>
      </c>
      <c r="C985" s="1100">
        <v>0.99240683794717388</v>
      </c>
      <c r="D985" s="1100">
        <v>1.01903364600753</v>
      </c>
      <c r="E985" s="1100">
        <v>0.99564782033861066</v>
      </c>
      <c r="F985" s="1100">
        <v>0.96786892664917623</v>
      </c>
      <c r="G985" s="1100">
        <v>1.0252679817034727</v>
      </c>
      <c r="H985" s="1100">
        <v>0.99857370220427211</v>
      </c>
      <c r="I985" s="1100">
        <v>1.0051765338882914</v>
      </c>
      <c r="K985">
        <v>2.1775550103226768</v>
      </c>
      <c r="L985">
        <v>0</v>
      </c>
      <c r="M985">
        <v>1.5638920809415617E-3</v>
      </c>
      <c r="N985">
        <v>0.14034355451985461</v>
      </c>
      <c r="O985">
        <v>1.9818222161046499E-2</v>
      </c>
      <c r="P985">
        <v>2.5496317982915895E-2</v>
      </c>
      <c r="Q985">
        <v>5.5027149754670029E-3</v>
      </c>
      <c r="R985">
        <v>1.5418800237334922E-3</v>
      </c>
      <c r="S985">
        <v>0.24218966314213242</v>
      </c>
      <c r="T985">
        <v>1.3006773691746274</v>
      </c>
      <c r="U985">
        <v>0.14385482168952168</v>
      </c>
      <c r="V985">
        <v>0.18803261695498713</v>
      </c>
      <c r="W985">
        <v>9.243537855293095E-2</v>
      </c>
      <c r="X985">
        <v>1.5029874082410187E-2</v>
      </c>
      <c r="Y985">
        <v>4.196489143989345E-3</v>
      </c>
    </row>
    <row r="986" spans="1:25" x14ac:dyDescent="0.25">
      <c r="A986" s="1096"/>
      <c r="B986" s="1455">
        <v>736</v>
      </c>
      <c r="C986" s="1100">
        <v>0.99436448200225747</v>
      </c>
      <c r="D986" s="1100">
        <v>0.9788421904300233</v>
      </c>
      <c r="E986" s="1100">
        <v>0.984411636496342</v>
      </c>
      <c r="F986" s="1100">
        <v>0.979516825942785</v>
      </c>
      <c r="G986" s="1100">
        <v>0.98010152844925003</v>
      </c>
      <c r="H986" s="1100">
        <v>0.99825142445410586</v>
      </c>
      <c r="I986" s="1100">
        <v>0.9605608942133097</v>
      </c>
      <c r="K986">
        <v>2.1804015065360285</v>
      </c>
      <c r="L986">
        <v>0</v>
      </c>
      <c r="M986">
        <v>1.6112460973322204E-3</v>
      </c>
      <c r="N986">
        <v>0.13976286600732157</v>
      </c>
      <c r="O986">
        <v>1.9948001510189488E-2</v>
      </c>
      <c r="P986">
        <v>2.5328415361978936E-2</v>
      </c>
      <c r="Q986">
        <v>5.4762017714107998E-3</v>
      </c>
      <c r="R986">
        <v>1.5885602023792019E-3</v>
      </c>
      <c r="S986">
        <v>0.23556034785981475</v>
      </c>
      <c r="T986">
        <v>1.3163153498956055</v>
      </c>
      <c r="U986">
        <v>0.14354563444996685</v>
      </c>
      <c r="V986">
        <v>0.18279962742908412</v>
      </c>
      <c r="W986">
        <v>9.2674616605079044E-2</v>
      </c>
      <c r="X986">
        <v>1.4689594338381698E-2</v>
      </c>
      <c r="Y986">
        <v>4.3235372021462118E-3</v>
      </c>
    </row>
    <row r="987" spans="1:25" x14ac:dyDescent="0.25">
      <c r="A987" s="1096"/>
      <c r="B987" s="1455">
        <v>737</v>
      </c>
      <c r="C987" s="1100">
        <v>0.97003794072732918</v>
      </c>
      <c r="D987" s="1100">
        <v>1.0013897917426069</v>
      </c>
      <c r="E987" s="1100">
        <v>1.0018513006889129</v>
      </c>
      <c r="F987" s="1100">
        <v>1.0030211541423097</v>
      </c>
      <c r="G987" s="1100">
        <v>1.0205125791227103</v>
      </c>
      <c r="H987" s="1100">
        <v>0.97007675319502606</v>
      </c>
      <c r="I987" s="1100">
        <v>1.0380131643282471</v>
      </c>
      <c r="K987">
        <v>2.2452294633264334</v>
      </c>
      <c r="L987">
        <v>0</v>
      </c>
      <c r="M987">
        <v>1.540334990996517E-3</v>
      </c>
      <c r="N987">
        <v>0.14078585378737274</v>
      </c>
      <c r="O987">
        <v>2.0357277160241292E-2</v>
      </c>
      <c r="P987">
        <v>2.6502029461563988E-2</v>
      </c>
      <c r="Q987">
        <v>5.6877694354601797E-3</v>
      </c>
      <c r="R987">
        <v>1.5180176185772766E-3</v>
      </c>
      <c r="S987">
        <v>0.25570939013166238</v>
      </c>
      <c r="T987">
        <v>1.3479266709617665</v>
      </c>
      <c r="U987">
        <v>0.1471868081520637</v>
      </c>
      <c r="V987">
        <v>0.18887903932395725</v>
      </c>
      <c r="W987">
        <v>9.2385101407944689E-2</v>
      </c>
      <c r="X987">
        <v>1.5700297333423405E-2</v>
      </c>
      <c r="Y987">
        <v>4.1315435433938721E-3</v>
      </c>
    </row>
    <row r="988" spans="1:25" x14ac:dyDescent="0.25">
      <c r="A988" s="1096"/>
      <c r="B988" s="1455">
        <v>738</v>
      </c>
      <c r="C988" s="1100">
        <v>0.99920444404073272</v>
      </c>
      <c r="D988" s="1100">
        <v>0.96345181815397674</v>
      </c>
      <c r="E988" s="1100">
        <v>1.016319388925162</v>
      </c>
      <c r="F988" s="1100">
        <v>0.96148461054591539</v>
      </c>
      <c r="G988" s="1100">
        <v>0.99452610813672837</v>
      </c>
      <c r="H988" s="1100">
        <v>0.98750111045635314</v>
      </c>
      <c r="I988" s="1100">
        <v>0.99666603987767255</v>
      </c>
      <c r="K988">
        <v>2.1696829337232986</v>
      </c>
      <c r="L988">
        <v>0</v>
      </c>
      <c r="M988">
        <v>1.4897698036590032E-3</v>
      </c>
      <c r="N988">
        <v>0.14228087597878894</v>
      </c>
      <c r="O988">
        <v>1.9940823345276155E-2</v>
      </c>
      <c r="P988">
        <v>2.5738666925393738E-2</v>
      </c>
      <c r="Q988">
        <v>5.652619054639269E-3</v>
      </c>
      <c r="R988">
        <v>1.4685659132233435E-3</v>
      </c>
      <c r="S988">
        <v>0.24455646017970303</v>
      </c>
      <c r="T988">
        <v>1.2921319748971538</v>
      </c>
      <c r="U988">
        <v>0.14292384907914052</v>
      </c>
      <c r="V988">
        <v>0.18416942739787806</v>
      </c>
      <c r="W988">
        <v>9.2572411529878079E-2</v>
      </c>
      <c r="X988">
        <v>1.5740076922710372E-2</v>
      </c>
      <c r="Y988">
        <v>3.9969523031707557E-3</v>
      </c>
    </row>
    <row r="989" spans="1:25" x14ac:dyDescent="0.25">
      <c r="A989" s="1096"/>
      <c r="B989" s="1455">
        <v>739</v>
      </c>
      <c r="C989" s="1100">
        <v>0.99295397559747456</v>
      </c>
      <c r="D989" s="1100">
        <v>0.97926733714206082</v>
      </c>
      <c r="E989" s="1100">
        <v>0.98964354322732917</v>
      </c>
      <c r="F989" s="1100">
        <v>0.98436511429919726</v>
      </c>
      <c r="G989" s="1100">
        <v>1.0183531140178603</v>
      </c>
      <c r="H989" s="1100">
        <v>0.9975828751118625</v>
      </c>
      <c r="I989" s="1100">
        <v>1.0122425248419622</v>
      </c>
      <c r="K989">
        <v>2.2062888398519567</v>
      </c>
      <c r="L989">
        <v>0</v>
      </c>
      <c r="M989">
        <v>1.5949323761201338E-3</v>
      </c>
      <c r="N989">
        <v>0.14055275224848313</v>
      </c>
      <c r="O989">
        <v>1.997772943337971E-2</v>
      </c>
      <c r="P989">
        <v>2.5755031707814548E-2</v>
      </c>
      <c r="Q989">
        <v>5.5134903619356189E-3</v>
      </c>
      <c r="R989">
        <v>1.5724611243488845E-3</v>
      </c>
      <c r="S989">
        <v>0.24851903376855222</v>
      </c>
      <c r="T989">
        <v>1.3228374221881987</v>
      </c>
      <c r="U989">
        <v>0.14376164914291806</v>
      </c>
      <c r="V989">
        <v>0.18721282857900201</v>
      </c>
      <c r="W989">
        <v>9.2906044203191096E-2</v>
      </c>
      <c r="X989">
        <v>1.499560865144315E-2</v>
      </c>
      <c r="Y989">
        <v>4.2797208188073352E-3</v>
      </c>
    </row>
    <row r="990" spans="1:25" x14ac:dyDescent="0.25">
      <c r="A990" s="1096"/>
      <c r="B990" s="1455">
        <v>740</v>
      </c>
      <c r="C990" s="1100">
        <v>1.0126686295147462</v>
      </c>
      <c r="D990" s="1100">
        <v>0.96969551704873014</v>
      </c>
      <c r="E990" s="1100">
        <v>1.0335998876045636</v>
      </c>
      <c r="F990" s="1100">
        <v>0.9850800529273287</v>
      </c>
      <c r="G990" s="1100">
        <v>1.0136590031412129</v>
      </c>
      <c r="H990" s="1100">
        <v>1.0004435882146263</v>
      </c>
      <c r="I990" s="1100">
        <v>1.0078719989648723</v>
      </c>
      <c r="K990">
        <v>2.2043382565039069</v>
      </c>
      <c r="L990">
        <v>0</v>
      </c>
      <c r="M990">
        <v>1.4345555860782082E-3</v>
      </c>
      <c r="N990">
        <v>0.14436371941811119</v>
      </c>
      <c r="O990">
        <v>1.9658526139548108E-2</v>
      </c>
      <c r="P990">
        <v>2.6500161688494776E-2</v>
      </c>
      <c r="Q990">
        <v>5.6688919506641426E-3</v>
      </c>
      <c r="R990">
        <v>1.4144017021680123E-3</v>
      </c>
      <c r="S990">
        <v>0.24439823522986293</v>
      </c>
      <c r="T990">
        <v>1.3238779446217703</v>
      </c>
      <c r="U990">
        <v>0.1410630058673632</v>
      </c>
      <c r="V990">
        <v>0.18555811248774473</v>
      </c>
      <c r="W990">
        <v>9.2986398392608804E-2</v>
      </c>
      <c r="X990">
        <v>1.6433879415740406E-2</v>
      </c>
      <c r="Y990">
        <v>3.8495351759055196E-3</v>
      </c>
    </row>
    <row r="991" spans="1:25" x14ac:dyDescent="0.25">
      <c r="A991" s="1096"/>
      <c r="B991" s="1455">
        <v>741</v>
      </c>
      <c r="C991" s="1100">
        <v>1.0290241833662832</v>
      </c>
      <c r="D991" s="1100">
        <v>1.0027403873553533</v>
      </c>
      <c r="E991" s="1100">
        <v>0.9944212955824423</v>
      </c>
      <c r="F991" s="1100">
        <v>1.0080950326768858</v>
      </c>
      <c r="G991" s="1100">
        <v>0.98475173029476415</v>
      </c>
      <c r="H991" s="1100">
        <v>0.97517646158842652</v>
      </c>
      <c r="I991" s="1100">
        <v>1.0328601531668737</v>
      </c>
      <c r="K991">
        <v>2.2040131473089786</v>
      </c>
      <c r="L991">
        <v>0</v>
      </c>
      <c r="M991">
        <v>1.4818973069810099E-3</v>
      </c>
      <c r="N991">
        <v>0.13244791053404353</v>
      </c>
      <c r="O991">
        <v>1.918015123572487E-2</v>
      </c>
      <c r="P991">
        <v>2.6017448265703808E-2</v>
      </c>
      <c r="Q991">
        <v>5.3189688472285567E-3</v>
      </c>
      <c r="R991">
        <v>1.4605388991090671E-3</v>
      </c>
      <c r="S991">
        <v>0.24004642242846211</v>
      </c>
      <c r="T991">
        <v>1.3547336657591142</v>
      </c>
      <c r="U991">
        <v>0.13873307293092252</v>
      </c>
      <c r="V991">
        <v>0.18132470860381006</v>
      </c>
      <c r="W991">
        <v>8.7298885525091241E-2</v>
      </c>
      <c r="X991">
        <v>1.4958166169891405E-2</v>
      </c>
      <c r="Y991">
        <v>3.9751054168561863E-3</v>
      </c>
    </row>
    <row r="992" spans="1:25" x14ac:dyDescent="0.25">
      <c r="A992" s="1096"/>
      <c r="B992" s="1455">
        <v>742</v>
      </c>
      <c r="C992" s="1100">
        <v>0.99556590360681962</v>
      </c>
      <c r="D992" s="1100">
        <v>0.98381046578004083</v>
      </c>
      <c r="E992" s="1100">
        <v>0.98891553975260471</v>
      </c>
      <c r="F992" s="1100">
        <v>1.00150083893521</v>
      </c>
      <c r="G992" s="1100">
        <v>0.99537506431758405</v>
      </c>
      <c r="H992" s="1100">
        <v>0.97605708459393448</v>
      </c>
      <c r="I992" s="1100">
        <v>1.0066690592959697</v>
      </c>
      <c r="K992">
        <v>2.2157859809510239</v>
      </c>
      <c r="L992">
        <v>0</v>
      </c>
      <c r="M992">
        <v>1.5571846166644698E-3</v>
      </c>
      <c r="N992">
        <v>0.13688136486052316</v>
      </c>
      <c r="O992">
        <v>1.9904579586660927E-2</v>
      </c>
      <c r="P992">
        <v>2.595128316332863E-2</v>
      </c>
      <c r="Q992">
        <v>5.4892600086411157E-3</v>
      </c>
      <c r="R992">
        <v>1.5347613509398969E-3</v>
      </c>
      <c r="S992">
        <v>0.24417542264695635</v>
      </c>
      <c r="T992">
        <v>1.3458642468997601</v>
      </c>
      <c r="U992">
        <v>0.14338280097487954</v>
      </c>
      <c r="V992">
        <v>0.18445806241113588</v>
      </c>
      <c r="W992">
        <v>9.0518730280788065E-2</v>
      </c>
      <c r="X992">
        <v>1.5005538920758376E-2</v>
      </c>
      <c r="Y992">
        <v>4.1771144633150348E-3</v>
      </c>
    </row>
    <row r="993" spans="1:25" x14ac:dyDescent="0.25">
      <c r="A993" s="1096"/>
      <c r="B993" s="1455">
        <v>743</v>
      </c>
      <c r="C993" s="1100">
        <v>1.0430928307232028</v>
      </c>
      <c r="D993" s="1100">
        <v>1.0173859195832942</v>
      </c>
      <c r="E993" s="1100">
        <v>0.9893301158015374</v>
      </c>
      <c r="F993" s="1100">
        <v>0.99417372315971264</v>
      </c>
      <c r="G993" s="1100">
        <v>1.0261868792577933</v>
      </c>
      <c r="H993" s="1100">
        <v>1.0087474588932106</v>
      </c>
      <c r="I993" s="1100">
        <v>1.0222276945541644</v>
      </c>
      <c r="K993">
        <v>2.1845584600144323</v>
      </c>
      <c r="L993">
        <v>0</v>
      </c>
      <c r="M993">
        <v>1.5234044209133551E-3</v>
      </c>
      <c r="N993">
        <v>0.13414343126334508</v>
      </c>
      <c r="O993">
        <v>1.8858163928769427E-2</v>
      </c>
      <c r="P993">
        <v>2.5627476061715265E-2</v>
      </c>
      <c r="Q993">
        <v>5.2028616174747949E-3</v>
      </c>
      <c r="R993">
        <v>1.5021784905660848E-3</v>
      </c>
      <c r="S993">
        <v>0.23526710725507435</v>
      </c>
      <c r="T993">
        <v>1.3360182802267824</v>
      </c>
      <c r="U993">
        <v>0.1368506967412888</v>
      </c>
      <c r="V993">
        <v>0.18522678326101497</v>
      </c>
      <c r="W993">
        <v>8.8686109339806599E-2</v>
      </c>
      <c r="X993">
        <v>1.4610341591194587E-2</v>
      </c>
      <c r="Y993">
        <v>4.0884346583145541E-3</v>
      </c>
    </row>
    <row r="994" spans="1:25" x14ac:dyDescent="0.25">
      <c r="A994" s="1096"/>
      <c r="B994" s="1455">
        <v>744</v>
      </c>
      <c r="C994" s="1100">
        <v>0.9921140172729197</v>
      </c>
      <c r="D994" s="1100">
        <v>0.98155375515822474</v>
      </c>
      <c r="E994" s="1100">
        <v>1.0125621086315901</v>
      </c>
      <c r="F994" s="1100">
        <v>1.0224573146635225</v>
      </c>
      <c r="G994" s="1100">
        <v>1.0365400349365927</v>
      </c>
      <c r="H994" s="1100">
        <v>0.99845143601866182</v>
      </c>
      <c r="I994" s="1100">
        <v>1.032272562760473</v>
      </c>
      <c r="K994">
        <v>2.271355950794542</v>
      </c>
      <c r="L994">
        <v>0</v>
      </c>
      <c r="M994">
        <v>1.5227026054886496E-3</v>
      </c>
      <c r="N994">
        <v>0.14380915228274241</v>
      </c>
      <c r="O994">
        <v>1.9998879406407492E-2</v>
      </c>
      <c r="P994">
        <v>2.7005747786819148E-2</v>
      </c>
      <c r="Q994">
        <v>5.6478754048927653E-3</v>
      </c>
      <c r="R994">
        <v>1.5012676729104794E-3</v>
      </c>
      <c r="S994">
        <v>0.25361125470500923</v>
      </c>
      <c r="T994">
        <v>1.3740654219906578</v>
      </c>
      <c r="U994">
        <v>0.14393655669796046</v>
      </c>
      <c r="V994">
        <v>0.18933937303714019</v>
      </c>
      <c r="W994">
        <v>9.3773565217101382E-2</v>
      </c>
      <c r="X994">
        <v>1.6103603485479717E-2</v>
      </c>
      <c r="Y994">
        <v>4.0859557129069553E-3</v>
      </c>
    </row>
    <row r="995" spans="1:25" x14ac:dyDescent="0.25">
      <c r="A995" s="1096"/>
      <c r="B995" s="1455">
        <v>745</v>
      </c>
      <c r="C995" s="1100">
        <v>0.99093133746874307</v>
      </c>
      <c r="D995" s="1100">
        <v>0.9623009275019383</v>
      </c>
      <c r="E995" s="1100">
        <v>1.0078355117431814</v>
      </c>
      <c r="F995" s="1100">
        <v>0.99297417422398127</v>
      </c>
      <c r="G995" s="1100">
        <v>1.0022312818082955</v>
      </c>
      <c r="H995" s="1100">
        <v>0.97975545325408431</v>
      </c>
      <c r="I995" s="1100">
        <v>1.0236956887566497</v>
      </c>
      <c r="K995">
        <v>2.222217263525581</v>
      </c>
      <c r="L995">
        <v>0</v>
      </c>
      <c r="M995">
        <v>1.5173342255974482E-3</v>
      </c>
      <c r="N995">
        <v>0.14123334183358258</v>
      </c>
      <c r="O995">
        <v>2.010719014688803E-2</v>
      </c>
      <c r="P995">
        <v>2.6305501821332296E-2</v>
      </c>
      <c r="Q995">
        <v>5.6516994884679584E-3</v>
      </c>
      <c r="R995">
        <v>1.495567277508342E-3</v>
      </c>
      <c r="S995">
        <v>0.25272389885705127</v>
      </c>
      <c r="T995">
        <v>1.334434953742619</v>
      </c>
      <c r="U995">
        <v>0.14409734642108998</v>
      </c>
      <c r="V995">
        <v>0.18552846534615458</v>
      </c>
      <c r="W995">
        <v>9.2350956351968924E-2</v>
      </c>
      <c r="X995">
        <v>1.5735235348759313E-2</v>
      </c>
      <c r="Y995">
        <v>4.0704411157571757E-3</v>
      </c>
    </row>
    <row r="996" spans="1:25" x14ac:dyDescent="0.25">
      <c r="A996" s="1096"/>
      <c r="B996" s="1455">
        <v>746</v>
      </c>
      <c r="C996" s="1100">
        <v>1.0415221597508142</v>
      </c>
      <c r="D996" s="1100">
        <v>0.95553638004555719</v>
      </c>
      <c r="E996" s="1100">
        <v>1.0198562237339783</v>
      </c>
      <c r="F996" s="1100">
        <v>0.99936590269582959</v>
      </c>
      <c r="G996" s="1100">
        <v>1.0066910945132856</v>
      </c>
      <c r="H996" s="1100">
        <v>1.0078064120287891</v>
      </c>
      <c r="I996" s="1100">
        <v>0.98929176577711475</v>
      </c>
      <c r="K996">
        <v>2.2003343745266744</v>
      </c>
      <c r="L996">
        <v>0</v>
      </c>
      <c r="M996">
        <v>1.4505667262917478E-3</v>
      </c>
      <c r="N996">
        <v>0.14006380140896149</v>
      </c>
      <c r="O996">
        <v>1.9167515494241762E-2</v>
      </c>
      <c r="P996">
        <v>2.6289608753686369E-2</v>
      </c>
      <c r="Q996">
        <v>5.4525680789592771E-3</v>
      </c>
      <c r="R996">
        <v>1.430336787398502E-3</v>
      </c>
      <c r="S996">
        <v>0.23544484606421356</v>
      </c>
      <c r="T996">
        <v>1.3430473654957831</v>
      </c>
      <c r="U996">
        <v>0.13712460103008223</v>
      </c>
      <c r="V996">
        <v>0.18313460656341587</v>
      </c>
      <c r="W996">
        <v>9.0941255490043033E-2</v>
      </c>
      <c r="X996">
        <v>1.5795530861275334E-2</v>
      </c>
      <c r="Y996">
        <v>3.8929052249034777E-3</v>
      </c>
    </row>
    <row r="997" spans="1:25" x14ac:dyDescent="0.25">
      <c r="A997" s="1096"/>
      <c r="B997" s="1455">
        <v>747</v>
      </c>
      <c r="C997" s="1100">
        <v>0.99657180572354642</v>
      </c>
      <c r="D997" s="1100">
        <v>0.98528570783196534</v>
      </c>
      <c r="E997" s="1100">
        <v>1.0109208093607933</v>
      </c>
      <c r="F997" s="1100">
        <v>1.0095443359038196</v>
      </c>
      <c r="G997" s="1100">
        <v>1.002787069352653</v>
      </c>
      <c r="H997" s="1100">
        <v>1.0016129246690844</v>
      </c>
      <c r="I997" s="1100">
        <v>1.0308709125227757</v>
      </c>
      <c r="K997">
        <v>2.2460786148456493</v>
      </c>
      <c r="L997">
        <v>0</v>
      </c>
      <c r="M997">
        <v>1.5246133851401357E-3</v>
      </c>
      <c r="N997">
        <v>0.14328444536326132</v>
      </c>
      <c r="O997">
        <v>1.9891773020046653E-2</v>
      </c>
      <c r="P997">
        <v>2.6645779694252105E-2</v>
      </c>
      <c r="Q997">
        <v>5.6084270513818701E-3</v>
      </c>
      <c r="R997">
        <v>1.5032192967780226E-3</v>
      </c>
      <c r="S997">
        <v>0.25190503577196899</v>
      </c>
      <c r="T997">
        <v>1.3567088003418333</v>
      </c>
      <c r="U997">
        <v>0.14328891208759326</v>
      </c>
      <c r="V997">
        <v>0.18525517592643909</v>
      </c>
      <c r="W997">
        <v>9.3521765718705505E-2</v>
      </c>
      <c r="X997">
        <v>1.5898626568806008E-2</v>
      </c>
      <c r="Y997">
        <v>4.0912673897217739E-3</v>
      </c>
    </row>
    <row r="998" spans="1:25" x14ac:dyDescent="0.25">
      <c r="A998" s="1096"/>
      <c r="B998" s="1455">
        <v>748</v>
      </c>
      <c r="C998" s="1100">
        <v>1.0247602230059305</v>
      </c>
      <c r="D998" s="1100">
        <v>0.99509540389838247</v>
      </c>
      <c r="E998" s="1100">
        <v>1.0254822101071956</v>
      </c>
      <c r="F998" s="1100">
        <v>1.0317678910183818</v>
      </c>
      <c r="G998" s="1100">
        <v>1.0237994625736611</v>
      </c>
      <c r="H998" s="1100">
        <v>1.0389545187320885</v>
      </c>
      <c r="I998" s="1100">
        <v>0.98691135576301869</v>
      </c>
      <c r="K998">
        <v>2.2615367222466087</v>
      </c>
      <c r="L998">
        <v>0</v>
      </c>
      <c r="M998">
        <v>1.4888184401778627E-3</v>
      </c>
      <c r="N998">
        <v>0.14627955152318431</v>
      </c>
      <c r="O998">
        <v>1.9311397881343801E-2</v>
      </c>
      <c r="P998">
        <v>2.7087507039431385E-2</v>
      </c>
      <c r="Q998">
        <v>5.5242643039603613E-3</v>
      </c>
      <c r="R998">
        <v>1.4686775259569562E-3</v>
      </c>
      <c r="S998">
        <v>0.23636586559521888</v>
      </c>
      <c r="T998">
        <v>1.3866044550826946</v>
      </c>
      <c r="U998">
        <v>0.13938022270564604</v>
      </c>
      <c r="V998">
        <v>0.18600535103244351</v>
      </c>
      <c r="W998">
        <v>9.4665595397654068E-2</v>
      </c>
      <c r="X998">
        <v>1.6335396523012642E-2</v>
      </c>
      <c r="Y998">
        <v>3.9972560762385227E-3</v>
      </c>
    </row>
    <row r="999" spans="1:25" x14ac:dyDescent="0.25">
      <c r="A999" s="1096"/>
      <c r="B999" s="1455">
        <v>749</v>
      </c>
      <c r="C999" s="1100">
        <v>1.0070112245293266</v>
      </c>
      <c r="D999" s="1100">
        <v>1.0264433766337546</v>
      </c>
      <c r="E999" s="1100">
        <v>0.96316092654358321</v>
      </c>
      <c r="F999" s="1100">
        <v>0.9743445763662868</v>
      </c>
      <c r="G999" s="1100">
        <v>0.98185658527165165</v>
      </c>
      <c r="H999" s="1100">
        <v>1.0101264345696892</v>
      </c>
      <c r="I999" s="1100">
        <v>1.0016171933728433</v>
      </c>
      <c r="K999">
        <v>2.1650844346622176</v>
      </c>
      <c r="L999">
        <v>0</v>
      </c>
      <c r="M999">
        <v>1.6647027759620786E-3</v>
      </c>
      <c r="N999">
        <v>0.13542621370776922</v>
      </c>
      <c r="O999">
        <v>1.9479728612386792E-2</v>
      </c>
      <c r="P999">
        <v>2.4823922854916608E-2</v>
      </c>
      <c r="Q999">
        <v>5.2329905601601664E-3</v>
      </c>
      <c r="R999">
        <v>1.6415397686602726E-3</v>
      </c>
      <c r="S999">
        <v>0.23765091328875182</v>
      </c>
      <c r="T999">
        <v>1.3093436146512025</v>
      </c>
      <c r="U999">
        <v>0.14169451066623134</v>
      </c>
      <c r="V999">
        <v>0.18223123801133662</v>
      </c>
      <c r="W999">
        <v>9.0964529304747424E-2</v>
      </c>
      <c r="X999">
        <v>1.3792205895161454E-2</v>
      </c>
      <c r="Y999">
        <v>4.4677301168539567E-3</v>
      </c>
    </row>
    <row r="1000" spans="1:25" x14ac:dyDescent="0.25">
      <c r="A1000" s="1096"/>
      <c r="B1000" s="1455">
        <v>750</v>
      </c>
      <c r="C1000" s="1100">
        <v>0.98025769640866756</v>
      </c>
      <c r="D1000" s="1100">
        <v>0.97568792840493268</v>
      </c>
      <c r="E1000" s="1100">
        <v>1.0178519037701352</v>
      </c>
      <c r="F1000" s="1100">
        <v>0.99047244978934723</v>
      </c>
      <c r="G1000" s="1100">
        <v>0.99289963584263019</v>
      </c>
      <c r="H1000" s="1100">
        <v>0.98861806819662734</v>
      </c>
      <c r="I1000" s="1100">
        <v>1.0089849533070174</v>
      </c>
      <c r="K1000">
        <v>2.2246970233193393</v>
      </c>
      <c r="L1000">
        <v>0</v>
      </c>
      <c r="M1000">
        <v>1.5112426697192029E-3</v>
      </c>
      <c r="N1000">
        <v>0.14500298515449378</v>
      </c>
      <c r="O1000">
        <v>2.0270873798281141E-2</v>
      </c>
      <c r="P1000">
        <v>2.6445146412041296E-2</v>
      </c>
      <c r="Q1000">
        <v>5.7549536445314665E-3</v>
      </c>
      <c r="R1000">
        <v>1.4897574578462008E-3</v>
      </c>
      <c r="S1000">
        <v>0.25086984206185031</v>
      </c>
      <c r="T1000">
        <v>1.3310914911041118</v>
      </c>
      <c r="U1000">
        <v>0.14568993771508609</v>
      </c>
      <c r="V1000">
        <v>0.18513485760637918</v>
      </c>
      <c r="W1000">
        <v>9.4258756690893744E-2</v>
      </c>
      <c r="X1000">
        <v>1.6145035641699165E-2</v>
      </c>
      <c r="Y1000">
        <v>4.0546287018433666E-3</v>
      </c>
    </row>
    <row r="1001" spans="1:25" x14ac:dyDescent="0.25">
      <c r="A1001" s="1096"/>
      <c r="B1001" s="1455">
        <v>751</v>
      </c>
      <c r="C1001" s="1100">
        <v>1.0066137420403303</v>
      </c>
      <c r="D1001" s="1100">
        <v>1.0010150079101525</v>
      </c>
      <c r="E1001" s="1100">
        <v>0.97668343802903224</v>
      </c>
      <c r="F1001" s="1100">
        <v>0.9937029633886495</v>
      </c>
      <c r="G1001" s="1100">
        <v>0.97278838587265537</v>
      </c>
      <c r="H1001" s="1100">
        <v>1.0224654930353729</v>
      </c>
      <c r="I1001" s="1100">
        <v>1.0077081513638158</v>
      </c>
      <c r="K1001">
        <v>2.2037570126642856</v>
      </c>
      <c r="L1001">
        <v>0</v>
      </c>
      <c r="M1001">
        <v>1.6483671394190544E-3</v>
      </c>
      <c r="N1001">
        <v>0.13972562595368715</v>
      </c>
      <c r="O1001">
        <v>1.9603613092416903E-2</v>
      </c>
      <c r="P1001">
        <v>2.5494687629276858E-2</v>
      </c>
      <c r="Q1001">
        <v>5.3395647355460882E-3</v>
      </c>
      <c r="R1001">
        <v>1.6257082163426671E-3</v>
      </c>
      <c r="S1001">
        <v>0.24327734188455513</v>
      </c>
      <c r="T1001">
        <v>1.3353703122973613</v>
      </c>
      <c r="U1001">
        <v>0.14178123874659326</v>
      </c>
      <c r="V1001">
        <v>0.1812405801774177</v>
      </c>
      <c r="W1001">
        <v>9.3083093806259454E-2</v>
      </c>
      <c r="X1001">
        <v>1.4438971413930763E-2</v>
      </c>
      <c r="Y1001">
        <v>4.4246418503152531E-3</v>
      </c>
    </row>
    <row r="1002" spans="1:25" x14ac:dyDescent="0.25">
      <c r="A1002" s="1096"/>
      <c r="B1002" s="1455">
        <v>752</v>
      </c>
      <c r="C1002" s="1100">
        <v>1.0072904563536118</v>
      </c>
      <c r="D1002" s="1100">
        <v>1.0248358748610471</v>
      </c>
      <c r="E1002" s="1100">
        <v>0.99829118509198556</v>
      </c>
      <c r="F1002" s="1100">
        <v>1.033034350285682</v>
      </c>
      <c r="G1002" s="1100">
        <v>0.96492673964968212</v>
      </c>
      <c r="H1002" s="1100">
        <v>1.0289594154758086</v>
      </c>
      <c r="I1002" s="1100">
        <v>1.0325607157476384</v>
      </c>
      <c r="K1002">
        <v>2.2650692660393767</v>
      </c>
      <c r="L1002">
        <v>0</v>
      </c>
      <c r="M1002">
        <v>1.5770202727966622E-3</v>
      </c>
      <c r="N1002">
        <v>0.142716814338084</v>
      </c>
      <c r="O1002">
        <v>1.950264602500059E-2</v>
      </c>
      <c r="P1002">
        <v>2.6670753820528928E-2</v>
      </c>
      <c r="Q1002">
        <v>5.4295238670585408E-3</v>
      </c>
      <c r="R1002">
        <v>1.5554789183067899E-3</v>
      </c>
      <c r="S1002">
        <v>0.24692520184445246</v>
      </c>
      <c r="T1002">
        <v>1.3882545432123641</v>
      </c>
      <c r="U1002">
        <v>0.14173527682858103</v>
      </c>
      <c r="V1002">
        <v>0.18033091341005175</v>
      </c>
      <c r="W1002">
        <v>9.3850578223027531E-2</v>
      </c>
      <c r="X1002">
        <v>1.5441054972573021E-2</v>
      </c>
      <c r="Y1002">
        <v>4.2335008521434698E-3</v>
      </c>
    </row>
    <row r="1003" spans="1:25" x14ac:dyDescent="0.25">
      <c r="A1003" s="1096"/>
      <c r="B1003" s="1455">
        <v>753</v>
      </c>
      <c r="C1003" s="1100">
        <v>0.9999262083720446</v>
      </c>
      <c r="D1003" s="1100">
        <v>0.98525336714279532</v>
      </c>
      <c r="E1003" s="1100">
        <v>0.97491521405963832</v>
      </c>
      <c r="F1003" s="1100">
        <v>1.0110180608639432</v>
      </c>
      <c r="G1003" s="1100">
        <v>1.0219424606901917</v>
      </c>
      <c r="H1003" s="1100">
        <v>1.0058468501573121</v>
      </c>
      <c r="I1003" s="1100">
        <v>1.0037676143272796</v>
      </c>
      <c r="K1003">
        <v>2.2341251283162413</v>
      </c>
      <c r="L1003">
        <v>0</v>
      </c>
      <c r="M1003">
        <v>1.6441267049823152E-3</v>
      </c>
      <c r="N1003">
        <v>0.13859040513490767</v>
      </c>
      <c r="O1003">
        <v>1.9802644985014738E-2</v>
      </c>
      <c r="P1003">
        <v>2.588085720711869E-2</v>
      </c>
      <c r="Q1003">
        <v>5.3840686087743804E-3</v>
      </c>
      <c r="R1003">
        <v>1.621152663540315E-3</v>
      </c>
      <c r="S1003">
        <v>0.24452669600433286</v>
      </c>
      <c r="T1003">
        <v>1.3586370047426246</v>
      </c>
      <c r="U1003">
        <v>0.14272542013298364</v>
      </c>
      <c r="V1003">
        <v>0.18718963833699365</v>
      </c>
      <c r="W1003">
        <v>9.2425785704346272E-2</v>
      </c>
      <c r="X1003">
        <v>1.4573338363260418E-2</v>
      </c>
      <c r="Y1003">
        <v>4.4122431373248274E-3</v>
      </c>
    </row>
    <row r="1004" spans="1:25" x14ac:dyDescent="0.25">
      <c r="A1004" s="1096"/>
      <c r="B1004" s="1455">
        <v>754</v>
      </c>
      <c r="C1004" s="1100">
        <v>1.018088695177056</v>
      </c>
      <c r="D1004" s="1100">
        <v>0.99911218478470554</v>
      </c>
      <c r="E1004" s="1100">
        <v>1.0328710932589964</v>
      </c>
      <c r="F1004" s="1100">
        <v>1.010135505274016</v>
      </c>
      <c r="G1004" s="1100">
        <v>0.98455334805667616</v>
      </c>
      <c r="H1004" s="1100">
        <v>1.0199097072970191</v>
      </c>
      <c r="I1004" s="1100">
        <v>1.0042162013676712</v>
      </c>
      <c r="K1004">
        <v>2.2312163937432254</v>
      </c>
      <c r="L1004">
        <v>0</v>
      </c>
      <c r="M1004">
        <v>1.4473472764198899E-3</v>
      </c>
      <c r="N1004">
        <v>0.14537094177415955</v>
      </c>
      <c r="O1004">
        <v>1.942528036909219E-2</v>
      </c>
      <c r="P1004">
        <v>2.6836562148053408E-2</v>
      </c>
      <c r="Q1004">
        <v>5.5976036334423182E-3</v>
      </c>
      <c r="R1004">
        <v>1.4274017731147721E-3</v>
      </c>
      <c r="S1004">
        <v>0.24015312580895717</v>
      </c>
      <c r="T1004">
        <v>1.3575490048613843</v>
      </c>
      <c r="U1004">
        <v>0.14031036315075973</v>
      </c>
      <c r="V1004">
        <v>0.18195565201198977</v>
      </c>
      <c r="W1004">
        <v>9.3674682403206422E-2</v>
      </c>
      <c r="X1004">
        <v>1.6478206001935124E-2</v>
      </c>
      <c r="Y1004">
        <v>3.8849170835503636E-3</v>
      </c>
    </row>
    <row r="1005" spans="1:25" x14ac:dyDescent="0.25">
      <c r="A1005" s="1096"/>
      <c r="B1005" s="1455">
        <v>755</v>
      </c>
      <c r="C1005" s="1100">
        <v>0.99994349255766846</v>
      </c>
      <c r="D1005" s="1100">
        <v>0.98766743749741848</v>
      </c>
      <c r="E1005" s="1100">
        <v>0.98519695230964144</v>
      </c>
      <c r="F1005" s="1100">
        <v>0.96962329846789075</v>
      </c>
      <c r="G1005" s="1100">
        <v>0.97969725241358085</v>
      </c>
      <c r="H1005" s="1100">
        <v>1.013895552335127</v>
      </c>
      <c r="I1005" s="1100">
        <v>0.98418132682765291</v>
      </c>
      <c r="K1005">
        <v>2.1722578897549267</v>
      </c>
      <c r="L1005">
        <v>0</v>
      </c>
      <c r="M1005">
        <v>1.6215186778050159E-3</v>
      </c>
      <c r="N1005">
        <v>0.14101948443850382</v>
      </c>
      <c r="O1005">
        <v>1.9798064286146298E-2</v>
      </c>
      <c r="P1005">
        <v>2.5210444469085116E-2</v>
      </c>
      <c r="Q1005">
        <v>5.4393687918794882E-3</v>
      </c>
      <c r="R1005">
        <v>1.5990404165507075E-3</v>
      </c>
      <c r="S1005">
        <v>0.24017196305395164</v>
      </c>
      <c r="T1005">
        <v>1.3030209767659704</v>
      </c>
      <c r="U1005">
        <v>0.14274655034310624</v>
      </c>
      <c r="V1005">
        <v>0.18242182267627338</v>
      </c>
      <c r="W1005">
        <v>9.3463699246791362E-2</v>
      </c>
      <c r="X1005">
        <v>1.4635933054155318E-2</v>
      </c>
      <c r="Y1005">
        <v>4.3520608903193769E-3</v>
      </c>
    </row>
    <row r="1006" spans="1:25" x14ac:dyDescent="0.25">
      <c r="A1006" s="1096"/>
      <c r="B1006" s="1455">
        <v>756</v>
      </c>
      <c r="C1006" s="1100">
        <v>0.98760721594401479</v>
      </c>
      <c r="D1006" s="1100">
        <v>0.99182982087334726</v>
      </c>
      <c r="E1006" s="1100">
        <v>0.99055095213344946</v>
      </c>
      <c r="F1006" s="1100">
        <v>0.99294862642079895</v>
      </c>
      <c r="G1006" s="1100">
        <v>0.96887499570797997</v>
      </c>
      <c r="H1006" s="1100">
        <v>1.0118001320787422</v>
      </c>
      <c r="I1006" s="1100">
        <v>1.0076531599499208</v>
      </c>
      <c r="K1006">
        <v>2.217620084791132</v>
      </c>
      <c r="L1006">
        <v>0</v>
      </c>
      <c r="M1006">
        <v>1.618820907221684E-3</v>
      </c>
      <c r="N1006">
        <v>0.14307855937665478</v>
      </c>
      <c r="O1006">
        <v>2.0030211843448085E-2</v>
      </c>
      <c r="P1006">
        <v>2.5865398405383593E-2</v>
      </c>
      <c r="Q1006">
        <v>5.5330467401474856E-3</v>
      </c>
      <c r="R1006">
        <v>1.5963335691100858E-3</v>
      </c>
      <c r="S1006">
        <v>0.24832016699858883</v>
      </c>
      <c r="T1006">
        <v>1.3343736006737712</v>
      </c>
      <c r="U1006">
        <v>0.14454206552014559</v>
      </c>
      <c r="V1006">
        <v>0.1819440676081179</v>
      </c>
      <c r="W1006">
        <v>9.4524222111550982E-2</v>
      </c>
      <c r="X1006">
        <v>1.508653910753782E-2</v>
      </c>
      <c r="Y1006">
        <v>4.3446937438980249E-3</v>
      </c>
    </row>
    <row r="1007" spans="1:25" x14ac:dyDescent="0.25">
      <c r="A1007" s="1096"/>
      <c r="B1007" s="1455">
        <v>757</v>
      </c>
      <c r="C1007" s="1100">
        <v>1.0092361942632966</v>
      </c>
      <c r="D1007" s="1100">
        <v>1.0016920754652132</v>
      </c>
      <c r="E1007" s="1100">
        <v>0.98184269509990896</v>
      </c>
      <c r="F1007" s="1100">
        <v>0.9870305531435396</v>
      </c>
      <c r="G1007" s="1100">
        <v>1.0257442357731608</v>
      </c>
      <c r="H1007" s="1100">
        <v>0.97536267244992025</v>
      </c>
      <c r="I1007" s="1100">
        <v>1.0044196409681483</v>
      </c>
      <c r="K1007">
        <v>2.1841801447256435</v>
      </c>
      <c r="L1007">
        <v>0</v>
      </c>
      <c r="M1007">
        <v>1.5514730798919124E-3</v>
      </c>
      <c r="N1007">
        <v>0.13349153060620547</v>
      </c>
      <c r="O1007">
        <v>1.9552947240197776E-2</v>
      </c>
      <c r="P1007">
        <v>2.547771258787998E-2</v>
      </c>
      <c r="Q1007">
        <v>5.3537769804187733E-3</v>
      </c>
      <c r="R1007">
        <v>1.5291161538388593E-3</v>
      </c>
      <c r="S1007">
        <v>0.23805850629607381</v>
      </c>
      <c r="T1007">
        <v>1.3264095064597563</v>
      </c>
      <c r="U1007">
        <v>0.14142455721784408</v>
      </c>
      <c r="V1007">
        <v>0.18707805438446032</v>
      </c>
      <c r="W1007">
        <v>8.8653261503330902E-2</v>
      </c>
      <c r="X1007">
        <v>1.4540898277780922E-2</v>
      </c>
      <c r="Y1007">
        <v>4.1617500977447356E-3</v>
      </c>
    </row>
    <row r="1008" spans="1:25" x14ac:dyDescent="0.25">
      <c r="A1008" s="1096"/>
      <c r="B1008" s="1455">
        <v>758</v>
      </c>
      <c r="C1008" s="1100">
        <v>1.0237910612910388</v>
      </c>
      <c r="D1008" s="1100">
        <v>1.0125117354525954</v>
      </c>
      <c r="E1008" s="1100">
        <v>0.9817466855460687</v>
      </c>
      <c r="F1008" s="1100">
        <v>1.001423229685688</v>
      </c>
      <c r="G1008" s="1100">
        <v>0.96230485762536266</v>
      </c>
      <c r="H1008" s="1100">
        <v>0.99381494683870975</v>
      </c>
      <c r="I1008" s="1100">
        <v>0.99292556552999722</v>
      </c>
      <c r="K1008">
        <v>2.1876929276191572</v>
      </c>
      <c r="L1008">
        <v>0</v>
      </c>
      <c r="M1008">
        <v>1.5549802714002092E-3</v>
      </c>
      <c r="N1008">
        <v>0.13379075034664681</v>
      </c>
      <c r="O1008">
        <v>1.9229408019031956E-2</v>
      </c>
      <c r="P1008">
        <v>2.5522097791360283E-2</v>
      </c>
      <c r="Q1008">
        <v>5.2646757028082585E-3</v>
      </c>
      <c r="R1008">
        <v>1.5329888482042105E-3</v>
      </c>
      <c r="S1008">
        <v>0.23217424618392146</v>
      </c>
      <c r="T1008">
        <v>1.3457508223111825</v>
      </c>
      <c r="U1008">
        <v>0.13941376018928237</v>
      </c>
      <c r="V1008">
        <v>0.17907127453296137</v>
      </c>
      <c r="W1008">
        <v>8.8857120602738329E-2</v>
      </c>
      <c r="X1008">
        <v>1.4468473067243959E-2</v>
      </c>
      <c r="Y1008">
        <v>4.1722902951738658E-3</v>
      </c>
    </row>
    <row r="1009" spans="1:25" x14ac:dyDescent="0.25">
      <c r="A1009" s="1096"/>
      <c r="B1009" s="1455">
        <v>759</v>
      </c>
      <c r="C1009" s="1100">
        <v>0.98757706226031738</v>
      </c>
      <c r="D1009" s="1100">
        <v>0.98973812825116125</v>
      </c>
      <c r="E1009" s="1100">
        <v>1.0387500772272271</v>
      </c>
      <c r="F1009" s="1100">
        <v>0.98975362460731076</v>
      </c>
      <c r="G1009" s="1100">
        <v>0.96725338808230132</v>
      </c>
      <c r="H1009" s="1100">
        <v>0.98333769980437458</v>
      </c>
      <c r="I1009" s="1100">
        <v>1.0407955298451692</v>
      </c>
      <c r="K1009">
        <v>2.2236709140631281</v>
      </c>
      <c r="L1009">
        <v>0</v>
      </c>
      <c r="M1009">
        <v>1.4239806873442905E-3</v>
      </c>
      <c r="N1009">
        <v>0.14550461226881808</v>
      </c>
      <c r="O1009">
        <v>2.0070753328732038E-2</v>
      </c>
      <c r="P1009">
        <v>2.6830351189307541E-2</v>
      </c>
      <c r="Q1009">
        <v>5.8172112521232512E-3</v>
      </c>
      <c r="R1009">
        <v>1.4036273614546168E-3</v>
      </c>
      <c r="S1009">
        <v>0.25474585560639168</v>
      </c>
      <c r="T1009">
        <v>1.3301709558569867</v>
      </c>
      <c r="U1009">
        <v>0.1446590932448209</v>
      </c>
      <c r="V1009">
        <v>0.18180714347473001</v>
      </c>
      <c r="W1009">
        <v>9.3442843363275838E-2</v>
      </c>
      <c r="X1009">
        <v>1.6822236831585187E-2</v>
      </c>
      <c r="Y1009">
        <v>3.8202109722441195E-3</v>
      </c>
    </row>
    <row r="1010" spans="1:25" x14ac:dyDescent="0.25">
      <c r="A1010" s="1096"/>
      <c r="B1010" s="1455">
        <v>760</v>
      </c>
      <c r="C1010" s="1100">
        <v>1.0251283651793945</v>
      </c>
      <c r="D1010" s="1100">
        <v>1.0402158004324085</v>
      </c>
      <c r="E1010" s="1100">
        <v>0.98055774938069151</v>
      </c>
      <c r="F1010" s="1100">
        <v>0.97073313331180833</v>
      </c>
      <c r="G1010" s="1100">
        <v>1.0310973419765923</v>
      </c>
      <c r="H1010" s="1100">
        <v>0.98273965665654428</v>
      </c>
      <c r="I1010" s="1100">
        <v>1.0112501311327111</v>
      </c>
      <c r="K1010">
        <v>2.1486613582820171</v>
      </c>
      <c r="L1010">
        <v>0</v>
      </c>
      <c r="M1010">
        <v>1.5303109077033979E-3</v>
      </c>
      <c r="N1010">
        <v>0.13117422264140388</v>
      </c>
      <c r="O1010">
        <v>1.9089896054612452E-2</v>
      </c>
      <c r="P1010">
        <v>2.5045087065585527E-2</v>
      </c>
      <c r="Q1010">
        <v>5.2201717765008948E-3</v>
      </c>
      <c r="R1010">
        <v>1.5084244655256371E-3</v>
      </c>
      <c r="S1010">
        <v>0.23213430706240926</v>
      </c>
      <c r="T1010">
        <v>1.3045069358084196</v>
      </c>
      <c r="U1010">
        <v>0.13922922955063105</v>
      </c>
      <c r="V1010">
        <v>0.18677113615413604</v>
      </c>
      <c r="W1010">
        <v>8.7181862810449484E-2</v>
      </c>
      <c r="X1010">
        <v>1.4224961656877208E-2</v>
      </c>
      <c r="Y1010">
        <v>4.1054341431693642E-3</v>
      </c>
    </row>
    <row r="1011" spans="1:25" x14ac:dyDescent="0.25">
      <c r="A1011" s="1096"/>
      <c r="B1011" s="1455">
        <v>761</v>
      </c>
      <c r="C1011" s="1100">
        <v>0.96391716308041697</v>
      </c>
      <c r="D1011" s="1100">
        <v>0.99346400898339593</v>
      </c>
      <c r="E1011" s="1100">
        <v>0.99801361355409413</v>
      </c>
      <c r="F1011" s="1100">
        <v>1.0342488529695641</v>
      </c>
      <c r="G1011" s="1100">
        <v>1.0070003771892093</v>
      </c>
      <c r="H1011" s="1100">
        <v>0.99202897663793588</v>
      </c>
      <c r="I1011" s="1100">
        <v>0.97198372046361092</v>
      </c>
      <c r="K1011">
        <v>2.2823225602981685</v>
      </c>
      <c r="L1011">
        <v>0</v>
      </c>
      <c r="M1011">
        <v>1.6006591287909941E-3</v>
      </c>
      <c r="N1011">
        <v>0.14466001805311651</v>
      </c>
      <c r="O1011">
        <v>2.0519898715019285E-2</v>
      </c>
      <c r="P1011">
        <v>2.6830936836657132E-2</v>
      </c>
      <c r="Q1011">
        <v>5.7111310378280718E-3</v>
      </c>
      <c r="R1011">
        <v>1.5779809343355335E-3</v>
      </c>
      <c r="S1011">
        <v>0.2436735535853764</v>
      </c>
      <c r="T1011">
        <v>1.389886220439601</v>
      </c>
      <c r="U1011">
        <v>0.1481122634538582</v>
      </c>
      <c r="V1011">
        <v>0.1877365240195262</v>
      </c>
      <c r="W1011">
        <v>9.5144146864888479E-2</v>
      </c>
      <c r="X1011">
        <v>1.5775801564767045E-2</v>
      </c>
      <c r="Y1011">
        <v>4.2947439219861204E-3</v>
      </c>
    </row>
    <row r="1012" spans="1:25" x14ac:dyDescent="0.25">
      <c r="A1012" s="1096"/>
      <c r="B1012" s="1455">
        <v>762</v>
      </c>
      <c r="C1012" s="1100">
        <v>1.0276318631893511</v>
      </c>
      <c r="D1012" s="1100">
        <v>1.0108673045259084</v>
      </c>
      <c r="E1012" s="1100">
        <v>0.99590111885297727</v>
      </c>
      <c r="F1012" s="1100">
        <v>1.032912421990537</v>
      </c>
      <c r="G1012" s="1100">
        <v>1.0052658082385122</v>
      </c>
      <c r="H1012" s="1100">
        <v>1.0235095312660507</v>
      </c>
      <c r="I1012" s="1100">
        <v>0.98284938922583909</v>
      </c>
      <c r="K1012">
        <v>2.2434272616035966</v>
      </c>
      <c r="L1012">
        <v>0</v>
      </c>
      <c r="M1012">
        <v>1.5499277691761373E-3</v>
      </c>
      <c r="N1012">
        <v>0.13924532776043202</v>
      </c>
      <c r="O1012">
        <v>1.9172957878289994E-2</v>
      </c>
      <c r="P1012">
        <v>2.6419112608272489E-2</v>
      </c>
      <c r="Q1012">
        <v>5.3249100849828042E-3</v>
      </c>
      <c r="R1012">
        <v>1.5286437547347351E-3</v>
      </c>
      <c r="S1012">
        <v>0.23151715267380588</v>
      </c>
      <c r="T1012">
        <v>1.3880869139607896</v>
      </c>
      <c r="U1012">
        <v>0.13892435279161144</v>
      </c>
      <c r="V1012">
        <v>0.18372292384537833</v>
      </c>
      <c r="W1012">
        <v>9.169819433211103E-2</v>
      </c>
      <c r="X1012">
        <v>1.5176235299250024E-2</v>
      </c>
      <c r="Y1012">
        <v>4.1604643831096308E-3</v>
      </c>
    </row>
    <row r="1013" spans="1:25" x14ac:dyDescent="0.25">
      <c r="A1013" s="1096"/>
      <c r="B1013" s="1455">
        <v>763</v>
      </c>
      <c r="C1013" s="1100">
        <v>0.96762795833433246</v>
      </c>
      <c r="D1013" s="1100">
        <v>0.99841317449803646</v>
      </c>
      <c r="E1013" s="1100">
        <v>0.96536103326631872</v>
      </c>
      <c r="F1013" s="1100">
        <v>0.98566091642177789</v>
      </c>
      <c r="G1013" s="1100">
        <v>1.0107668201899986</v>
      </c>
      <c r="H1013" s="1100">
        <v>0.98500149653684055</v>
      </c>
      <c r="I1013" s="1100">
        <v>1.0263093147653708</v>
      </c>
      <c r="K1013">
        <v>2.2163260944937533</v>
      </c>
      <c r="L1013">
        <v>0</v>
      </c>
      <c r="M1013">
        <v>1.6919925695359039E-3</v>
      </c>
      <c r="N1013">
        <v>0.13851681417481992</v>
      </c>
      <c r="O1013">
        <v>2.0397846188793731E-2</v>
      </c>
      <c r="P1013">
        <v>2.5448320023596347E-2</v>
      </c>
      <c r="Q1013">
        <v>5.4920070292534852E-3</v>
      </c>
      <c r="R1013">
        <v>1.667849330288418E-3</v>
      </c>
      <c r="S1013">
        <v>0.25481001604120962</v>
      </c>
      <c r="T1013">
        <v>1.3245524835269298</v>
      </c>
      <c r="U1013">
        <v>0.14746679974724666</v>
      </c>
      <c r="V1013">
        <v>0.18789763003216653</v>
      </c>
      <c r="W1013">
        <v>9.2915384999361486E-2</v>
      </c>
      <c r="X1013">
        <v>1.4313599898960193E-2</v>
      </c>
      <c r="Y1013">
        <v>4.5393360706611086E-3</v>
      </c>
    </row>
    <row r="1014" spans="1:25" x14ac:dyDescent="0.25">
      <c r="A1014" s="1096"/>
      <c r="B1014" s="1455">
        <v>764</v>
      </c>
      <c r="C1014" s="1100">
        <v>1.0178422097297342</v>
      </c>
      <c r="D1014" s="1100">
        <v>1.0318173082358775</v>
      </c>
      <c r="E1014" s="1100">
        <v>0.99058187915343066</v>
      </c>
      <c r="F1014" s="1100">
        <v>0.99302385558548456</v>
      </c>
      <c r="G1014" s="1100">
        <v>0.97425995589476633</v>
      </c>
      <c r="H1014" s="1100">
        <v>0.97582804781554811</v>
      </c>
      <c r="I1014" s="1100">
        <v>0.9887362628737455</v>
      </c>
      <c r="K1014">
        <v>2.173696289168797</v>
      </c>
      <c r="L1014">
        <v>0</v>
      </c>
      <c r="M1014">
        <v>1.5016782994874266E-3</v>
      </c>
      <c r="N1014">
        <v>0.13266845898258947</v>
      </c>
      <c r="O1014">
        <v>1.9266965596157627E-2</v>
      </c>
      <c r="P1014">
        <v>2.5532105846927753E-2</v>
      </c>
      <c r="Q1014">
        <v>5.322377690838773E-3</v>
      </c>
      <c r="R1014">
        <v>1.4800492424907222E-3</v>
      </c>
      <c r="S1014">
        <v>0.22904979769010286</v>
      </c>
      <c r="T1014">
        <v>1.3344747399364505</v>
      </c>
      <c r="U1014">
        <v>0.14024851460064483</v>
      </c>
      <c r="V1014">
        <v>0.18076874324374645</v>
      </c>
      <c r="W1014">
        <v>8.764521188336856E-2</v>
      </c>
      <c r="X1014">
        <v>1.4712796615010527E-2</v>
      </c>
      <c r="Y1014">
        <v>4.0282061399580836E-3</v>
      </c>
    </row>
    <row r="1015" spans="1:25" x14ac:dyDescent="0.25">
      <c r="A1015" s="1096"/>
      <c r="B1015" s="1455">
        <v>765</v>
      </c>
      <c r="C1015" s="1100">
        <v>1.0026007330977833</v>
      </c>
      <c r="D1015" s="1100">
        <v>0.99337720320160738</v>
      </c>
      <c r="E1015" s="1100">
        <v>1.0148163962204197</v>
      </c>
      <c r="F1015" s="1100">
        <v>1.0160034155207742</v>
      </c>
      <c r="G1015" s="1100">
        <v>0.96375523500788607</v>
      </c>
      <c r="H1015" s="1100">
        <v>1.0214760979575503</v>
      </c>
      <c r="I1015" s="1100">
        <v>0.97229567312171161</v>
      </c>
      <c r="K1015">
        <v>2.2373685353763433</v>
      </c>
      <c r="L1015">
        <v>0</v>
      </c>
      <c r="M1015">
        <v>1.5302797298973991E-3</v>
      </c>
      <c r="N1015">
        <v>0.14555826880485057</v>
      </c>
      <c r="O1015">
        <v>1.9739048826128845E-2</v>
      </c>
      <c r="P1015">
        <v>2.6555940817741576E-2</v>
      </c>
      <c r="Q1015">
        <v>5.5870473031298827E-3</v>
      </c>
      <c r="R1015">
        <v>1.5092236949035376E-3</v>
      </c>
      <c r="S1015">
        <v>0.2367747881914965</v>
      </c>
      <c r="T1015">
        <v>1.3653964448758564</v>
      </c>
      <c r="U1015">
        <v>0.14243623788209109</v>
      </c>
      <c r="V1015">
        <v>0.18048879801820381</v>
      </c>
      <c r="W1015">
        <v>9.4788390892703453E-2</v>
      </c>
      <c r="X1015">
        <v>1.5957016417064582E-2</v>
      </c>
      <c r="Y1015">
        <v>4.1076093820701168E-3</v>
      </c>
    </row>
    <row r="1016" spans="1:25" x14ac:dyDescent="0.25">
      <c r="A1016" s="1096"/>
      <c r="B1016" s="1455">
        <v>766</v>
      </c>
      <c r="C1016" s="1100">
        <v>1.0112222841519758</v>
      </c>
      <c r="D1016" s="1100">
        <v>1.0142670539421801</v>
      </c>
      <c r="E1016" s="1100">
        <v>0.9929609511613382</v>
      </c>
      <c r="F1016" s="1100">
        <v>0.99469388299597294</v>
      </c>
      <c r="G1016" s="1100">
        <v>1.0315023692060605</v>
      </c>
      <c r="H1016" s="1100">
        <v>1.0006854155452582</v>
      </c>
      <c r="I1016" s="1100">
        <v>1.0201278402522236</v>
      </c>
      <c r="K1016">
        <v>2.2060461518729273</v>
      </c>
      <c r="L1016">
        <v>0</v>
      </c>
      <c r="M1016">
        <v>1.5482234913770151E-3</v>
      </c>
      <c r="N1016">
        <v>0.13781786529410761</v>
      </c>
      <c r="O1016">
        <v>1.9467890601903626E-2</v>
      </c>
      <c r="P1016">
        <v>2.5888711570271339E-2</v>
      </c>
      <c r="Q1016">
        <v>5.3908168905592293E-3</v>
      </c>
      <c r="R1016">
        <v>1.5264779582560115E-3</v>
      </c>
      <c r="S1016">
        <v>0.24193070940927708</v>
      </c>
      <c r="T1016">
        <v>1.3367223490458828</v>
      </c>
      <c r="U1016">
        <v>0.14117205533412444</v>
      </c>
      <c r="V1016">
        <v>0.18762286359770036</v>
      </c>
      <c r="W1016">
        <v>9.0917594268734789E-2</v>
      </c>
      <c r="X1016">
        <v>1.4982471594435682E-2</v>
      </c>
      <c r="Y1016">
        <v>4.1545697990491631E-3</v>
      </c>
    </row>
    <row r="1017" spans="1:25" x14ac:dyDescent="0.25">
      <c r="A1017" s="1096"/>
      <c r="B1017" s="1455">
        <v>767</v>
      </c>
      <c r="C1017" s="1100">
        <v>1.0271585605934901</v>
      </c>
      <c r="D1017" s="1100">
        <v>1.041715457750362</v>
      </c>
      <c r="E1017" s="1100">
        <v>1.0033549777068613</v>
      </c>
      <c r="F1017" s="1100">
        <v>0.98983833433307644</v>
      </c>
      <c r="G1017" s="1100">
        <v>0.97015226855906778</v>
      </c>
      <c r="H1017" s="1100">
        <v>1.027665296616604</v>
      </c>
      <c r="I1017" s="1100">
        <v>1.027734752701789</v>
      </c>
      <c r="K1017">
        <v>2.189161867510907</v>
      </c>
      <c r="L1017">
        <v>0</v>
      </c>
      <c r="M1017">
        <v>1.5229468555953639E-3</v>
      </c>
      <c r="N1017">
        <v>0.13994546444772299</v>
      </c>
      <c r="O1017">
        <v>1.9059849678232006E-2</v>
      </c>
      <c r="P1017">
        <v>2.5824822138286421E-2</v>
      </c>
      <c r="Q1017">
        <v>5.3333150716688956E-3</v>
      </c>
      <c r="R1017">
        <v>1.5021179220465937E-3</v>
      </c>
      <c r="S1017">
        <v>0.23902401904055062</v>
      </c>
      <c r="T1017">
        <v>1.3302131728488562</v>
      </c>
      <c r="U1017">
        <v>0.13900507390767947</v>
      </c>
      <c r="V1017">
        <v>0.17978680784801646</v>
      </c>
      <c r="W1017">
        <v>9.1751762367914075E-2</v>
      </c>
      <c r="X1017">
        <v>1.515013928475703E-2</v>
      </c>
      <c r="Y1017">
        <v>4.0882698107709064E-3</v>
      </c>
    </row>
    <row r="1018" spans="1:25" x14ac:dyDescent="0.25">
      <c r="A1018" s="1096"/>
      <c r="B1018" s="1455">
        <v>768</v>
      </c>
      <c r="C1018" s="1100">
        <v>1.0203061441730537</v>
      </c>
      <c r="D1018" s="1100">
        <v>1.0123231123350362</v>
      </c>
      <c r="E1018" s="1100">
        <v>1.0040000744992525</v>
      </c>
      <c r="F1018" s="1100">
        <v>1.003005497090389</v>
      </c>
      <c r="G1018" s="1100">
        <v>1.0001261093583946</v>
      </c>
      <c r="H1018" s="1100">
        <v>1.0300576656588873</v>
      </c>
      <c r="I1018" s="1100">
        <v>1.0396700223146749</v>
      </c>
      <c r="K1018">
        <v>2.2243783867788602</v>
      </c>
      <c r="L1018">
        <v>0</v>
      </c>
      <c r="M1018">
        <v>1.5443818953243585E-3</v>
      </c>
      <c r="N1018">
        <v>0.14219652019497464</v>
      </c>
      <c r="O1018">
        <v>1.9309450450458378E-2</v>
      </c>
      <c r="P1018">
        <v>2.6254116657278899E-2</v>
      </c>
      <c r="Q1018">
        <v>5.4066558254077541E-3</v>
      </c>
      <c r="R1018">
        <v>1.5233088578140944E-3</v>
      </c>
      <c r="S1018">
        <v>0.2470808267027893</v>
      </c>
      <c r="T1018">
        <v>1.3479091980195137</v>
      </c>
      <c r="U1018">
        <v>0.13994009397533483</v>
      </c>
      <c r="V1018">
        <v>0.18356337403353376</v>
      </c>
      <c r="W1018">
        <v>9.3191977054176492E-2</v>
      </c>
      <c r="X1018">
        <v>1.5401302350560475E-2</v>
      </c>
      <c r="Y1018">
        <v>4.1459445523399441E-3</v>
      </c>
    </row>
    <row r="1019" spans="1:25" x14ac:dyDescent="0.25">
      <c r="A1019" s="1096"/>
      <c r="B1019" s="1455">
        <v>769</v>
      </c>
      <c r="C1019" s="1100">
        <v>1.0005957896131794</v>
      </c>
      <c r="D1019" s="1100">
        <v>1.0159297051572043</v>
      </c>
      <c r="E1019" s="1100">
        <v>0.98162039192711903</v>
      </c>
      <c r="F1019" s="1100">
        <v>1.0085623141566313</v>
      </c>
      <c r="G1019" s="1100">
        <v>0.99655736310552578</v>
      </c>
      <c r="H1019" s="1100">
        <v>1.007908594869567</v>
      </c>
      <c r="I1019" s="1100">
        <v>0.98255122927128224</v>
      </c>
      <c r="K1019">
        <v>2.2188116057899019</v>
      </c>
      <c r="L1019">
        <v>0</v>
      </c>
      <c r="M1019">
        <v>1.6128152645816414E-3</v>
      </c>
      <c r="N1019">
        <v>0.13874169833733019</v>
      </c>
      <c r="O1019">
        <v>1.9660513461701886E-2</v>
      </c>
      <c r="P1019">
        <v>2.5811007571148653E-2</v>
      </c>
      <c r="Q1019">
        <v>5.3820145779156702E-3</v>
      </c>
      <c r="R1019">
        <v>1.5903248503995036E-3</v>
      </c>
      <c r="S1019">
        <v>0.23578419062128375</v>
      </c>
      <c r="T1019">
        <v>1.3553444451952712</v>
      </c>
      <c r="U1019">
        <v>0.14264528500975637</v>
      </c>
      <c r="V1019">
        <v>0.18428598316761616</v>
      </c>
      <c r="W1019">
        <v>9.2152310289218428E-2</v>
      </c>
      <c r="X1019">
        <v>1.4698307980496711E-2</v>
      </c>
      <c r="Y1019">
        <v>4.3283399923414101E-3</v>
      </c>
    </row>
    <row r="1020" spans="1:25" x14ac:dyDescent="0.25">
      <c r="A1020" s="1096"/>
      <c r="B1020" s="1455">
        <v>770</v>
      </c>
      <c r="C1020" s="1100">
        <v>1.0134162842813801</v>
      </c>
      <c r="D1020" s="1100">
        <v>0.9787553710300223</v>
      </c>
      <c r="E1020" s="1100">
        <v>1.0039255323420369</v>
      </c>
      <c r="F1020" s="1100">
        <v>0.98868115357073894</v>
      </c>
      <c r="G1020" s="1100">
        <v>1.0251190082634756</v>
      </c>
      <c r="H1020" s="1100">
        <v>0.9940737533222247</v>
      </c>
      <c r="I1020" s="1100">
        <v>1.0206829400895245</v>
      </c>
      <c r="K1020">
        <v>2.2025406281230775</v>
      </c>
      <c r="L1020">
        <v>0</v>
      </c>
      <c r="M1020">
        <v>1.5119710851076293E-3</v>
      </c>
      <c r="N1020">
        <v>0.13911131086765002</v>
      </c>
      <c r="O1020">
        <v>1.9585443558380402E-2</v>
      </c>
      <c r="P1020">
        <v>2.6023647837888329E-2</v>
      </c>
      <c r="Q1020">
        <v>5.4835240478839781E-3</v>
      </c>
      <c r="R1020">
        <v>1.490593489594561E-3</v>
      </c>
      <c r="S1020">
        <v>0.24542220660298311</v>
      </c>
      <c r="T1020">
        <v>1.3286590159631588</v>
      </c>
      <c r="U1020">
        <v>0.14089132786607086</v>
      </c>
      <c r="V1020">
        <v>0.18678370334739977</v>
      </c>
      <c r="W1020">
        <v>9.1174036105360248E-2</v>
      </c>
      <c r="X1020">
        <v>1.5370885417146794E-2</v>
      </c>
      <c r="Y1020">
        <v>4.0569041046646095E-3</v>
      </c>
    </row>
    <row r="1021" spans="1:25" x14ac:dyDescent="0.25">
      <c r="A1021" s="1096"/>
      <c r="B1021" s="1455">
        <v>771</v>
      </c>
      <c r="C1021" s="1100">
        <v>0.98527031421399747</v>
      </c>
      <c r="D1021" s="1100">
        <v>0.96810360904684978</v>
      </c>
      <c r="E1021" s="1100">
        <v>1.0133615725712675</v>
      </c>
      <c r="F1021" s="1100">
        <v>1.0221411013138526</v>
      </c>
      <c r="G1021" s="1100">
        <v>0.99524103382382101</v>
      </c>
      <c r="H1021" s="1100">
        <v>0.9996684526184838</v>
      </c>
      <c r="I1021" s="1100">
        <v>0.96569746084168828</v>
      </c>
      <c r="K1021">
        <v>2.2576541947858786</v>
      </c>
      <c r="L1021">
        <v>0</v>
      </c>
      <c r="M1021">
        <v>1.5372587469193531E-3</v>
      </c>
      <c r="N1021">
        <v>0.1455371727074313</v>
      </c>
      <c r="O1021">
        <v>2.0199524314977828E-2</v>
      </c>
      <c r="P1021">
        <v>2.6792615605395219E-2</v>
      </c>
      <c r="Q1021">
        <v>5.7090927506139692E-3</v>
      </c>
      <c r="R1021">
        <v>1.5156452537678047E-3</v>
      </c>
      <c r="S1021">
        <v>0.24066614182662022</v>
      </c>
      <c r="T1021">
        <v>1.3736419972837652</v>
      </c>
      <c r="U1021">
        <v>0.14493821414659228</v>
      </c>
      <c r="V1021">
        <v>0.18508739170251717</v>
      </c>
      <c r="W1021">
        <v>9.4855731032551641E-2</v>
      </c>
      <c r="X1021">
        <v>1.6122840160133264E-2</v>
      </c>
      <c r="Y1021">
        <v>4.1250867484323378E-3</v>
      </c>
    </row>
    <row r="1022" spans="1:25" x14ac:dyDescent="0.25">
      <c r="A1022" s="1096"/>
      <c r="B1022" s="1455">
        <v>772</v>
      </c>
      <c r="C1022" s="1100">
        <v>1.0171323116864153</v>
      </c>
      <c r="D1022" s="1100">
        <v>1.0386991192111541</v>
      </c>
      <c r="E1022" s="1100">
        <v>1.0326588121826124</v>
      </c>
      <c r="F1022" s="1100">
        <v>0.99110538587501484</v>
      </c>
      <c r="G1022" s="1100">
        <v>1.0006638214682735</v>
      </c>
      <c r="H1022" s="1100">
        <v>0.98113296492974444</v>
      </c>
      <c r="I1022" s="1100">
        <v>0.97362266865549096</v>
      </c>
      <c r="K1022">
        <v>2.1809505162721528</v>
      </c>
      <c r="L1022">
        <v>0</v>
      </c>
      <c r="M1022">
        <v>1.3823774179919682E-3</v>
      </c>
      <c r="N1022">
        <v>0.1386799616290039</v>
      </c>
      <c r="O1022">
        <v>1.9277908793793531E-2</v>
      </c>
      <c r="P1022">
        <v>2.6300568197303809E-2</v>
      </c>
      <c r="Q1022">
        <v>5.5539728986499582E-3</v>
      </c>
      <c r="R1022">
        <v>1.3625743380860523E-3</v>
      </c>
      <c r="S1022">
        <v>0.22566634957345383</v>
      </c>
      <c r="T1022">
        <v>1.3319734191200514</v>
      </c>
      <c r="U1022">
        <v>0.14044181052460161</v>
      </c>
      <c r="V1022">
        <v>0.18383120762171898</v>
      </c>
      <c r="W1022">
        <v>8.9374111574117052E-2</v>
      </c>
      <c r="X1022">
        <v>1.6162531243604502E-2</v>
      </c>
      <c r="Y1022">
        <v>3.7084781757604022E-3</v>
      </c>
    </row>
    <row r="1023" spans="1:25" x14ac:dyDescent="0.25">
      <c r="A1023" s="1096"/>
      <c r="B1023" s="1455">
        <v>773</v>
      </c>
      <c r="C1023" s="1100">
        <v>1.002286955180224</v>
      </c>
      <c r="D1023" s="1100">
        <v>0.98104738235332511</v>
      </c>
      <c r="E1023" s="1100">
        <v>0.98668051781173627</v>
      </c>
      <c r="F1023" s="1100">
        <v>1.0052953472979134</v>
      </c>
      <c r="G1023" s="1100">
        <v>1.0043693196858954</v>
      </c>
      <c r="H1023" s="1100">
        <v>1.0229013127154882</v>
      </c>
      <c r="I1023" s="1100">
        <v>1.0437644016377456</v>
      </c>
      <c r="K1023">
        <v>2.2415325429872976</v>
      </c>
      <c r="L1023">
        <v>0</v>
      </c>
      <c r="M1023">
        <v>1.6295019246890632E-3</v>
      </c>
      <c r="N1023">
        <v>0.14236865611977326</v>
      </c>
      <c r="O1023">
        <v>1.9781946172974855E-2</v>
      </c>
      <c r="P1023">
        <v>2.6127921275352479E-2</v>
      </c>
      <c r="Q1023">
        <v>5.4431148959639122E-3</v>
      </c>
      <c r="R1023">
        <v>1.6071118718383056E-3</v>
      </c>
      <c r="S1023">
        <v>0.25573792021582753</v>
      </c>
      <c r="T1023">
        <v>1.3509605078757212</v>
      </c>
      <c r="U1023">
        <v>0.14241619262805308</v>
      </c>
      <c r="V1023">
        <v>0.18507334480531831</v>
      </c>
      <c r="W1023">
        <v>9.4273799151014567E-2</v>
      </c>
      <c r="X1023">
        <v>1.4997501169289417E-2</v>
      </c>
      <c r="Y1023">
        <v>4.3740287308576984E-3</v>
      </c>
    </row>
    <row r="1024" spans="1:25" x14ac:dyDescent="0.25">
      <c r="A1024" s="1096"/>
      <c r="B1024" s="1455">
        <v>774</v>
      </c>
      <c r="C1024" s="1100">
        <v>1.015737165683813</v>
      </c>
      <c r="D1024" s="1100">
        <v>1.0181238022853933</v>
      </c>
      <c r="E1024" s="1100">
        <v>1.0077064337619357</v>
      </c>
      <c r="F1024" s="1100">
        <v>0.96343466594977589</v>
      </c>
      <c r="G1024" s="1100">
        <v>1.0016388446557019</v>
      </c>
      <c r="H1024" s="1100">
        <v>0.95810493148566878</v>
      </c>
      <c r="I1024" s="1100">
        <v>1.0122266676898253</v>
      </c>
      <c r="K1024">
        <v>2.1438333412097643</v>
      </c>
      <c r="L1024">
        <v>0</v>
      </c>
      <c r="M1024">
        <v>1.4301037624917458E-3</v>
      </c>
      <c r="N1024">
        <v>0.13301830424041414</v>
      </c>
      <c r="O1024">
        <v>1.9374214278301334E-2</v>
      </c>
      <c r="P1024">
        <v>2.5449321621448938E-2</v>
      </c>
      <c r="Q1024">
        <v>5.4449722245807379E-3</v>
      </c>
      <c r="R1024">
        <v>1.4091245853223009E-3</v>
      </c>
      <c r="S1024">
        <v>0.23526333911591704</v>
      </c>
      <c r="T1024">
        <v>1.2947372750426127</v>
      </c>
      <c r="U1024">
        <v>0.14057797971973626</v>
      </c>
      <c r="V1024">
        <v>0.18399916171963526</v>
      </c>
      <c r="W1024">
        <v>8.6985864271818106E-2</v>
      </c>
      <c r="X1024">
        <v>1.5168715549014453E-2</v>
      </c>
      <c r="Y1024">
        <v>3.8351726034525943E-3</v>
      </c>
    </row>
    <row r="1025" spans="1:25" x14ac:dyDescent="0.25">
      <c r="A1025" s="1096"/>
      <c r="B1025" s="1455">
        <v>775</v>
      </c>
      <c r="C1025" s="1100">
        <v>1.0018806774044371</v>
      </c>
      <c r="D1025" s="1100">
        <v>1.0036220884874421</v>
      </c>
      <c r="E1025" s="1100">
        <v>1.0249257859700973</v>
      </c>
      <c r="F1025" s="1100">
        <v>0.96024478394136126</v>
      </c>
      <c r="G1025" s="1100">
        <v>1.0285455276705198</v>
      </c>
      <c r="H1025" s="1100">
        <v>0.99627835784381213</v>
      </c>
      <c r="I1025" s="1100">
        <v>1.0131162157414182</v>
      </c>
      <c r="K1025">
        <v>2.1713788764677142</v>
      </c>
      <c r="L1025">
        <v>0</v>
      </c>
      <c r="M1025">
        <v>1.4592178697636373E-3</v>
      </c>
      <c r="N1025">
        <v>0.14304678241840385</v>
      </c>
      <c r="O1025">
        <v>1.9715014339506655E-2</v>
      </c>
      <c r="P1025">
        <v>2.5912450636134277E-2</v>
      </c>
      <c r="Q1025">
        <v>5.6366138587234582E-3</v>
      </c>
      <c r="R1025">
        <v>1.4386318009535892E-3</v>
      </c>
      <c r="S1025">
        <v>0.24367406313545317</v>
      </c>
      <c r="T1025">
        <v>1.2904826081949798</v>
      </c>
      <c r="U1025">
        <v>0.14256190917879713</v>
      </c>
      <c r="V1025">
        <v>0.18786385762195817</v>
      </c>
      <c r="W1025">
        <v>9.2603509582591989E-2</v>
      </c>
      <c r="X1025">
        <v>1.5987172052626897E-2</v>
      </c>
      <c r="Y1025">
        <v>3.9154815173499417E-3</v>
      </c>
    </row>
    <row r="1026" spans="1:25" x14ac:dyDescent="0.25">
      <c r="A1026" s="1096"/>
      <c r="B1026" s="1455">
        <v>776</v>
      </c>
      <c r="C1026" s="1100">
        <v>0.99784360684524431</v>
      </c>
      <c r="D1026" s="1100">
        <v>0.97028353387833077</v>
      </c>
      <c r="E1026" s="1100">
        <v>0.96692743983211404</v>
      </c>
      <c r="F1026" s="1100">
        <v>0.96621773273870215</v>
      </c>
      <c r="G1026" s="1100">
        <v>1.0352590199822891</v>
      </c>
      <c r="H1026" s="1100">
        <v>0.98506815038414586</v>
      </c>
      <c r="I1026" s="1100">
        <v>0.98706870055408935</v>
      </c>
      <c r="K1026">
        <v>2.1660543050980117</v>
      </c>
      <c r="L1026">
        <v>0</v>
      </c>
      <c r="M1026">
        <v>1.6458899447489043E-3</v>
      </c>
      <c r="N1026">
        <v>0.13538347633674455</v>
      </c>
      <c r="O1026">
        <v>1.99059184664865E-2</v>
      </c>
      <c r="P1026">
        <v>2.4901619901297366E-2</v>
      </c>
      <c r="Q1026">
        <v>5.3681641920716866E-3</v>
      </c>
      <c r="R1026">
        <v>1.6224061383501764E-3</v>
      </c>
      <c r="S1026">
        <v>0.24109864368257705</v>
      </c>
      <c r="T1026">
        <v>1.2984255944850993</v>
      </c>
      <c r="U1026">
        <v>0.14300495967401144</v>
      </c>
      <c r="V1026">
        <v>0.18881221046718921</v>
      </c>
      <c r="W1026">
        <v>9.0726777490900912E-2</v>
      </c>
      <c r="X1026">
        <v>1.4034769525482452E-2</v>
      </c>
      <c r="Y1026">
        <v>4.4156546825494108E-3</v>
      </c>
    </row>
    <row r="1027" spans="1:25" x14ac:dyDescent="0.25">
      <c r="A1027" s="1096"/>
      <c r="B1027" s="1455">
        <v>777</v>
      </c>
      <c r="C1027" s="1100">
        <v>1.0217686674552837</v>
      </c>
      <c r="D1027" s="1100">
        <v>1.013136847992943</v>
      </c>
      <c r="E1027" s="1100">
        <v>0.96606398738208721</v>
      </c>
      <c r="F1027" s="1100">
        <v>1.0440281603022594</v>
      </c>
      <c r="G1027" s="1100">
        <v>0.9978663907448464</v>
      </c>
      <c r="H1027" s="1100">
        <v>0.97993617799226707</v>
      </c>
      <c r="I1027" s="1100">
        <v>1.0308685876775419</v>
      </c>
      <c r="K1027">
        <v>2.2525699627018962</v>
      </c>
      <c r="L1027">
        <v>0</v>
      </c>
      <c r="M1027">
        <v>1.5866701200507494E-3</v>
      </c>
      <c r="N1027">
        <v>0.13016159494846957</v>
      </c>
      <c r="O1027">
        <v>1.9255332985955709E-2</v>
      </c>
      <c r="P1027">
        <v>2.6144373410521643E-2</v>
      </c>
      <c r="Q1027">
        <v>5.1881267974893683E-3</v>
      </c>
      <c r="R1027">
        <v>1.5639127103285757E-3</v>
      </c>
      <c r="S1027">
        <v>0.24021235953718784</v>
      </c>
      <c r="T1027">
        <v>1.402988264469164</v>
      </c>
      <c r="U1027">
        <v>0.13965451500868709</v>
      </c>
      <c r="V1027">
        <v>0.18319307437080784</v>
      </c>
      <c r="W1027">
        <v>8.7273331532429804E-2</v>
      </c>
      <c r="X1027">
        <v>1.4265292197077277E-2</v>
      </c>
      <c r="Y1027">
        <v>4.2564548538279777E-3</v>
      </c>
    </row>
    <row r="1028" spans="1:25" x14ac:dyDescent="0.25">
      <c r="A1028" s="1096"/>
      <c r="B1028" s="1455">
        <v>778</v>
      </c>
      <c r="C1028" s="1100">
        <v>1.0025114663687458</v>
      </c>
      <c r="D1028" s="1100">
        <v>1.0069752601761031</v>
      </c>
      <c r="E1028" s="1100">
        <v>0.98611752244502282</v>
      </c>
      <c r="F1028" s="1100">
        <v>1.0293298753294118</v>
      </c>
      <c r="G1028" s="1100">
        <v>1.0052646660026976</v>
      </c>
      <c r="H1028" s="1100">
        <v>0.97157951405400744</v>
      </c>
      <c r="I1028" s="1100">
        <v>1.0063938368373881</v>
      </c>
      <c r="K1028">
        <v>2.2437005805402621</v>
      </c>
      <c r="L1028">
        <v>0</v>
      </c>
      <c r="M1028">
        <v>1.5403378258436802E-3</v>
      </c>
      <c r="N1028">
        <v>0.13425062612049612</v>
      </c>
      <c r="O1028">
        <v>1.9663991880349851E-2</v>
      </c>
      <c r="P1028">
        <v>2.6330576566509143E-2</v>
      </c>
      <c r="Q1028">
        <v>5.4075748497764888E-3</v>
      </c>
      <c r="R1028">
        <v>1.5180549311271893E-3</v>
      </c>
      <c r="S1028">
        <v>0.23922369745795097</v>
      </c>
      <c r="T1028">
        <v>1.3832584228524172</v>
      </c>
      <c r="U1028">
        <v>0.14238300855673885</v>
      </c>
      <c r="V1028">
        <v>0.1851608224873092</v>
      </c>
      <c r="W1028">
        <v>8.8928268270325114E-2</v>
      </c>
      <c r="X1028">
        <v>1.4984229297250039E-2</v>
      </c>
      <c r="Y1028">
        <v>4.1316450958546556E-3</v>
      </c>
    </row>
    <row r="1029" spans="1:25" x14ac:dyDescent="0.25">
      <c r="A1029" s="1096"/>
      <c r="B1029" s="1455">
        <v>779</v>
      </c>
      <c r="C1029" s="1100">
        <v>1.0165774588545475</v>
      </c>
      <c r="D1029" s="1100">
        <v>1.005962015117043</v>
      </c>
      <c r="E1029" s="1100">
        <v>1.0134602853394126</v>
      </c>
      <c r="F1029" s="1100">
        <v>1.0332481568589238</v>
      </c>
      <c r="G1029" s="1100">
        <v>0.98362064816468342</v>
      </c>
      <c r="H1029" s="1100">
        <v>0.96274540876532644</v>
      </c>
      <c r="I1029" s="1100">
        <v>1.0399773495456173</v>
      </c>
      <c r="K1029">
        <v>2.2482390602237627</v>
      </c>
      <c r="L1029">
        <v>0</v>
      </c>
      <c r="M1029">
        <v>1.4225354928367243E-3</v>
      </c>
      <c r="N1029">
        <v>0.13464241156518672</v>
      </c>
      <c r="O1029">
        <v>1.9412983215139522E-2</v>
      </c>
      <c r="P1029">
        <v>2.6932703077346923E-2</v>
      </c>
      <c r="Q1029">
        <v>5.4873291284176975E-3</v>
      </c>
      <c r="R1029">
        <v>1.4017679252880954E-3</v>
      </c>
      <c r="S1029">
        <v>0.24339641382202393</v>
      </c>
      <c r="T1029">
        <v>1.3885688152326066</v>
      </c>
      <c r="U1029">
        <v>0.14047483178725401</v>
      </c>
      <c r="V1029">
        <v>0.18191930644234994</v>
      </c>
      <c r="W1029">
        <v>8.7749835583173785E-2</v>
      </c>
      <c r="X1029">
        <v>1.5860047737849159E-2</v>
      </c>
      <c r="Y1029">
        <v>3.8151501999618143E-3</v>
      </c>
    </row>
    <row r="1030" spans="1:25" x14ac:dyDescent="0.25">
      <c r="A1030" s="1096"/>
      <c r="B1030" s="1455">
        <v>780</v>
      </c>
      <c r="C1030" s="1100">
        <v>0.97721741712991861</v>
      </c>
      <c r="D1030" s="1100">
        <v>0.99988787009123459</v>
      </c>
      <c r="E1030" s="1100">
        <v>1.0221207826626613</v>
      </c>
      <c r="F1030" s="1100">
        <v>0.97398712159256384</v>
      </c>
      <c r="G1030" s="1100">
        <v>1.0100618642541084</v>
      </c>
      <c r="H1030" s="1100">
        <v>1.0136286033614097</v>
      </c>
      <c r="I1030" s="1100">
        <v>1.0006168990632534</v>
      </c>
      <c r="K1030">
        <v>2.2090822187509689</v>
      </c>
      <c r="L1030">
        <v>0</v>
      </c>
      <c r="M1030">
        <v>1.5322698792153522E-3</v>
      </c>
      <c r="N1030">
        <v>0.14897914944226531</v>
      </c>
      <c r="O1030">
        <v>2.0227370274736138E-2</v>
      </c>
      <c r="P1030">
        <v>2.6225403116234725E-2</v>
      </c>
      <c r="Q1030">
        <v>5.7670257794090445E-3</v>
      </c>
      <c r="R1030">
        <v>1.5110232331137811E-3</v>
      </c>
      <c r="S1030">
        <v>0.2486036910089405</v>
      </c>
      <c r="T1030">
        <v>1.3089453418483261</v>
      </c>
      <c r="U1030">
        <v>0.14615329049350839</v>
      </c>
      <c r="V1030">
        <v>0.18726704780712286</v>
      </c>
      <c r="W1030">
        <v>9.6601880921130659E-2</v>
      </c>
      <c r="X1030">
        <v>1.6220757573533976E-2</v>
      </c>
      <c r="Y1030">
        <v>4.1125071318607867E-3</v>
      </c>
    </row>
    <row r="1031" spans="1:25" x14ac:dyDescent="0.25">
      <c r="A1031" s="1096"/>
      <c r="B1031" s="1455">
        <v>781</v>
      </c>
      <c r="C1031" s="1100">
        <v>0.9959240865535266</v>
      </c>
      <c r="D1031" s="1100">
        <v>1.0192767717453282</v>
      </c>
      <c r="E1031" s="1100">
        <v>1.0397037190363083</v>
      </c>
      <c r="F1031" s="1100">
        <v>0.98550677121061137</v>
      </c>
      <c r="G1031" s="1100">
        <v>1.0265690444747972</v>
      </c>
      <c r="H1031" s="1100">
        <v>1.0244095483173605</v>
      </c>
      <c r="I1031" s="1100">
        <v>1.0145310598109769</v>
      </c>
      <c r="K1031">
        <v>2.2203793879637193</v>
      </c>
      <c r="L1031">
        <v>0</v>
      </c>
      <c r="M1031">
        <v>1.458632165891517E-3</v>
      </c>
      <c r="N1031">
        <v>0.1495610606760796</v>
      </c>
      <c r="O1031">
        <v>1.9774785816757279E-2</v>
      </c>
      <c r="P1031">
        <v>2.6715792335795168E-2</v>
      </c>
      <c r="Q1031">
        <v>5.7368086395479089E-3</v>
      </c>
      <c r="R1031">
        <v>1.4386194446756573E-3</v>
      </c>
      <c r="S1031">
        <v>0.24599457340386596</v>
      </c>
      <c r="T1031">
        <v>1.3244657175774479</v>
      </c>
      <c r="U1031">
        <v>0.14344889603440583</v>
      </c>
      <c r="V1031">
        <v>0.1880085080345697</v>
      </c>
      <c r="W1031">
        <v>9.5995117286917689E-2</v>
      </c>
      <c r="X1031">
        <v>1.6782692991912151E-2</v>
      </c>
      <c r="Y1031">
        <v>3.9154478876346566E-3</v>
      </c>
    </row>
    <row r="1032" spans="1:25" x14ac:dyDescent="0.25">
      <c r="A1032" s="1096"/>
      <c r="B1032" s="1455">
        <v>782</v>
      </c>
      <c r="C1032" s="1100">
        <v>0.98802281111140999</v>
      </c>
      <c r="D1032" s="1100">
        <v>0.97004867010098883</v>
      </c>
      <c r="E1032" s="1100">
        <v>0.98686211031478677</v>
      </c>
      <c r="F1032" s="1100">
        <v>0.99960712192902501</v>
      </c>
      <c r="G1032" s="1100">
        <v>0.96750613696728927</v>
      </c>
      <c r="H1032" s="1100">
        <v>1.0366595834451193</v>
      </c>
      <c r="I1032" s="1100">
        <v>0.98907424779055642</v>
      </c>
      <c r="K1032">
        <v>2.2329438143832752</v>
      </c>
      <c r="L1032">
        <v>0</v>
      </c>
      <c r="M1032">
        <v>1.6787900457582688E-3</v>
      </c>
      <c r="N1032">
        <v>0.14678263695875618</v>
      </c>
      <c r="O1032">
        <v>2.0117491806989195E-2</v>
      </c>
      <c r="P1032">
        <v>2.5911273094843795E-2</v>
      </c>
      <c r="Q1032">
        <v>5.5364601165321676E-3</v>
      </c>
      <c r="R1032">
        <v>1.6560288960432875E-3</v>
      </c>
      <c r="S1032">
        <v>0.24833779903917985</v>
      </c>
      <c r="T1032">
        <v>1.3433166547380522</v>
      </c>
      <c r="U1032">
        <v>0.14447268592836274</v>
      </c>
      <c r="V1032">
        <v>0.18176081970862573</v>
      </c>
      <c r="W1032">
        <v>9.71860527743061E-2</v>
      </c>
      <c r="X1032">
        <v>1.5037536622089958E-2</v>
      </c>
      <c r="Y1032">
        <v>4.5071647452509644E-3</v>
      </c>
    </row>
    <row r="1033" spans="1:25" x14ac:dyDescent="0.25">
      <c r="A1033" s="1096"/>
      <c r="B1033" s="1455">
        <v>783</v>
      </c>
      <c r="C1033" s="1100">
        <v>1.0273742945532327</v>
      </c>
      <c r="D1033" s="1100">
        <v>0.96052770121509123</v>
      </c>
      <c r="E1033" s="1100">
        <v>0.9935469154882185</v>
      </c>
      <c r="F1033" s="1100">
        <v>1.0281542321461925</v>
      </c>
      <c r="G1033" s="1100">
        <v>1.0117812694209067</v>
      </c>
      <c r="H1033" s="1100">
        <v>1.0413893410811679</v>
      </c>
      <c r="I1033" s="1100">
        <v>0.99721943272870917</v>
      </c>
      <c r="K1033">
        <v>2.2555644692302188</v>
      </c>
      <c r="L1033">
        <v>0</v>
      </c>
      <c r="M1033">
        <v>1.6030282050113218E-3</v>
      </c>
      <c r="N1033">
        <v>0.14302896724100936</v>
      </c>
      <c r="O1033">
        <v>1.9393054054425447E-2</v>
      </c>
      <c r="P1033">
        <v>2.6444145205906058E-2</v>
      </c>
      <c r="Q1033">
        <v>5.3732698053569573E-3</v>
      </c>
      <c r="R1033">
        <v>1.5813929503041091E-3</v>
      </c>
      <c r="S1033">
        <v>0.24240475259238095</v>
      </c>
      <c r="T1033">
        <v>1.3816890099930943</v>
      </c>
      <c r="U1033">
        <v>0.13895391061228224</v>
      </c>
      <c r="V1033">
        <v>0.18447190442614822</v>
      </c>
      <c r="W1033">
        <v>9.432229554304479E-2</v>
      </c>
      <c r="X1033">
        <v>1.520076470659432E-2</v>
      </c>
      <c r="Y1033">
        <v>4.3040303046818218E-3</v>
      </c>
    </row>
    <row r="1034" spans="1:25" x14ac:dyDescent="0.25">
      <c r="A1034" s="1096"/>
      <c r="B1034" s="1455">
        <v>784</v>
      </c>
      <c r="C1034" s="1100">
        <v>1.0063151188831199</v>
      </c>
      <c r="D1034" s="1100">
        <v>1.0159963765768341</v>
      </c>
      <c r="E1034" s="1100">
        <v>0.96618047778004124</v>
      </c>
      <c r="F1034" s="1100">
        <v>0.96949105552211656</v>
      </c>
      <c r="G1034" s="1100">
        <v>1.0249297346933512</v>
      </c>
      <c r="H1034" s="1100">
        <v>0.98733653185234183</v>
      </c>
      <c r="I1034" s="1100">
        <v>1.0076374395240555</v>
      </c>
      <c r="K1034">
        <v>2.1606885127308528</v>
      </c>
      <c r="L1034">
        <v>0</v>
      </c>
      <c r="M1034">
        <v>1.6218062624160231E-3</v>
      </c>
      <c r="N1034">
        <v>0.13310543360781354</v>
      </c>
      <c r="O1034">
        <v>1.9538981374863321E-2</v>
      </c>
      <c r="P1034">
        <v>2.4875171364917143E-2</v>
      </c>
      <c r="Q1034">
        <v>5.2651807800988219E-3</v>
      </c>
      <c r="R1034">
        <v>1.5987192496241278E-3</v>
      </c>
      <c r="S1034">
        <v>0.23866188851376463</v>
      </c>
      <c r="T1034">
        <v>1.3028237407369956</v>
      </c>
      <c r="U1034">
        <v>0.14179939438329678</v>
      </c>
      <c r="V1034">
        <v>0.18714369855394777</v>
      </c>
      <c r="W1034">
        <v>8.9240828031963676E-2</v>
      </c>
      <c r="X1034">
        <v>1.3906095616163055E-2</v>
      </c>
      <c r="Y1034">
        <v>4.3511867798178769E-3</v>
      </c>
    </row>
    <row r="1035" spans="1:25" x14ac:dyDescent="0.25">
      <c r="A1035" s="1096"/>
      <c r="B1035" s="1455">
        <v>785</v>
      </c>
      <c r="C1035" s="1100">
        <v>0.99303253443268269</v>
      </c>
      <c r="D1035" s="1100">
        <v>0.99529557404649915</v>
      </c>
      <c r="E1035" s="1100">
        <v>1.0223959812078254</v>
      </c>
      <c r="F1035" s="1100">
        <v>0.99758763602871137</v>
      </c>
      <c r="G1035" s="1100">
        <v>0.98665764347049578</v>
      </c>
      <c r="H1035" s="1100">
        <v>0.98641089228630241</v>
      </c>
      <c r="I1035" s="1100">
        <v>1.0222966009738326</v>
      </c>
      <c r="K1035">
        <v>2.2241016536444507</v>
      </c>
      <c r="L1035">
        <v>0</v>
      </c>
      <c r="M1035">
        <v>1.4680236706092358E-3</v>
      </c>
      <c r="N1035">
        <v>0.14279573968039816</v>
      </c>
      <c r="O1035">
        <v>1.9925570553544401E-2</v>
      </c>
      <c r="P1035">
        <v>2.6583604744948842E-2</v>
      </c>
      <c r="Q1035">
        <v>5.682532181204676E-3</v>
      </c>
      <c r="R1035">
        <v>1.4471061995919407E-3</v>
      </c>
      <c r="S1035">
        <v>0.24827121226953286</v>
      </c>
      <c r="T1035">
        <v>1.3406627398970512</v>
      </c>
      <c r="U1035">
        <v>0.14382628144637552</v>
      </c>
      <c r="V1035">
        <v>0.18365474455654782</v>
      </c>
      <c r="W1035">
        <v>9.2577520023585838E-2</v>
      </c>
      <c r="X1035">
        <v>1.6204079725418759E-2</v>
      </c>
      <c r="Y1035">
        <v>3.9385460368587741E-3</v>
      </c>
    </row>
    <row r="1036" spans="1:25" x14ac:dyDescent="0.25">
      <c r="A1036" s="1096"/>
      <c r="B1036" s="1455">
        <v>786</v>
      </c>
      <c r="C1036" s="1100">
        <v>1.0148893314031957</v>
      </c>
      <c r="D1036" s="1100">
        <v>0.98224372066609733</v>
      </c>
      <c r="E1036" s="1100">
        <v>1.0001898413928862</v>
      </c>
      <c r="F1036" s="1100">
        <v>1.003180049597052</v>
      </c>
      <c r="G1036" s="1100">
        <v>0.98169637587604941</v>
      </c>
      <c r="H1036" s="1100">
        <v>0.96469042422027873</v>
      </c>
      <c r="I1036" s="1100">
        <v>0.99047394530947475</v>
      </c>
      <c r="K1036">
        <v>2.1980922368957923</v>
      </c>
      <c r="L1036">
        <v>0</v>
      </c>
      <c r="M1036">
        <v>1.4753957286594813E-3</v>
      </c>
      <c r="N1036">
        <v>0.1341642711884761</v>
      </c>
      <c r="O1036">
        <v>1.9539406062309136E-2</v>
      </c>
      <c r="P1036">
        <v>2.6004565507988246E-2</v>
      </c>
      <c r="Q1036">
        <v>5.4501538472319679E-3</v>
      </c>
      <c r="R1036">
        <v>1.4538998832029112E-3</v>
      </c>
      <c r="S1036">
        <v>0.23505352250080666</v>
      </c>
      <c r="T1036">
        <v>1.3481375147577033</v>
      </c>
      <c r="U1036">
        <v>0.14067835580474983</v>
      </c>
      <c r="V1036">
        <v>0.18178719058750012</v>
      </c>
      <c r="W1036">
        <v>8.8126862516011858E-2</v>
      </c>
      <c r="X1036">
        <v>1.521485376436031E-2</v>
      </c>
      <c r="Y1036">
        <v>3.9570362041106361E-3</v>
      </c>
    </row>
    <row r="1037" spans="1:25" x14ac:dyDescent="0.25">
      <c r="A1037" s="1096"/>
      <c r="B1037" s="1455">
        <v>787</v>
      </c>
      <c r="C1037" s="1100">
        <v>0.99131123548958855</v>
      </c>
      <c r="D1037" s="1100">
        <v>1.020571508200167</v>
      </c>
      <c r="E1037" s="1100">
        <v>1.013481376032463</v>
      </c>
      <c r="F1037" s="1100">
        <v>0.98644047014449066</v>
      </c>
      <c r="G1037" s="1100">
        <v>1.0222793834962365</v>
      </c>
      <c r="H1037" s="1100">
        <v>0.96909968929804935</v>
      </c>
      <c r="I1037" s="1100">
        <v>0.99251535352935427</v>
      </c>
      <c r="K1037">
        <v>2.1945606507162396</v>
      </c>
      <c r="L1037">
        <v>0</v>
      </c>
      <c r="M1037">
        <v>1.4637061867172857E-3</v>
      </c>
      <c r="N1037">
        <v>0.13856147921382531</v>
      </c>
      <c r="O1037">
        <v>1.984473974313199E-2</v>
      </c>
      <c r="P1037">
        <v>2.6108260362864542E-2</v>
      </c>
      <c r="Q1037">
        <v>5.6094886961513104E-3</v>
      </c>
      <c r="R1037">
        <v>1.4424776807083479E-3</v>
      </c>
      <c r="S1037">
        <v>0.23700407002712773</v>
      </c>
      <c r="T1037">
        <v>1.3256646104918721</v>
      </c>
      <c r="U1037">
        <v>0.14405525840627587</v>
      </c>
      <c r="V1037">
        <v>0.18777671679464059</v>
      </c>
      <c r="W1037">
        <v>9.0302870226062051E-2</v>
      </c>
      <c r="X1037">
        <v>1.572843652604701E-2</v>
      </c>
      <c r="Y1037">
        <v>3.9259487342484748E-3</v>
      </c>
    </row>
    <row r="1038" spans="1:25" x14ac:dyDescent="0.25">
      <c r="A1038" s="1096"/>
      <c r="B1038" s="1455">
        <v>788</v>
      </c>
      <c r="C1038" s="1100">
        <v>0.96556477575830713</v>
      </c>
      <c r="D1038" s="1100">
        <v>1.0326841120275789</v>
      </c>
      <c r="E1038" s="1100">
        <v>1.0068828766715106</v>
      </c>
      <c r="F1038" s="1100">
        <v>1.0161016387418476</v>
      </c>
      <c r="G1038" s="1100">
        <v>0.97062129449601564</v>
      </c>
      <c r="H1038" s="1100">
        <v>0.97940536863483041</v>
      </c>
      <c r="I1038" s="1100">
        <v>0.97298749842867371</v>
      </c>
      <c r="K1038">
        <v>2.2431285322991021</v>
      </c>
      <c r="L1038">
        <v>0</v>
      </c>
      <c r="M1038">
        <v>1.5356877143179323E-3</v>
      </c>
      <c r="N1038">
        <v>0.14253035188897328</v>
      </c>
      <c r="O1038">
        <v>2.0316831911187796E-2</v>
      </c>
      <c r="P1038">
        <v>2.653444848621073E-2</v>
      </c>
      <c r="Q1038">
        <v>5.7051817715869308E-3</v>
      </c>
      <c r="R1038">
        <v>1.5136496012714648E-3</v>
      </c>
      <c r="S1038">
        <v>0.23791534395384076</v>
      </c>
      <c r="T1038">
        <v>1.3655137213941815</v>
      </c>
      <c r="U1038">
        <v>0.14788068499041196</v>
      </c>
      <c r="V1038">
        <v>0.18352754894123877</v>
      </c>
      <c r="W1038">
        <v>9.3251535270763686E-2</v>
      </c>
      <c r="X1038">
        <v>1.5855266563548139E-2</v>
      </c>
      <c r="Y1038">
        <v>4.119655240203972E-3</v>
      </c>
    </row>
    <row r="1039" spans="1:25" x14ac:dyDescent="0.25">
      <c r="A1039" s="1096"/>
      <c r="B1039" s="1455">
        <v>789</v>
      </c>
      <c r="C1039" s="1100">
        <v>1.0042323051037458</v>
      </c>
      <c r="D1039" s="1100">
        <v>1.0243888950743918</v>
      </c>
      <c r="E1039" s="1100">
        <v>1.0210857943616318</v>
      </c>
      <c r="F1039" s="1100">
        <v>1.0113363255731167</v>
      </c>
      <c r="G1039" s="1100">
        <v>0.98696325149295216</v>
      </c>
      <c r="H1039" s="1100">
        <v>0.98769303595026947</v>
      </c>
      <c r="I1039" s="1100">
        <v>1.0030415981981702</v>
      </c>
      <c r="K1039">
        <v>2.2249981428080514</v>
      </c>
      <c r="L1039">
        <v>0</v>
      </c>
      <c r="M1039">
        <v>1.4482978581784902E-3</v>
      </c>
      <c r="N1039">
        <v>0.14032397477141309</v>
      </c>
      <c r="O1039">
        <v>1.9578039454783674E-2</v>
      </c>
      <c r="P1039">
        <v>2.6634260599065217E-2</v>
      </c>
      <c r="Q1039">
        <v>5.576159710537861E-3</v>
      </c>
      <c r="R1039">
        <v>1.4276882434300739E-3</v>
      </c>
      <c r="S1039">
        <v>0.23753428549349975</v>
      </c>
      <c r="T1039">
        <v>1.359136939131165</v>
      </c>
      <c r="U1039">
        <v>0.1422192351305018</v>
      </c>
      <c r="V1039">
        <v>0.18302159061171175</v>
      </c>
      <c r="W1039">
        <v>9.104468844612866E-2</v>
      </c>
      <c r="X1039">
        <v>1.6063882312675703E-2</v>
      </c>
      <c r="Y1039">
        <v>3.8856967613137014E-3</v>
      </c>
    </row>
    <row r="1040" spans="1:25" x14ac:dyDescent="0.25">
      <c r="A1040" s="1096"/>
      <c r="B1040" s="1455">
        <v>790</v>
      </c>
      <c r="C1040" s="1100">
        <v>0.98685952243222286</v>
      </c>
      <c r="D1040" s="1100">
        <v>1.0054867762928468</v>
      </c>
      <c r="E1040" s="1100">
        <v>1.0078981919972976</v>
      </c>
      <c r="F1040" s="1100">
        <v>1.0158576996407962</v>
      </c>
      <c r="G1040" s="1100">
        <v>1.0145546032863457</v>
      </c>
      <c r="H1040" s="1100">
        <v>0.96076945849649797</v>
      </c>
      <c r="I1040" s="1100">
        <v>0.97643707985589323</v>
      </c>
      <c r="K1040">
        <v>2.2318851372312047</v>
      </c>
      <c r="L1040">
        <v>0</v>
      </c>
      <c r="M1040">
        <v>1.4795172898495715E-3</v>
      </c>
      <c r="N1040">
        <v>0.13769979550591926</v>
      </c>
      <c r="O1040">
        <v>1.999613556780986E-2</v>
      </c>
      <c r="P1040">
        <v>2.6519744282230646E-2</v>
      </c>
      <c r="Q1040">
        <v>5.620837022616192E-3</v>
      </c>
      <c r="R1040">
        <v>1.4578734240416067E-3</v>
      </c>
      <c r="S1040">
        <v>0.23526497106141378</v>
      </c>
      <c r="T1040">
        <v>1.3651877048231955</v>
      </c>
      <c r="U1040">
        <v>0.14469204324919818</v>
      </c>
      <c r="V1040">
        <v>0.18716851995741368</v>
      </c>
      <c r="W1040">
        <v>9.003707505899454E-2</v>
      </c>
      <c r="X1040">
        <v>1.5752103695824329E-2</v>
      </c>
      <c r="Y1040">
        <v>3.9678508723961772E-3</v>
      </c>
    </row>
    <row r="1041" spans="1:25" x14ac:dyDescent="0.25">
      <c r="A1041" s="1096"/>
      <c r="B1041" s="1455">
        <v>791</v>
      </c>
      <c r="C1041" s="1100">
        <v>0.98863428385374419</v>
      </c>
      <c r="D1041" s="1100">
        <v>0.96991487255866882</v>
      </c>
      <c r="E1041" s="1100">
        <v>0.97085108876130777</v>
      </c>
      <c r="F1041" s="1100">
        <v>0.99593358787454445</v>
      </c>
      <c r="G1041" s="1100">
        <v>0.99423965833638617</v>
      </c>
      <c r="H1041" s="1100">
        <v>1.0379280812199636</v>
      </c>
      <c r="I1041" s="1100">
        <v>0.9720506650139622</v>
      </c>
      <c r="K1041">
        <v>2.2227931597542736</v>
      </c>
      <c r="L1041">
        <v>0</v>
      </c>
      <c r="M1041">
        <v>1.7363914885529664E-3</v>
      </c>
      <c r="N1041">
        <v>0.14464137746781688</v>
      </c>
      <c r="O1041">
        <v>2.009550906636013E-2</v>
      </c>
      <c r="P1041">
        <v>2.5510585094748642E-2</v>
      </c>
      <c r="Q1041">
        <v>5.4410823719012224E-3</v>
      </c>
      <c r="R1041">
        <v>1.7128781464135253E-3</v>
      </c>
      <c r="S1041">
        <v>0.24390672525192206</v>
      </c>
      <c r="T1041">
        <v>1.3383619929198787</v>
      </c>
      <c r="U1041">
        <v>0.14434617003082484</v>
      </c>
      <c r="V1041">
        <v>0.18473193853932543</v>
      </c>
      <c r="W1041">
        <v>9.6699523587960273E-2</v>
      </c>
      <c r="X1041">
        <v>1.4419879101266306E-2</v>
      </c>
      <c r="Y1041">
        <v>4.6618896644084048E-3</v>
      </c>
    </row>
    <row r="1042" spans="1:25" x14ac:dyDescent="0.25">
      <c r="A1042" s="1096"/>
      <c r="B1042" s="1455">
        <v>792</v>
      </c>
      <c r="C1042" s="1100">
        <v>0.98636797644449803</v>
      </c>
      <c r="D1042" s="1100">
        <v>1.0277140479463751</v>
      </c>
      <c r="E1042" s="1100">
        <v>0.9960034568474877</v>
      </c>
      <c r="F1042" s="1100">
        <v>1.0175769903952319</v>
      </c>
      <c r="G1042" s="1100">
        <v>0.98770580907579342</v>
      </c>
      <c r="H1042" s="1100">
        <v>1.0383635141450471</v>
      </c>
      <c r="I1042" s="1100">
        <v>0.97651243966987145</v>
      </c>
      <c r="K1042">
        <v>2.2500198322260641</v>
      </c>
      <c r="L1042">
        <v>0</v>
      </c>
      <c r="M1042">
        <v>1.6319102106727398E-3</v>
      </c>
      <c r="N1042">
        <v>0.14668518154183069</v>
      </c>
      <c r="O1042">
        <v>1.9902605253240401E-2</v>
      </c>
      <c r="P1042">
        <v>2.6325805880154415E-2</v>
      </c>
      <c r="Q1042">
        <v>5.5281251354544446E-3</v>
      </c>
      <c r="R1042">
        <v>1.6098209684723278E-3</v>
      </c>
      <c r="S1042">
        <v>0.23887026701068714</v>
      </c>
      <c r="T1042">
        <v>1.3674784386613894</v>
      </c>
      <c r="U1042">
        <v>0.14473637666190492</v>
      </c>
      <c r="V1042">
        <v>0.18415295979011131</v>
      </c>
      <c r="W1042">
        <v>9.6591718900792892E-2</v>
      </c>
      <c r="X1042">
        <v>1.5389040633853377E-2</v>
      </c>
      <c r="Y1042">
        <v>4.3814019988420404E-3</v>
      </c>
    </row>
    <row r="1043" spans="1:25" x14ac:dyDescent="0.25">
      <c r="A1043" s="1096"/>
      <c r="B1043" s="1455">
        <v>793</v>
      </c>
      <c r="C1043" s="1100">
        <v>1.0219133093159785</v>
      </c>
      <c r="D1043" s="1100">
        <v>1.0016305743090175</v>
      </c>
      <c r="E1043" s="1100">
        <v>1.0326400110823775</v>
      </c>
      <c r="F1043" s="1100">
        <v>1.0226895740782362</v>
      </c>
      <c r="G1043" s="1100">
        <v>1.0097548058370942</v>
      </c>
      <c r="H1043" s="1100">
        <v>1.0001779496134917</v>
      </c>
      <c r="I1043" s="1100">
        <v>1.0138335465903074</v>
      </c>
      <c r="K1043">
        <v>2.2440468996822336</v>
      </c>
      <c r="L1043">
        <v>0</v>
      </c>
      <c r="M1043">
        <v>1.4139320449541354E-3</v>
      </c>
      <c r="N1043">
        <v>0.14187673341937335</v>
      </c>
      <c r="O1043">
        <v>1.9341722118043227E-2</v>
      </c>
      <c r="P1043">
        <v>2.7090517269617333E-2</v>
      </c>
      <c r="Q1043">
        <v>5.5722541111885562E-3</v>
      </c>
      <c r="R1043">
        <v>1.39406262273211E-3</v>
      </c>
      <c r="S1043">
        <v>0.23967220647096729</v>
      </c>
      <c r="T1043">
        <v>1.3744202225354381</v>
      </c>
      <c r="U1043">
        <v>0.13978471421761116</v>
      </c>
      <c r="V1043">
        <v>0.1845857098756731</v>
      </c>
      <c r="W1043">
        <v>9.1435308693938316E-2</v>
      </c>
      <c r="X1043">
        <v>1.6493201486147659E-2</v>
      </c>
      <c r="Y1043">
        <v>3.7941789064567279E-3</v>
      </c>
    </row>
    <row r="1044" spans="1:25" x14ac:dyDescent="0.25">
      <c r="A1044" s="1096"/>
      <c r="B1044" s="1455">
        <v>794</v>
      </c>
      <c r="C1044" s="1100">
        <v>1.0228085377441714</v>
      </c>
      <c r="D1044" s="1100">
        <v>0.97410370008042024</v>
      </c>
      <c r="E1044" s="1100">
        <v>0.98649978160079954</v>
      </c>
      <c r="F1044" s="1100">
        <v>0.97201830646077203</v>
      </c>
      <c r="G1044" s="1100">
        <v>1.0181394245639159</v>
      </c>
      <c r="H1044" s="1100">
        <v>1.0006408542112908</v>
      </c>
      <c r="I1044" s="1100">
        <v>1.0346363526981428</v>
      </c>
      <c r="K1044">
        <v>2.1747444484091401</v>
      </c>
      <c r="L1044">
        <v>0</v>
      </c>
      <c r="M1044">
        <v>1.5650861047514274E-3</v>
      </c>
      <c r="N1044">
        <v>0.13662360608414148</v>
      </c>
      <c r="O1044">
        <v>1.9415247224332813E-2</v>
      </c>
      <c r="P1044">
        <v>2.5375239986893377E-2</v>
      </c>
      <c r="Q1044">
        <v>5.3412379104435881E-3</v>
      </c>
      <c r="R1044">
        <v>1.5431027492924776E-3</v>
      </c>
      <c r="S1044">
        <v>0.24748251707134955</v>
      </c>
      <c r="T1044">
        <v>1.306241115119662</v>
      </c>
      <c r="U1044">
        <v>0.13955835485069615</v>
      </c>
      <c r="V1044">
        <v>0.18544246303598005</v>
      </c>
      <c r="W1044">
        <v>9.0479359293871173E-2</v>
      </c>
      <c r="X1044">
        <v>1.4607474187337951E-2</v>
      </c>
      <c r="Y1044">
        <v>4.1998169998895317E-3</v>
      </c>
    </row>
    <row r="1045" spans="1:25" x14ac:dyDescent="0.25">
      <c r="A1045" s="1096"/>
      <c r="B1045" s="1455">
        <v>795</v>
      </c>
      <c r="C1045" s="1100">
        <v>1.0023676731775071</v>
      </c>
      <c r="D1045" s="1100">
        <v>1.0000960532392833</v>
      </c>
      <c r="E1045" s="1100">
        <v>0.9656074049863087</v>
      </c>
      <c r="F1045" s="1100">
        <v>1.0345780910896161</v>
      </c>
      <c r="G1045" s="1100">
        <v>1.0256651712042983</v>
      </c>
      <c r="H1045" s="1100">
        <v>0.97923722176351791</v>
      </c>
      <c r="I1045" s="1100">
        <v>1.0288024471753272</v>
      </c>
      <c r="K1045">
        <v>2.2578563979965129</v>
      </c>
      <c r="L1045">
        <v>0</v>
      </c>
      <c r="M1045">
        <v>1.6223673181833158E-3</v>
      </c>
      <c r="N1045">
        <v>0.1329046906898923</v>
      </c>
      <c r="O1045">
        <v>1.9683762985433565E-2</v>
      </c>
      <c r="P1045">
        <v>2.6134609966122123E-2</v>
      </c>
      <c r="Q1045">
        <v>5.3010821545599832E-3</v>
      </c>
      <c r="R1045">
        <v>1.5990812988924002E-3</v>
      </c>
      <c r="S1045">
        <v>0.24589714384719891</v>
      </c>
      <c r="T1045">
        <v>1.3902886543175019</v>
      </c>
      <c r="U1045">
        <v>0.14235650869550895</v>
      </c>
      <c r="V1045">
        <v>0.18745840536183625</v>
      </c>
      <c r="W1045">
        <v>8.9137425985806609E-2</v>
      </c>
      <c r="X1045">
        <v>1.4365227853364932E-2</v>
      </c>
      <c r="Y1045">
        <v>4.3521721585766063E-3</v>
      </c>
    </row>
    <row r="1046" spans="1:25" x14ac:dyDescent="0.25">
      <c r="A1046" s="1096"/>
      <c r="B1046" s="1455">
        <v>796</v>
      </c>
      <c r="C1046" s="1100">
        <v>0.97783706773045109</v>
      </c>
      <c r="D1046" s="1100">
        <v>1.0083266129907207</v>
      </c>
      <c r="E1046" s="1100">
        <v>1.0054223750761058</v>
      </c>
      <c r="F1046" s="1100">
        <v>1.0349832598885413</v>
      </c>
      <c r="G1046" s="1100">
        <v>0.98297194428952928</v>
      </c>
      <c r="H1046" s="1100">
        <v>0.98740718033172503</v>
      </c>
      <c r="I1046" s="1100">
        <v>0.95540569385704543</v>
      </c>
      <c r="K1046">
        <v>2.2634370605112921</v>
      </c>
      <c r="L1046">
        <v>0</v>
      </c>
      <c r="M1046">
        <v>1.5415200058164936E-3</v>
      </c>
      <c r="N1046">
        <v>0.1424588379151244</v>
      </c>
      <c r="O1046">
        <v>2.0166540771451399E-2</v>
      </c>
      <c r="P1046">
        <v>2.6783472290175171E-2</v>
      </c>
      <c r="Q1046">
        <v>5.6546990974130108E-3</v>
      </c>
      <c r="R1046">
        <v>1.5195774677115572E-3</v>
      </c>
      <c r="S1046">
        <v>0.23405731890639311</v>
      </c>
      <c r="T1046">
        <v>1.3908856544398762</v>
      </c>
      <c r="U1046">
        <v>0.14602127430057643</v>
      </c>
      <c r="V1046">
        <v>0.18415107616021195</v>
      </c>
      <c r="W1046">
        <v>9.3285295367528706E-2</v>
      </c>
      <c r="X1046">
        <v>1.5859044862112127E-2</v>
      </c>
      <c r="Y1046">
        <v>4.1357889385332559E-3</v>
      </c>
    </row>
    <row r="1047" spans="1:25" x14ac:dyDescent="0.25">
      <c r="A1047" s="1096"/>
      <c r="B1047" s="1455">
        <v>797</v>
      </c>
      <c r="C1047" s="1100">
        <v>0.966041020542729</v>
      </c>
      <c r="D1047" s="1100">
        <v>0.98769673533514712</v>
      </c>
      <c r="E1047" s="1100">
        <v>1.0197938689619932</v>
      </c>
      <c r="F1047" s="1100">
        <v>1.0277499341499789</v>
      </c>
      <c r="G1047" s="1100">
        <v>1.008818327989035</v>
      </c>
      <c r="H1047" s="1100">
        <v>1.002058294475737</v>
      </c>
      <c r="I1047" s="1100">
        <v>0.96993548261875873</v>
      </c>
      <c r="K1047">
        <v>2.2811541357431535</v>
      </c>
      <c r="L1047">
        <v>0</v>
      </c>
      <c r="M1047">
        <v>1.5439031922413514E-3</v>
      </c>
      <c r="N1047">
        <v>0.14903604951102281</v>
      </c>
      <c r="O1047">
        <v>2.0515169278679149E-2</v>
      </c>
      <c r="P1047">
        <v>2.715262404535676E-2</v>
      </c>
      <c r="Q1047">
        <v>5.8355723016386167E-3</v>
      </c>
      <c r="R1047">
        <v>1.5222480492965553E-3</v>
      </c>
      <c r="S1047">
        <v>0.2443112275205532</v>
      </c>
      <c r="T1047">
        <v>1.3811925225891912</v>
      </c>
      <c r="U1047">
        <v>0.14783861511845092</v>
      </c>
      <c r="V1047">
        <v>0.18782687699253706</v>
      </c>
      <c r="W1047">
        <v>9.6770327812349871E-2</v>
      </c>
      <c r="X1047">
        <v>1.6553748335066284E-2</v>
      </c>
      <c r="Y1047">
        <v>4.1430573812506382E-3</v>
      </c>
    </row>
    <row r="1048" spans="1:25" x14ac:dyDescent="0.25">
      <c r="A1048" s="1096"/>
      <c r="B1048" s="1455">
        <v>798</v>
      </c>
      <c r="C1048" s="1100">
        <v>1.0056725950745962</v>
      </c>
      <c r="D1048" s="1100">
        <v>0.99373056370722623</v>
      </c>
      <c r="E1048" s="1100">
        <v>0.98306502518617955</v>
      </c>
      <c r="F1048" s="1100">
        <v>1.0036941819674168</v>
      </c>
      <c r="G1048" s="1100">
        <v>0.96648101335204917</v>
      </c>
      <c r="H1048" s="1100">
        <v>1.0075956514480673</v>
      </c>
      <c r="I1048" s="1100">
        <v>0.97486394453846437</v>
      </c>
      <c r="K1048">
        <v>2.2073685863230996</v>
      </c>
      <c r="L1048">
        <v>0</v>
      </c>
      <c r="M1048">
        <v>1.6071814594752845E-3</v>
      </c>
      <c r="N1048">
        <v>0.13886197828976421</v>
      </c>
      <c r="O1048">
        <v>1.9657469499081613E-2</v>
      </c>
      <c r="P1048">
        <v>2.5685394791606069E-2</v>
      </c>
      <c r="Q1048">
        <v>5.3890781081221435E-3</v>
      </c>
      <c r="R1048">
        <v>1.5847626469059836E-3</v>
      </c>
      <c r="S1048">
        <v>0.23531658025205265</v>
      </c>
      <c r="T1048">
        <v>1.3488042124698685</v>
      </c>
      <c r="U1048">
        <v>0.14192848535499156</v>
      </c>
      <c r="V1048">
        <v>0.18058813241970392</v>
      </c>
      <c r="W1048">
        <v>9.2151930013526409E-2</v>
      </c>
      <c r="X1048">
        <v>1.469454242893805E-2</v>
      </c>
      <c r="Y1048">
        <v>4.3132015080119381E-3</v>
      </c>
    </row>
    <row r="1049" spans="1:25" x14ac:dyDescent="0.25">
      <c r="A1049" s="1096"/>
      <c r="B1049" s="1455">
        <v>799</v>
      </c>
      <c r="C1049" s="1100">
        <v>0.99968230743688757</v>
      </c>
      <c r="D1049" s="1100">
        <v>1.006786920885963</v>
      </c>
      <c r="E1049" s="1100">
        <v>0.99270452314298041</v>
      </c>
      <c r="F1049" s="1100">
        <v>1.0169923931344742</v>
      </c>
      <c r="G1049" s="1100">
        <v>0.9912224512090152</v>
      </c>
      <c r="H1049" s="1100">
        <v>0.98616095277797722</v>
      </c>
      <c r="I1049" s="1100">
        <v>0.98144828455318478</v>
      </c>
      <c r="K1049">
        <v>2.2273256485124193</v>
      </c>
      <c r="L1049">
        <v>0</v>
      </c>
      <c r="M1049">
        <v>1.5467014905902322E-3</v>
      </c>
      <c r="N1049">
        <v>0.13754683584418972</v>
      </c>
      <c r="O1049">
        <v>1.9724556621210528E-2</v>
      </c>
      <c r="P1049">
        <v>2.616807181429609E-2</v>
      </c>
      <c r="Q1049">
        <v>5.4604765403886042E-3</v>
      </c>
      <c r="R1049">
        <v>1.5246573750621064E-3</v>
      </c>
      <c r="S1049">
        <v>0.23517006443415378</v>
      </c>
      <c r="T1049">
        <v>1.3666878940806091</v>
      </c>
      <c r="U1049">
        <v>0.14280110539309343</v>
      </c>
      <c r="V1049">
        <v>0.18374661425392477</v>
      </c>
      <c r="W1049">
        <v>9.0752706618621934E-2</v>
      </c>
      <c r="X1049">
        <v>1.5139752255708485E-2</v>
      </c>
      <c r="Y1049">
        <v>4.1496147717504416E-3</v>
      </c>
    </row>
    <row r="1050" spans="1:25" x14ac:dyDescent="0.25">
      <c r="A1050" s="1096"/>
      <c r="B1050" s="1455">
        <v>800</v>
      </c>
      <c r="C1050" s="1100">
        <v>1.0101999948373255</v>
      </c>
      <c r="D1050" s="1100">
        <v>1.0356066209095198</v>
      </c>
      <c r="E1050" s="1100">
        <v>0.99685393113133203</v>
      </c>
      <c r="F1050" s="1100">
        <v>1.0013504250039018</v>
      </c>
      <c r="G1050" s="1100">
        <v>1.0367344561627423</v>
      </c>
      <c r="H1050" s="1100">
        <v>0.96957810610792805</v>
      </c>
      <c r="I1050" s="1100">
        <v>1.002144691206402</v>
      </c>
      <c r="K1050">
        <v>2.1994621368566789</v>
      </c>
      <c r="L1050">
        <v>0</v>
      </c>
      <c r="M1050">
        <v>1.4827384656981662E-3</v>
      </c>
      <c r="N1050">
        <v>0.13348970153612816</v>
      </c>
      <c r="O1050">
        <v>1.9400916726267182E-2</v>
      </c>
      <c r="P1050">
        <v>2.5976056798407691E-2</v>
      </c>
      <c r="Q1050">
        <v>5.3933945463655779E-3</v>
      </c>
      <c r="R1050">
        <v>1.4612445406050427E-3</v>
      </c>
      <c r="S1050">
        <v>0.23304009967469932</v>
      </c>
      <c r="T1050">
        <v>1.3456735372886928</v>
      </c>
      <c r="U1050">
        <v>0.14132378207895338</v>
      </c>
      <c r="V1050">
        <v>0.18827696096520891</v>
      </c>
      <c r="W1050">
        <v>8.7857991106312067E-2</v>
      </c>
      <c r="X1050">
        <v>1.5074164120340551E-2</v>
      </c>
      <c r="Y1050">
        <v>3.977025940393575E-3</v>
      </c>
    </row>
    <row r="1051" spans="1:25" x14ac:dyDescent="0.25">
      <c r="A1051" s="1096"/>
      <c r="B1051" s="1455">
        <v>801</v>
      </c>
      <c r="C1051" s="1100">
        <v>0.95875012535243387</v>
      </c>
      <c r="D1051" s="1100">
        <v>0.97352553131461272</v>
      </c>
      <c r="E1051" s="1100">
        <v>1.0103910483947864</v>
      </c>
      <c r="F1051" s="1100">
        <v>0.99874781876747565</v>
      </c>
      <c r="G1051" s="1100">
        <v>1.0193967773583121</v>
      </c>
      <c r="H1051" s="1100">
        <v>1.0167123089988273</v>
      </c>
      <c r="I1051" s="1100">
        <v>0.97397247907044882</v>
      </c>
      <c r="K1051">
        <v>2.2547947712009369</v>
      </c>
      <c r="L1051">
        <v>0</v>
      </c>
      <c r="M1051">
        <v>1.6146795345109021E-3</v>
      </c>
      <c r="N1051">
        <v>0.15153846717970118</v>
      </c>
      <c r="O1051">
        <v>2.0730827412097322E-2</v>
      </c>
      <c r="P1051">
        <v>2.654708712898007E-2</v>
      </c>
      <c r="Q1051">
        <v>5.8419025828696748E-3</v>
      </c>
      <c r="R1051">
        <v>1.5923580930785508E-3</v>
      </c>
      <c r="S1051">
        <v>0.25011624743415273</v>
      </c>
      <c r="T1051">
        <v>1.342198587409015</v>
      </c>
      <c r="U1051">
        <v>0.14894023416211011</v>
      </c>
      <c r="V1051">
        <v>0.18948086293941491</v>
      </c>
      <c r="W1051">
        <v>9.8940053067432365E-2</v>
      </c>
      <c r="X1051">
        <v>1.6148949517940086E-2</v>
      </c>
      <c r="Y1051">
        <v>4.3338738086555082E-3</v>
      </c>
    </row>
    <row r="1052" spans="1:25" x14ac:dyDescent="0.25">
      <c r="A1052" s="1096"/>
      <c r="B1052" s="1455">
        <v>802</v>
      </c>
      <c r="C1052" s="1100">
        <v>0.97934201170941115</v>
      </c>
      <c r="D1052" s="1100">
        <v>0.97834678398102004</v>
      </c>
      <c r="E1052" s="1100">
        <v>1.0050772859250174</v>
      </c>
      <c r="F1052" s="1100">
        <v>1.0070877711199211</v>
      </c>
      <c r="G1052" s="1100">
        <v>0.96018969650072528</v>
      </c>
      <c r="H1052" s="1100">
        <v>1.0127490194082476</v>
      </c>
      <c r="I1052" s="1100">
        <v>0.96715119427260954</v>
      </c>
      <c r="K1052">
        <v>2.2382093256717037</v>
      </c>
      <c r="L1052">
        <v>0</v>
      </c>
      <c r="M1052">
        <v>1.5903100593258723E-3</v>
      </c>
      <c r="N1052">
        <v>0.14686770752703657</v>
      </c>
      <c r="O1052">
        <v>2.0269480914796752E-2</v>
      </c>
      <c r="P1052">
        <v>2.6334950411418923E-2</v>
      </c>
      <c r="Q1052">
        <v>5.6815980806699529E-3</v>
      </c>
      <c r="R1052">
        <v>1.5682394688926408E-3</v>
      </c>
      <c r="S1052">
        <v>0.2421861983368033</v>
      </c>
      <c r="T1052">
        <v>1.3533970783140918</v>
      </c>
      <c r="U1052">
        <v>0.14579607310565218</v>
      </c>
      <c r="V1052">
        <v>0.18148233940554392</v>
      </c>
      <c r="W1052">
        <v>9.6191969327813084E-2</v>
      </c>
      <c r="X1052">
        <v>1.575576997398425E-2</v>
      </c>
      <c r="Y1052">
        <v>4.2682308643237866E-3</v>
      </c>
    </row>
    <row r="1053" spans="1:25" x14ac:dyDescent="0.25">
      <c r="A1053" s="1096"/>
      <c r="B1053" s="1455">
        <v>803</v>
      </c>
      <c r="C1053" s="1100">
        <v>1.0221954661918484</v>
      </c>
      <c r="D1053" s="1100">
        <v>1.0055560948524971</v>
      </c>
      <c r="E1053" s="1100">
        <v>0.99993341005470204</v>
      </c>
      <c r="F1053" s="1100">
        <v>0.95576481278786107</v>
      </c>
      <c r="G1053" s="1100">
        <v>1.0200122480598193</v>
      </c>
      <c r="H1053" s="1100">
        <v>0.991299013049175</v>
      </c>
      <c r="I1053" s="1100">
        <v>1.0306324803797242</v>
      </c>
      <c r="K1053">
        <v>2.1464430335845739</v>
      </c>
      <c r="L1053">
        <v>0</v>
      </c>
      <c r="M1053">
        <v>1.4983036122987602E-3</v>
      </c>
      <c r="N1053">
        <v>0.13619590163276027</v>
      </c>
      <c r="O1053">
        <v>1.9299738472521713E-2</v>
      </c>
      <c r="P1053">
        <v>2.5266587530126918E-2</v>
      </c>
      <c r="Q1053">
        <v>5.3819156602904804E-3</v>
      </c>
      <c r="R1053">
        <v>1.4770599626854476E-3</v>
      </c>
      <c r="S1053">
        <v>0.24213371393767522</v>
      </c>
      <c r="T1053">
        <v>1.284417496293258</v>
      </c>
      <c r="U1053">
        <v>0.13967228068969875</v>
      </c>
      <c r="V1053">
        <v>0.18570024801003598</v>
      </c>
      <c r="W1053">
        <v>8.9474990107907437E-2</v>
      </c>
      <c r="X1053">
        <v>1.4901334594169048E-2</v>
      </c>
      <c r="Y1053">
        <v>4.0200703057439498E-3</v>
      </c>
    </row>
    <row r="1054" spans="1:25" x14ac:dyDescent="0.25">
      <c r="A1054" s="1096"/>
      <c r="B1054" s="1455">
        <v>804</v>
      </c>
      <c r="C1054" s="1100">
        <v>0.9948564355801065</v>
      </c>
      <c r="D1054" s="1100">
        <v>0.97888518046405237</v>
      </c>
      <c r="E1054" s="1100">
        <v>0.98709391366539567</v>
      </c>
      <c r="F1054" s="1100">
        <v>0.97901757554896907</v>
      </c>
      <c r="G1054" s="1100">
        <v>0.97827661999993865</v>
      </c>
      <c r="H1054" s="1100">
        <v>1.0299035691007368</v>
      </c>
      <c r="I1054" s="1100">
        <v>1.0104926226220088</v>
      </c>
      <c r="K1054">
        <v>2.2025065639966361</v>
      </c>
      <c r="L1054">
        <v>0</v>
      </c>
      <c r="M1054">
        <v>1.6522985905409236E-3</v>
      </c>
      <c r="N1054">
        <v>0.14455466577076015</v>
      </c>
      <c r="O1054">
        <v>1.9939632928385138E-2</v>
      </c>
      <c r="P1054">
        <v>2.5565758110827497E-2</v>
      </c>
      <c r="Q1054">
        <v>5.4888002636467826E-3</v>
      </c>
      <c r="R1054">
        <v>1.6297496601409675E-3</v>
      </c>
      <c r="S1054">
        <v>0.25028557046255195</v>
      </c>
      <c r="T1054">
        <v>1.3156478003803562</v>
      </c>
      <c r="U1054">
        <v>0.14348084482584264</v>
      </c>
      <c r="V1054">
        <v>0.18256616854346192</v>
      </c>
      <c r="W1054">
        <v>9.5697572070730486E-2</v>
      </c>
      <c r="X1054">
        <v>1.4866658242400304E-2</v>
      </c>
      <c r="Y1054">
        <v>4.4356413280726373E-3</v>
      </c>
    </row>
    <row r="1055" spans="1:25" x14ac:dyDescent="0.25">
      <c r="A1055" s="1096"/>
      <c r="B1055" s="1455">
        <v>805</v>
      </c>
      <c r="C1055" s="1100">
        <v>0.97007663644703934</v>
      </c>
      <c r="D1055" s="1100">
        <v>1.0175500172943779</v>
      </c>
      <c r="E1055" s="1100">
        <v>1.0027616671035622</v>
      </c>
      <c r="F1055" s="1100">
        <v>0.99509384132100154</v>
      </c>
      <c r="G1055" s="1100">
        <v>1.0391948168760343</v>
      </c>
      <c r="H1055" s="1100">
        <v>1.014343755519947</v>
      </c>
      <c r="I1055" s="1100">
        <v>0.99397384288276103</v>
      </c>
      <c r="K1055">
        <v>2.237416832855962</v>
      </c>
      <c r="L1055">
        <v>0</v>
      </c>
      <c r="M1055">
        <v>1.6018687930086544E-3</v>
      </c>
      <c r="N1055">
        <v>0.14690738130914285</v>
      </c>
      <c r="O1055">
        <v>2.0285480504860894E-2</v>
      </c>
      <c r="P1055">
        <v>2.6277568680125502E-2</v>
      </c>
      <c r="Q1055">
        <v>5.6728918085818198E-3</v>
      </c>
      <c r="R1055">
        <v>1.5796727397790469E-3</v>
      </c>
      <c r="S1055">
        <v>0.24652577600493725</v>
      </c>
      <c r="T1055">
        <v>1.3372749072865764</v>
      </c>
      <c r="U1055">
        <v>0.14718309834997395</v>
      </c>
      <c r="V1055">
        <v>0.19098917864025491</v>
      </c>
      <c r="W1055">
        <v>9.6350058144524076E-2</v>
      </c>
      <c r="X1055">
        <v>1.5673339721514436E-2</v>
      </c>
      <c r="Y1055">
        <v>4.2993484586998486E-3</v>
      </c>
    </row>
    <row r="1056" spans="1:25" x14ac:dyDescent="0.25">
      <c r="A1056" s="1096"/>
      <c r="B1056" s="1455">
        <v>806</v>
      </c>
      <c r="C1056" s="1100">
        <v>1.0162463639145694</v>
      </c>
      <c r="D1056" s="1100">
        <v>0.98666930018773857</v>
      </c>
      <c r="E1056" s="1100">
        <v>1.0145812557581373</v>
      </c>
      <c r="F1056" s="1100">
        <v>1.0149712102193924</v>
      </c>
      <c r="G1056" s="1100">
        <v>1.0021131427133343</v>
      </c>
      <c r="H1056" s="1100">
        <v>1.0085022230949205</v>
      </c>
      <c r="I1056" s="1100">
        <v>0.97865506484213804</v>
      </c>
      <c r="K1056">
        <v>2.2292298987910213</v>
      </c>
      <c r="L1056">
        <v>0</v>
      </c>
      <c r="M1056">
        <v>1.4935100980094339E-3</v>
      </c>
      <c r="N1056">
        <v>0.14193453224273414</v>
      </c>
      <c r="O1056">
        <v>1.9502907692681658E-2</v>
      </c>
      <c r="P1056">
        <v>2.6528946017046508E-2</v>
      </c>
      <c r="Q1056">
        <v>5.518914592482627E-3</v>
      </c>
      <c r="R1056">
        <v>1.4726956316789656E-3</v>
      </c>
      <c r="S1056">
        <v>0.23491167575866564</v>
      </c>
      <c r="T1056">
        <v>1.3640088191942428</v>
      </c>
      <c r="U1056">
        <v>0.14052314379637654</v>
      </c>
      <c r="V1056">
        <v>0.1840295706219354</v>
      </c>
      <c r="W1056">
        <v>9.2441361966690894E-2</v>
      </c>
      <c r="X1056">
        <v>1.5842649339050562E-2</v>
      </c>
      <c r="Y1056">
        <v>4.0081920354456358E-3</v>
      </c>
    </row>
    <row r="1057" spans="1:25" x14ac:dyDescent="0.25">
      <c r="A1057" s="1096"/>
      <c r="B1057" s="1455">
        <v>807</v>
      </c>
      <c r="C1057" s="1100">
        <v>0.9806834832006075</v>
      </c>
      <c r="D1057" s="1100">
        <v>1.0162403677584357</v>
      </c>
      <c r="E1057" s="1100">
        <v>0.99327238911657845</v>
      </c>
      <c r="F1057" s="1100">
        <v>0.99768847355858414</v>
      </c>
      <c r="G1057" s="1100">
        <v>0.9743879067939013</v>
      </c>
      <c r="H1057" s="1100">
        <v>1.0341516002450022</v>
      </c>
      <c r="I1057" s="1100">
        <v>0.98377675137896181</v>
      </c>
      <c r="K1057">
        <v>2.2273593299900245</v>
      </c>
      <c r="L1057">
        <v>0</v>
      </c>
      <c r="M1057">
        <v>1.6480564883613134E-3</v>
      </c>
      <c r="N1057">
        <v>0.14691054395462846</v>
      </c>
      <c r="O1057">
        <v>2.0065742481708015E-2</v>
      </c>
      <c r="P1057">
        <v>2.5961128437446211E-2</v>
      </c>
      <c r="Q1057">
        <v>5.5581132735249223E-3</v>
      </c>
      <c r="R1057">
        <v>1.6256578374116777E-3</v>
      </c>
      <c r="S1057">
        <v>0.24302554989108602</v>
      </c>
      <c r="T1057">
        <v>1.3407470866515603</v>
      </c>
      <c r="U1057">
        <v>0.14556892916788933</v>
      </c>
      <c r="V1057">
        <v>0.18299369240679816</v>
      </c>
      <c r="W1057">
        <v>9.6897942753474783E-2</v>
      </c>
      <c r="X1057">
        <v>1.5228494887384456E-2</v>
      </c>
      <c r="Y1057">
        <v>4.4245047354725103E-3</v>
      </c>
    </row>
    <row r="1058" spans="1:25" x14ac:dyDescent="0.25">
      <c r="A1058" s="1096"/>
      <c r="B1058" s="1455">
        <v>808</v>
      </c>
      <c r="C1058" s="1100">
        <v>1.0262248346355074</v>
      </c>
      <c r="D1058" s="1100">
        <v>1.0100136898517922</v>
      </c>
      <c r="E1058" s="1100">
        <v>1.0259037674412315</v>
      </c>
      <c r="F1058" s="1100">
        <v>0.98060021764677507</v>
      </c>
      <c r="G1058" s="1100">
        <v>1.0422547551751911</v>
      </c>
      <c r="H1058" s="1100">
        <v>1.0099660021014312</v>
      </c>
      <c r="I1058" s="1100">
        <v>0.99887547905670016</v>
      </c>
      <c r="K1058">
        <v>2.1836658354692688</v>
      </c>
      <c r="L1058">
        <v>0</v>
      </c>
      <c r="M1058">
        <v>1.4392249669066568E-3</v>
      </c>
      <c r="N1058">
        <v>0.14153103055382699</v>
      </c>
      <c r="O1058">
        <v>1.9221067333146186E-2</v>
      </c>
      <c r="P1058">
        <v>2.614407538562381E-2</v>
      </c>
      <c r="Q1058">
        <v>5.5007217364024487E-3</v>
      </c>
      <c r="R1058">
        <v>1.419196121862803E-3</v>
      </c>
      <c r="S1058">
        <v>0.23488252080091854</v>
      </c>
      <c r="T1058">
        <v>1.3178405306253238</v>
      </c>
      <c r="U1058">
        <v>0.13918225092642678</v>
      </c>
      <c r="V1058">
        <v>0.18800906376856832</v>
      </c>
      <c r="W1058">
        <v>9.1570078421485235E-2</v>
      </c>
      <c r="X1058">
        <v>1.5941940756755358E-2</v>
      </c>
      <c r="Y1058">
        <v>3.8625840058347113E-3</v>
      </c>
    </row>
    <row r="1059" spans="1:25" x14ac:dyDescent="0.25">
      <c r="A1059" s="1096"/>
      <c r="B1059" s="1455">
        <v>809</v>
      </c>
      <c r="C1059" s="1100">
        <v>0.98252321628459649</v>
      </c>
      <c r="D1059" s="1100">
        <v>0.98260369278541293</v>
      </c>
      <c r="E1059" s="1100">
        <v>1.0304884273225579</v>
      </c>
      <c r="F1059" s="1100">
        <v>1.0312567557018981</v>
      </c>
      <c r="G1059" s="1100">
        <v>1.0011645221787062</v>
      </c>
      <c r="H1059" s="1100">
        <v>1.0007308688932877</v>
      </c>
      <c r="I1059" s="1100">
        <v>0.9912413153440861</v>
      </c>
      <c r="K1059">
        <v>2.2810309408232512</v>
      </c>
      <c r="L1059">
        <v>0</v>
      </c>
      <c r="M1059">
        <v>1.4842935212921635E-3</v>
      </c>
      <c r="N1059">
        <v>0.14797532348304121</v>
      </c>
      <c r="O1059">
        <v>2.0200826160355477E-2</v>
      </c>
      <c r="P1059">
        <v>2.7395657054758965E-2</v>
      </c>
      <c r="Q1059">
        <v>5.8074013453067695E-3</v>
      </c>
      <c r="R1059">
        <v>1.4634468618187444E-3</v>
      </c>
      <c r="S1059">
        <v>0.24610099078775158</v>
      </c>
      <c r="T1059">
        <v>1.3859288559390333</v>
      </c>
      <c r="U1059">
        <v>0.14538372262392377</v>
      </c>
      <c r="V1059">
        <v>0.18594129889503641</v>
      </c>
      <c r="W1059">
        <v>9.5484701831488453E-2</v>
      </c>
      <c r="X1059">
        <v>1.6849989429284791E-2</v>
      </c>
      <c r="Y1059">
        <v>3.9830199327422783E-3</v>
      </c>
    </row>
    <row r="1060" spans="1:25" x14ac:dyDescent="0.25">
      <c r="A1060" s="1096"/>
      <c r="B1060" s="1455">
        <v>810</v>
      </c>
      <c r="C1060" s="1100">
        <v>1.0079609441218527</v>
      </c>
      <c r="D1060" s="1100">
        <v>0.99788134949728069</v>
      </c>
      <c r="E1060" s="1100">
        <v>0.96342440797057172</v>
      </c>
      <c r="F1060" s="1100">
        <v>1.0414068149974354</v>
      </c>
      <c r="G1060" s="1100">
        <v>0.98223258405003211</v>
      </c>
      <c r="H1060" s="1100">
        <v>1.0113320183333776</v>
      </c>
      <c r="I1060" s="1100">
        <v>1.0141970332192229</v>
      </c>
      <c r="K1060">
        <v>2.2647396804748783</v>
      </c>
      <c r="L1060">
        <v>0</v>
      </c>
      <c r="M1060">
        <v>1.6745792106177292E-3</v>
      </c>
      <c r="N1060">
        <v>0.13634075072630922</v>
      </c>
      <c r="O1060">
        <v>1.9582739649976529E-2</v>
      </c>
      <c r="P1060">
        <v>2.6105841034848757E-2</v>
      </c>
      <c r="Q1060">
        <v>5.2620854091951531E-3</v>
      </c>
      <c r="R1060">
        <v>1.6513065564927017E-3</v>
      </c>
      <c r="S1060">
        <v>0.24389836208325877</v>
      </c>
      <c r="T1060">
        <v>1.3994633993308985</v>
      </c>
      <c r="U1060">
        <v>0.14156160165755116</v>
      </c>
      <c r="V1060">
        <v>0.18221848422669712</v>
      </c>
      <c r="W1060">
        <v>9.1564052117130604E-2</v>
      </c>
      <c r="X1060">
        <v>1.4271324799424922E-2</v>
      </c>
      <c r="Y1060">
        <v>4.4943120937130845E-3</v>
      </c>
    </row>
    <row r="1061" spans="1:25" x14ac:dyDescent="0.25">
      <c r="A1061" s="1096"/>
      <c r="B1061" s="1455">
        <v>811</v>
      </c>
      <c r="C1061" s="1100">
        <v>1.0232033214620866</v>
      </c>
      <c r="D1061" s="1100">
        <v>0.97553602326615529</v>
      </c>
      <c r="E1061" s="1100">
        <v>1.0271474596002406</v>
      </c>
      <c r="F1061" s="1100">
        <v>0.9665778059598229</v>
      </c>
      <c r="G1061" s="1100">
        <v>1.0121958538694495</v>
      </c>
      <c r="H1061" s="1100">
        <v>0.95974811145180305</v>
      </c>
      <c r="I1061" s="1100">
        <v>1.0095096669815316</v>
      </c>
      <c r="K1061">
        <v>2.1560077140215146</v>
      </c>
      <c r="L1061">
        <v>0</v>
      </c>
      <c r="M1061">
        <v>1.3786477521586552E-3</v>
      </c>
      <c r="N1061">
        <v>0.13598285500377286</v>
      </c>
      <c r="O1061">
        <v>1.9426460709788349E-2</v>
      </c>
      <c r="P1061">
        <v>2.5913368350458817E-2</v>
      </c>
      <c r="Q1061">
        <v>5.5663550206782719E-3</v>
      </c>
      <c r="R1061">
        <v>1.3584580446292485E-3</v>
      </c>
      <c r="S1061">
        <v>0.23825813170845062</v>
      </c>
      <c r="T1061">
        <v>1.2989982403265643</v>
      </c>
      <c r="U1061">
        <v>0.1395960649461078</v>
      </c>
      <c r="V1061">
        <v>0.18478341945548996</v>
      </c>
      <c r="W1061">
        <v>8.7916761988008407E-2</v>
      </c>
      <c r="X1061">
        <v>1.5888971237814617E-2</v>
      </c>
      <c r="Y1061">
        <v>3.6972749819067564E-3</v>
      </c>
    </row>
    <row r="1062" spans="1:25" x14ac:dyDescent="0.25">
      <c r="A1062" s="1096"/>
      <c r="B1062" s="1455">
        <v>812</v>
      </c>
      <c r="C1062" s="1100">
        <v>0.98795040490223252</v>
      </c>
      <c r="D1062" s="1100">
        <v>1.0216086725196682</v>
      </c>
      <c r="E1062" s="1100">
        <v>1.0354637633251698</v>
      </c>
      <c r="F1062" s="1100">
        <v>1.0348763609064491</v>
      </c>
      <c r="G1062" s="1100">
        <v>1.0086629423053028</v>
      </c>
      <c r="H1062" s="1100">
        <v>1.0157293316082381</v>
      </c>
      <c r="I1062" s="1100">
        <v>1.0169572342447295</v>
      </c>
      <c r="K1062">
        <v>2.2881416876880927</v>
      </c>
      <c r="L1062">
        <v>0</v>
      </c>
      <c r="M1062">
        <v>1.4701588763328527E-3</v>
      </c>
      <c r="N1062">
        <v>0.14881183394393774</v>
      </c>
      <c r="O1062">
        <v>1.9921684197364779E-2</v>
      </c>
      <c r="P1062">
        <v>2.7579311785597218E-2</v>
      </c>
      <c r="Q1062">
        <v>5.7553482688183274E-3</v>
      </c>
      <c r="R1062">
        <v>1.4498156302139794E-3</v>
      </c>
      <c r="S1062">
        <v>0.24754574882393082</v>
      </c>
      <c r="T1062">
        <v>1.3908051590912478</v>
      </c>
      <c r="U1062">
        <v>0.1445967262707108</v>
      </c>
      <c r="V1062">
        <v>0.18646168063601271</v>
      </c>
      <c r="W1062">
        <v>9.5748200750567794E-2</v>
      </c>
      <c r="X1062">
        <v>1.6990416952175572E-2</v>
      </c>
      <c r="Y1062">
        <v>3.9459202138483994E-3</v>
      </c>
    </row>
    <row r="1063" spans="1:25" x14ac:dyDescent="0.25">
      <c r="A1063" s="1096"/>
      <c r="B1063" s="1455">
        <v>813</v>
      </c>
      <c r="C1063" s="1100">
        <v>1.0072603575134871</v>
      </c>
      <c r="D1063" s="1100">
        <v>0.99754174908833637</v>
      </c>
      <c r="E1063" s="1100">
        <v>1.0458982169908999</v>
      </c>
      <c r="F1063" s="1100">
        <v>1.009637951092486</v>
      </c>
      <c r="G1063" s="1100">
        <v>1.0008459747950731</v>
      </c>
      <c r="H1063" s="1100">
        <v>0.99068559775427067</v>
      </c>
      <c r="I1063" s="1100">
        <v>1.0149374142177425</v>
      </c>
      <c r="K1063">
        <v>2.2365503411083023</v>
      </c>
      <c r="L1063">
        <v>0</v>
      </c>
      <c r="M1063">
        <v>1.3833609358457671E-3</v>
      </c>
      <c r="N1063">
        <v>0.14444578140980263</v>
      </c>
      <c r="O1063">
        <v>1.9649034550588734E-2</v>
      </c>
      <c r="P1063">
        <v>2.718098489559017E-2</v>
      </c>
      <c r="Q1063">
        <v>5.7351004072097285E-3</v>
      </c>
      <c r="R1063">
        <v>1.3637348526667331E-3</v>
      </c>
      <c r="S1063">
        <v>0.24325542601157163</v>
      </c>
      <c r="T1063">
        <v>1.35691233689443</v>
      </c>
      <c r="U1063">
        <v>0.14184869073092465</v>
      </c>
      <c r="V1063">
        <v>0.18443614013555831</v>
      </c>
      <c r="W1063">
        <v>9.2382441858906636E-2</v>
      </c>
      <c r="X1063">
        <v>1.701239358301198E-2</v>
      </c>
      <c r="Y1063">
        <v>3.7116367138854862E-3</v>
      </c>
    </row>
    <row r="1064" spans="1:25" x14ac:dyDescent="0.25">
      <c r="A1064" s="1096"/>
      <c r="B1064" s="1455">
        <v>814</v>
      </c>
      <c r="C1064" s="1100">
        <v>1.0037292633154011</v>
      </c>
      <c r="D1064" s="1100">
        <v>0.96344941878738066</v>
      </c>
      <c r="E1064" s="1100">
        <v>1.0349223500313776</v>
      </c>
      <c r="F1064" s="1100">
        <v>0.95869074612026017</v>
      </c>
      <c r="G1064" s="1100">
        <v>0.99698755418554952</v>
      </c>
      <c r="H1064" s="1100">
        <v>1.0127752178538396</v>
      </c>
      <c r="I1064" s="1100">
        <v>1.0090003865173216</v>
      </c>
      <c r="K1064">
        <v>2.1786522283756287</v>
      </c>
      <c r="L1064">
        <v>0</v>
      </c>
      <c r="M1064">
        <v>1.4632161473400989E-3</v>
      </c>
      <c r="N1064">
        <v>0.14786158359375756</v>
      </c>
      <c r="O1064">
        <v>1.9862658930703356E-2</v>
      </c>
      <c r="P1064">
        <v>2.6087505180685609E-2</v>
      </c>
      <c r="Q1064">
        <v>5.7352338351782314E-3</v>
      </c>
      <c r="R1064">
        <v>1.4429099128845729E-3</v>
      </c>
      <c r="S1064">
        <v>0.24866768930581293</v>
      </c>
      <c r="T1064">
        <v>1.2884155307575382</v>
      </c>
      <c r="U1064">
        <v>0.1423223835491611</v>
      </c>
      <c r="V1064">
        <v>0.18419703482721261</v>
      </c>
      <c r="W1064">
        <v>9.5166575115981339E-2</v>
      </c>
      <c r="X1064">
        <v>1.6429214386303796E-2</v>
      </c>
      <c r="Y1064">
        <v>3.92712512774686E-3</v>
      </c>
    </row>
    <row r="1065" spans="1:25" x14ac:dyDescent="0.25">
      <c r="A1065" s="1096"/>
      <c r="B1065" s="1455">
        <v>815</v>
      </c>
      <c r="C1065" s="1100">
        <v>0.96799342127724552</v>
      </c>
      <c r="D1065" s="1100">
        <v>0.96469711714604556</v>
      </c>
      <c r="E1065" s="1100">
        <v>0.96758207579863109</v>
      </c>
      <c r="F1065" s="1100">
        <v>0.98009280034347279</v>
      </c>
      <c r="G1065" s="1100">
        <v>0.97526560616633928</v>
      </c>
      <c r="H1065" s="1100">
        <v>0.98273368004108641</v>
      </c>
      <c r="I1065" s="1100">
        <v>1.031780867455687</v>
      </c>
      <c r="K1065">
        <v>2.2120552399461597</v>
      </c>
      <c r="L1065">
        <v>0</v>
      </c>
      <c r="M1065">
        <v>1.692487394654972E-3</v>
      </c>
      <c r="N1065">
        <v>0.13948785506204434</v>
      </c>
      <c r="O1065">
        <v>2.0546267424273946E-2</v>
      </c>
      <c r="P1065">
        <v>2.541165904414712E-2</v>
      </c>
      <c r="Q1065">
        <v>5.544565690157756E-3</v>
      </c>
      <c r="R1065">
        <v>1.6682813639772108E-3</v>
      </c>
      <c r="S1065">
        <v>0.26035370141776965</v>
      </c>
      <c r="T1065">
        <v>1.3170717886439192</v>
      </c>
      <c r="U1065">
        <v>0.14741637777766156</v>
      </c>
      <c r="V1065">
        <v>0.18386311813858242</v>
      </c>
      <c r="W1065">
        <v>9.3439994645041477E-2</v>
      </c>
      <c r="X1065">
        <v>1.4403606209297749E-2</v>
      </c>
      <c r="Y1065">
        <v>4.5405119239421352E-3</v>
      </c>
    </row>
    <row r="1066" spans="1:25" x14ac:dyDescent="0.25">
      <c r="A1066" s="1096"/>
      <c r="B1066" s="1455">
        <v>816</v>
      </c>
      <c r="C1066" s="1100">
        <v>1.0139847743061681</v>
      </c>
      <c r="D1066" s="1100">
        <v>1.0172745141029063</v>
      </c>
      <c r="E1066" s="1100">
        <v>0.9945677149768285</v>
      </c>
      <c r="F1066" s="1100">
        <v>1.0177193902211177</v>
      </c>
      <c r="G1066" s="1100">
        <v>0.99422355829519238</v>
      </c>
      <c r="H1066" s="1100">
        <v>0.99575319662907225</v>
      </c>
      <c r="I1066" s="1100">
        <v>1.0219003665625059</v>
      </c>
      <c r="K1066">
        <v>2.2300095591824811</v>
      </c>
      <c r="L1066">
        <v>0</v>
      </c>
      <c r="M1066">
        <v>1.5302910594877325E-3</v>
      </c>
      <c r="N1066">
        <v>0.13687510251525797</v>
      </c>
      <c r="O1066">
        <v>1.9403195519510759E-2</v>
      </c>
      <c r="P1066">
        <v>2.6262486662285013E-2</v>
      </c>
      <c r="Q1066">
        <v>5.3816170804191895E-3</v>
      </c>
      <c r="R1066">
        <v>1.50869093229222E-3</v>
      </c>
      <c r="S1066">
        <v>0.24095120236471657</v>
      </c>
      <c r="T1066">
        <v>1.3676676272610084</v>
      </c>
      <c r="U1066">
        <v>0.14079109224034647</v>
      </c>
      <c r="V1066">
        <v>0.18325050569599385</v>
      </c>
      <c r="W1066">
        <v>9.0209045363317739E-2</v>
      </c>
      <c r="X1066">
        <v>1.5133125228953286E-2</v>
      </c>
      <c r="Y1066">
        <v>4.1061593778672564E-3</v>
      </c>
    </row>
    <row r="1067" spans="1:25" x14ac:dyDescent="0.25">
      <c r="A1067" s="1096"/>
      <c r="B1067" s="1455">
        <v>817</v>
      </c>
      <c r="C1067" s="1100">
        <v>0.99936796186918009</v>
      </c>
      <c r="D1067" s="1100">
        <v>0.96698627672721005</v>
      </c>
      <c r="E1067" s="1100">
        <v>0.99930186454526682</v>
      </c>
      <c r="F1067" s="1100">
        <v>0.98774528628658198</v>
      </c>
      <c r="G1067" s="1100">
        <v>1.0165114555971881</v>
      </c>
      <c r="H1067" s="1100">
        <v>1.0003876826898705</v>
      </c>
      <c r="I1067" s="1100">
        <v>1.0194647493380922</v>
      </c>
      <c r="K1067">
        <v>2.2133258507674958</v>
      </c>
      <c r="L1067">
        <v>0</v>
      </c>
      <c r="M1067">
        <v>1.5619885100026873E-3</v>
      </c>
      <c r="N1067">
        <v>0.14173271907429047</v>
      </c>
      <c r="O1067">
        <v>1.9910776451384463E-2</v>
      </c>
      <c r="P1067">
        <v>2.6012030323405867E-2</v>
      </c>
      <c r="Q1067">
        <v>5.5487850889531344E-3</v>
      </c>
      <c r="R1067">
        <v>1.5400431112766832E-3</v>
      </c>
      <c r="S1067">
        <v>0.25057500365151059</v>
      </c>
      <c r="T1067">
        <v>1.3273939010372409</v>
      </c>
      <c r="U1067">
        <v>0.1428612118762789</v>
      </c>
      <c r="V1067">
        <v>0.18662963010396375</v>
      </c>
      <c r="W1067">
        <v>9.3147414179267474E-2</v>
      </c>
      <c r="X1067">
        <v>1.5344834706105677E-2</v>
      </c>
      <c r="Y1067">
        <v>4.1914896738199396E-3</v>
      </c>
    </row>
    <row r="1068" spans="1:25" x14ac:dyDescent="0.25">
      <c r="A1068" s="1096"/>
      <c r="B1068" s="1455">
        <v>818</v>
      </c>
      <c r="C1068" s="1100">
        <v>0.99526820676604066</v>
      </c>
      <c r="D1068" s="1100">
        <v>1.0218481203043799</v>
      </c>
      <c r="E1068" s="1100">
        <v>0.96820903070886255</v>
      </c>
      <c r="F1068" s="1100">
        <v>1.0030354672680322</v>
      </c>
      <c r="G1068" s="1100">
        <v>1.0036167989673059</v>
      </c>
      <c r="H1068" s="1100">
        <v>0.99961692270541158</v>
      </c>
      <c r="I1068" s="1100">
        <v>0.96988279324882354</v>
      </c>
      <c r="K1068">
        <v>2.2060496662712668</v>
      </c>
      <c r="L1068">
        <v>0</v>
      </c>
      <c r="M1068">
        <v>1.6511805693316091E-3</v>
      </c>
      <c r="N1068">
        <v>0.13637554805644636</v>
      </c>
      <c r="O1068">
        <v>1.9732168005337565E-2</v>
      </c>
      <c r="P1068">
        <v>2.5430937795029297E-2</v>
      </c>
      <c r="Q1068">
        <v>5.3282920675755104E-3</v>
      </c>
      <c r="R1068">
        <v>1.6279641656574179E-3</v>
      </c>
      <c r="S1068">
        <v>0.23257501622846616</v>
      </c>
      <c r="T1068">
        <v>1.3479032421104387</v>
      </c>
      <c r="U1068">
        <v>0.14337795459959352</v>
      </c>
      <c r="V1068">
        <v>0.18539000087196858</v>
      </c>
      <c r="W1068">
        <v>9.132021387064844E-2</v>
      </c>
      <c r="X1068">
        <v>1.4208727268759004E-2</v>
      </c>
      <c r="Y1068">
        <v>4.4307818006765129E-3</v>
      </c>
    </row>
    <row r="1069" spans="1:25" x14ac:dyDescent="0.25">
      <c r="A1069" s="1096"/>
      <c r="B1069" s="1455">
        <v>819</v>
      </c>
      <c r="C1069" s="1100">
        <v>1.0269811458658771</v>
      </c>
      <c r="D1069" s="1100">
        <v>1.0198981126761824</v>
      </c>
      <c r="E1069" s="1100">
        <v>1.0088147750076164</v>
      </c>
      <c r="F1069" s="1100">
        <v>1.0153530567288311</v>
      </c>
      <c r="G1069" s="1100">
        <v>0.98893300817100005</v>
      </c>
      <c r="H1069" s="1100">
        <v>1.004380735970918</v>
      </c>
      <c r="I1069" s="1100">
        <v>0.97850633055327585</v>
      </c>
      <c r="K1069">
        <v>2.2123427453026121</v>
      </c>
      <c r="L1069">
        <v>0</v>
      </c>
      <c r="M1069">
        <v>1.4787870005587779E-3</v>
      </c>
      <c r="N1069">
        <v>0.1381022185100276</v>
      </c>
      <c r="O1069">
        <v>1.9155427403683138E-2</v>
      </c>
      <c r="P1069">
        <v>2.6282667220305908E-2</v>
      </c>
      <c r="Q1069">
        <v>5.3894574996279938E-3</v>
      </c>
      <c r="R1069">
        <v>1.4580931538950301E-3</v>
      </c>
      <c r="S1069">
        <v>0.22826706754363724</v>
      </c>
      <c r="T1069">
        <v>1.3645111768434393</v>
      </c>
      <c r="U1069">
        <v>0.13904133904846655</v>
      </c>
      <c r="V1069">
        <v>0.18192440577367033</v>
      </c>
      <c r="W1069">
        <v>9.0251349243543028E-2</v>
      </c>
      <c r="X1069">
        <v>1.5469881158247987E-2</v>
      </c>
      <c r="Y1069">
        <v>3.9684489046232715E-3</v>
      </c>
    </row>
    <row r="1070" spans="1:25" x14ac:dyDescent="0.25">
      <c r="A1070" s="1096"/>
      <c r="B1070" s="1455">
        <v>820</v>
      </c>
      <c r="C1070" s="1100">
        <v>0.98494372673205122</v>
      </c>
      <c r="D1070" s="1100">
        <v>1.0129812128918216</v>
      </c>
      <c r="E1070" s="1100">
        <v>0.97171461666477055</v>
      </c>
      <c r="F1070" s="1100">
        <v>1.040684988062855</v>
      </c>
      <c r="G1070" s="1100">
        <v>0.9604314306414522</v>
      </c>
      <c r="H1070" s="1100">
        <v>0.98464397566853945</v>
      </c>
      <c r="I1070" s="1100">
        <v>0.99380609171265055</v>
      </c>
      <c r="K1070">
        <v>2.2634520807623804</v>
      </c>
      <c r="L1070">
        <v>0</v>
      </c>
      <c r="M1070">
        <v>1.6347771787619425E-3</v>
      </c>
      <c r="N1070">
        <v>0.13643197157958639</v>
      </c>
      <c r="O1070">
        <v>1.9979479348849812E-2</v>
      </c>
      <c r="P1070">
        <v>2.6246621829783098E-2</v>
      </c>
      <c r="Q1070">
        <v>5.4144392525413854E-3</v>
      </c>
      <c r="R1070">
        <v>1.6114418827052695E-3</v>
      </c>
      <c r="S1070">
        <v>0.24067462652518198</v>
      </c>
      <c r="T1070">
        <v>1.3985009765090506</v>
      </c>
      <c r="U1070">
        <v>0.1448890402569829</v>
      </c>
      <c r="V1070">
        <v>0.18113556984565232</v>
      </c>
      <c r="W1070">
        <v>9.116327528805622E-2</v>
      </c>
      <c r="X1070">
        <v>1.4653602029698792E-2</v>
      </c>
      <c r="Y1070">
        <v>4.3858135930498754E-3</v>
      </c>
    </row>
    <row r="1071" spans="1:25" x14ac:dyDescent="0.25">
      <c r="A1071" s="1096"/>
      <c r="B1071" s="1455">
        <v>821</v>
      </c>
      <c r="C1071" s="1100">
        <v>1.0056100723602552</v>
      </c>
      <c r="D1071" s="1100">
        <v>0.99261422358245599</v>
      </c>
      <c r="E1071" s="1100">
        <v>0.99647997842021052</v>
      </c>
      <c r="F1071" s="1100">
        <v>0.99742942957729164</v>
      </c>
      <c r="G1071" s="1100">
        <v>1.0088099434130862</v>
      </c>
      <c r="H1071" s="1100">
        <v>1.0020157002474717</v>
      </c>
      <c r="I1071" s="1100">
        <v>1.0243556648474619</v>
      </c>
      <c r="K1071">
        <v>2.2173773552377627</v>
      </c>
      <c r="L1071">
        <v>0</v>
      </c>
      <c r="M1071">
        <v>1.5549695305363735E-3</v>
      </c>
      <c r="N1071">
        <v>0.1399010776627754</v>
      </c>
      <c r="O1071">
        <v>1.9671886779962667E-2</v>
      </c>
      <c r="P1071">
        <v>2.605746486014918E-2</v>
      </c>
      <c r="Q1071">
        <v>5.4666643338327102E-3</v>
      </c>
      <c r="R1071">
        <v>1.5331582414466786E-3</v>
      </c>
      <c r="S1071">
        <v>0.24706583754350092</v>
      </c>
      <c r="T1071">
        <v>1.340403706445207</v>
      </c>
      <c r="U1071">
        <v>0.14196797282007875</v>
      </c>
      <c r="V1071">
        <v>0.18538816064302388</v>
      </c>
      <c r="W1071">
        <v>9.2098243214561115E-2</v>
      </c>
      <c r="X1071">
        <v>1.5205400896020148E-2</v>
      </c>
      <c r="Y1071">
        <v>4.1727513277393978E-3</v>
      </c>
    </row>
    <row r="1072" spans="1:25" x14ac:dyDescent="0.25">
      <c r="A1072" s="1096"/>
      <c r="B1072" s="1455">
        <v>822</v>
      </c>
      <c r="C1072" s="1100">
        <v>0.98788881676880724</v>
      </c>
      <c r="D1072" s="1100">
        <v>1.0186420418574795</v>
      </c>
      <c r="E1072" s="1100">
        <v>1.0248217678378198</v>
      </c>
      <c r="F1072" s="1100">
        <v>0.9780558724373779</v>
      </c>
      <c r="G1072" s="1100">
        <v>0.97854908380444161</v>
      </c>
      <c r="H1072" s="1100">
        <v>0.99702383634348224</v>
      </c>
      <c r="I1072" s="1100">
        <v>0.96637926561103682</v>
      </c>
      <c r="K1072">
        <v>2.1862229516694422</v>
      </c>
      <c r="L1072">
        <v>0</v>
      </c>
      <c r="M1072">
        <v>1.4764803556351217E-3</v>
      </c>
      <c r="N1072">
        <v>0.14469517215021108</v>
      </c>
      <c r="O1072">
        <v>1.9928944200666276E-2</v>
      </c>
      <c r="P1072">
        <v>2.6070451848756733E-2</v>
      </c>
      <c r="Q1072">
        <v>5.6971898025849517E-3</v>
      </c>
      <c r="R1072">
        <v>1.4556663288707436E-3</v>
      </c>
      <c r="S1072">
        <v>0.23404639471411531</v>
      </c>
      <c r="T1072">
        <v>1.3144188925176759</v>
      </c>
      <c r="U1072">
        <v>0.14458082663657518</v>
      </c>
      <c r="V1072">
        <v>0.18305166859067717</v>
      </c>
      <c r="W1072">
        <v>9.3676298549816225E-2</v>
      </c>
      <c r="X1072">
        <v>1.6116082798214127E-2</v>
      </c>
      <c r="Y1072">
        <v>3.9618438869098186E-3</v>
      </c>
    </row>
    <row r="1073" spans="1:25" x14ac:dyDescent="0.25">
      <c r="A1073" s="1096"/>
      <c r="B1073" s="1455">
        <v>823</v>
      </c>
      <c r="C1073" s="1100">
        <v>1.0371795584816208</v>
      </c>
      <c r="D1073" s="1100">
        <v>0.95981018701242482</v>
      </c>
      <c r="E1073" s="1100">
        <v>0.97835647608301746</v>
      </c>
      <c r="F1073" s="1100">
        <v>1.0035490428854255</v>
      </c>
      <c r="G1073" s="1100">
        <v>1.0109866754147105</v>
      </c>
      <c r="H1073" s="1100">
        <v>1.0368021180420495</v>
      </c>
      <c r="I1073" s="1100">
        <v>1.0213499457846018</v>
      </c>
      <c r="K1073">
        <v>2.2161017421431213</v>
      </c>
      <c r="L1073">
        <v>0</v>
      </c>
      <c r="M1073">
        <v>1.6316401475221286E-3</v>
      </c>
      <c r="N1073">
        <v>0.13903655898227055</v>
      </c>
      <c r="O1073">
        <v>1.9203663698731679E-2</v>
      </c>
      <c r="P1073">
        <v>2.5713683241848001E-2</v>
      </c>
      <c r="Q1073">
        <v>5.2395423078837903E-3</v>
      </c>
      <c r="R1073">
        <v>1.6095213005483031E-3</v>
      </c>
      <c r="S1073">
        <v>0.24553227352138829</v>
      </c>
      <c r="T1073">
        <v>1.348603639962866</v>
      </c>
      <c r="U1073">
        <v>0.13760662753382469</v>
      </c>
      <c r="V1073">
        <v>0.18382382460668834</v>
      </c>
      <c r="W1073">
        <v>9.2530340480491247E-2</v>
      </c>
      <c r="X1073">
        <v>1.4453120252562152E-2</v>
      </c>
      <c r="Y1073">
        <v>4.3805864015383517E-3</v>
      </c>
    </row>
    <row r="1074" spans="1:25" x14ac:dyDescent="0.25">
      <c r="A1074" s="1096"/>
      <c r="B1074" s="1455">
        <v>824</v>
      </c>
      <c r="C1074" s="1100">
        <v>0.96712568683990763</v>
      </c>
      <c r="D1074" s="1100">
        <v>1.0284357858481701</v>
      </c>
      <c r="E1074" s="1100">
        <v>0.99095554497049243</v>
      </c>
      <c r="F1074" s="1100">
        <v>0.96254010973997672</v>
      </c>
      <c r="G1074" s="1100">
        <v>1.0303071490942248</v>
      </c>
      <c r="H1074" s="1100">
        <v>1.0334838174960326</v>
      </c>
      <c r="I1074" s="1100">
        <v>1.0279042149048008</v>
      </c>
      <c r="K1074">
        <v>2.2042265659333959</v>
      </c>
      <c r="L1074">
        <v>0</v>
      </c>
      <c r="M1074">
        <v>1.6737181686334887E-3</v>
      </c>
      <c r="N1074">
        <v>0.1481554565040861</v>
      </c>
      <c r="O1074">
        <v>2.0292222942861517E-2</v>
      </c>
      <c r="P1074">
        <v>2.5575158063634282E-2</v>
      </c>
      <c r="Q1074">
        <v>5.6077152313560898E-3</v>
      </c>
      <c r="R1074">
        <v>1.6509560529256579E-3</v>
      </c>
      <c r="S1074">
        <v>0.25590195948281569</v>
      </c>
      <c r="T1074">
        <v>1.2935096696586219</v>
      </c>
      <c r="U1074">
        <v>0.14760410047320521</v>
      </c>
      <c r="V1074">
        <v>0.19016056139550921</v>
      </c>
      <c r="W1074">
        <v>9.7854545600379442E-2</v>
      </c>
      <c r="X1074">
        <v>1.509458055808667E-2</v>
      </c>
      <c r="Y1074">
        <v>4.4933581385470612E-3</v>
      </c>
    </row>
    <row r="1075" spans="1:25" x14ac:dyDescent="0.25">
      <c r="A1075" s="1096"/>
      <c r="B1075" s="1455">
        <v>825</v>
      </c>
      <c r="C1075" s="1100">
        <v>1.0144545171006791</v>
      </c>
      <c r="D1075" s="1100">
        <v>0.97516652677018545</v>
      </c>
      <c r="E1075" s="1100">
        <v>0.97527805291286829</v>
      </c>
      <c r="F1075" s="1100">
        <v>1.0169858810905414</v>
      </c>
      <c r="G1075" s="1100">
        <v>1.0008188343479636</v>
      </c>
      <c r="H1075" s="1100">
        <v>1.0354300716993956</v>
      </c>
      <c r="I1075" s="1100">
        <v>1.0218919536534712</v>
      </c>
      <c r="K1075">
        <v>2.2453262614884704</v>
      </c>
      <c r="L1075">
        <v>0</v>
      </c>
      <c r="M1075">
        <v>1.6707720301463206E-3</v>
      </c>
      <c r="N1075">
        <v>0.14104829336606373</v>
      </c>
      <c r="O1075">
        <v>1.9563508868385451E-2</v>
      </c>
      <c r="P1075">
        <v>2.5985246508706296E-2</v>
      </c>
      <c r="Q1075">
        <v>5.3210180980549256E-3</v>
      </c>
      <c r="R1075">
        <v>1.6480926908038814E-3</v>
      </c>
      <c r="S1075">
        <v>0.24904661592878549</v>
      </c>
      <c r="T1075">
        <v>1.3666571301605974</v>
      </c>
      <c r="U1075">
        <v>0.14068222654835763</v>
      </c>
      <c r="V1075">
        <v>0.18395273137401907</v>
      </c>
      <c r="W1075">
        <v>9.4044261847006316E-2</v>
      </c>
      <c r="X1075">
        <v>1.4562343117075306E-2</v>
      </c>
      <c r="Y1075">
        <v>4.4855650107586556E-3</v>
      </c>
    </row>
    <row r="1076" spans="1:25" x14ac:dyDescent="0.25">
      <c r="A1076" s="1096"/>
      <c r="B1076" s="1455">
        <v>826</v>
      </c>
      <c r="C1076" s="1100">
        <v>0.95676531652409236</v>
      </c>
      <c r="D1076" s="1100">
        <v>0.97812660592326239</v>
      </c>
      <c r="E1076" s="1100">
        <v>0.99235507614900653</v>
      </c>
      <c r="F1076" s="1100">
        <v>1.0406222805085459</v>
      </c>
      <c r="G1076" s="1100">
        <v>1.0073221989792123</v>
      </c>
      <c r="H1076" s="1100">
        <v>0.99473219541318314</v>
      </c>
      <c r="I1076" s="1100">
        <v>0.98592342389483434</v>
      </c>
      <c r="K1076">
        <v>2.3026786350081996</v>
      </c>
      <c r="L1076">
        <v>0</v>
      </c>
      <c r="M1076">
        <v>1.6417054616065857E-3</v>
      </c>
      <c r="N1076">
        <v>0.1458594881773356</v>
      </c>
      <c r="O1076">
        <v>2.0740460060872264E-2</v>
      </c>
      <c r="P1076">
        <v>2.6956450113060412E-2</v>
      </c>
      <c r="Q1076">
        <v>5.7396908339154701E-3</v>
      </c>
      <c r="R1076">
        <v>1.6185089304140206E-3</v>
      </c>
      <c r="S1076">
        <v>0.25114488810158286</v>
      </c>
      <c r="T1076">
        <v>1.398442460394185</v>
      </c>
      <c r="U1076">
        <v>0.14920580051488702</v>
      </c>
      <c r="V1076">
        <v>0.1882277731721482</v>
      </c>
      <c r="W1076">
        <v>9.6257460746257267E-2</v>
      </c>
      <c r="X1076">
        <v>1.5722311657882976E-2</v>
      </c>
      <c r="Y1076">
        <v>4.4050477672614467E-3</v>
      </c>
    </row>
    <row r="1077" spans="1:25" x14ac:dyDescent="0.25">
      <c r="A1077" s="1096"/>
      <c r="B1077" s="1455">
        <v>827</v>
      </c>
      <c r="C1077" s="1100">
        <v>0.97075216918687324</v>
      </c>
      <c r="D1077" s="1100">
        <v>0.99775974666516776</v>
      </c>
      <c r="E1077" s="1100">
        <v>0.9796476833555251</v>
      </c>
      <c r="F1077" s="1100">
        <v>0.98213217085627758</v>
      </c>
      <c r="G1077" s="1100">
        <v>0.96863756227671505</v>
      </c>
      <c r="H1077" s="1100">
        <v>1.0115653166887808</v>
      </c>
      <c r="I1077" s="1100">
        <v>0.96258330838259321</v>
      </c>
      <c r="K1077">
        <v>2.2002875739354808</v>
      </c>
      <c r="L1077">
        <v>0</v>
      </c>
      <c r="M1077">
        <v>1.6819137625971943E-3</v>
      </c>
      <c r="N1077">
        <v>0.14383223687020971</v>
      </c>
      <c r="O1077">
        <v>2.0344284473620942E-2</v>
      </c>
      <c r="P1077">
        <v>2.5399687747571134E-2</v>
      </c>
      <c r="Q1077">
        <v>5.5580436834905926E-3</v>
      </c>
      <c r="R1077">
        <v>1.65854456661099E-3</v>
      </c>
      <c r="S1077">
        <v>0.24051492128097773</v>
      </c>
      <c r="T1077">
        <v>1.3198243484420327</v>
      </c>
      <c r="U1077">
        <v>0.14702593354268542</v>
      </c>
      <c r="V1077">
        <v>0.18295030285626851</v>
      </c>
      <c r="W1077">
        <v>9.5647255625123384E-2</v>
      </c>
      <c r="X1077">
        <v>1.4699917038240974E-2</v>
      </c>
      <c r="Y1077">
        <v>4.5140115712456698E-3</v>
      </c>
    </row>
    <row r="1078" spans="1:25" x14ac:dyDescent="0.25">
      <c r="A1078" s="1096"/>
      <c r="B1078" s="1455">
        <v>828</v>
      </c>
      <c r="C1078" s="1100">
        <v>0.95588928550009211</v>
      </c>
      <c r="D1078" s="1100">
        <v>1.0149097820977528</v>
      </c>
      <c r="E1078" s="1100">
        <v>1.0126510371808564</v>
      </c>
      <c r="F1078" s="1100">
        <v>1.0279937454769146</v>
      </c>
      <c r="G1078" s="1100">
        <v>0.98768331648312935</v>
      </c>
      <c r="H1078" s="1100">
        <v>0.97149441982466567</v>
      </c>
      <c r="I1078" s="1100">
        <v>1.0231052080261418</v>
      </c>
      <c r="K1078">
        <v>2.2833064325606474</v>
      </c>
      <c r="L1078">
        <v>0</v>
      </c>
      <c r="M1078">
        <v>1.5261922462417063E-3</v>
      </c>
      <c r="N1078">
        <v>0.1441203005376584</v>
      </c>
      <c r="O1078">
        <v>2.060477801539352E-2</v>
      </c>
      <c r="P1078">
        <v>2.7149298541554911E-2</v>
      </c>
      <c r="Q1078">
        <v>5.8195035514447937E-3</v>
      </c>
      <c r="R1078">
        <v>1.5041120509983455E-3</v>
      </c>
      <c r="S1078">
        <v>0.25426474325382453</v>
      </c>
      <c r="T1078">
        <v>1.3815059207801803</v>
      </c>
      <c r="U1078">
        <v>0.14939144397142418</v>
      </c>
      <c r="V1078">
        <v>0.18608354220138573</v>
      </c>
      <c r="W1078">
        <v>9.3971537712081235E-2</v>
      </c>
      <c r="X1078">
        <v>1.6323747018528328E-2</v>
      </c>
      <c r="Y1078">
        <v>4.0936971724131422E-3</v>
      </c>
    </row>
    <row r="1079" spans="1:25" x14ac:dyDescent="0.25">
      <c r="A1079" s="1096"/>
      <c r="B1079" s="1455">
        <v>829</v>
      </c>
      <c r="C1079" s="1100">
        <v>0.99169316970041488</v>
      </c>
      <c r="D1079" s="1100">
        <v>0.99938921915584966</v>
      </c>
      <c r="E1079" s="1100">
        <v>1.0194911784341514</v>
      </c>
      <c r="F1079" s="1100">
        <v>1.0002948001689942</v>
      </c>
      <c r="G1079" s="1100">
        <v>1.0220510005834893</v>
      </c>
      <c r="H1079" s="1100">
        <v>1.0205196450714225</v>
      </c>
      <c r="I1079" s="1100">
        <v>0.97787492821542166</v>
      </c>
      <c r="K1079">
        <v>2.2316288202624577</v>
      </c>
      <c r="L1079">
        <v>0</v>
      </c>
      <c r="M1079">
        <v>1.528677124229975E-3</v>
      </c>
      <c r="N1079">
        <v>0.14746949537415407</v>
      </c>
      <c r="O1079">
        <v>1.9932636845176217E-2</v>
      </c>
      <c r="P1079">
        <v>2.652183985341329E-2</v>
      </c>
      <c r="Q1079">
        <v>5.6681637861893709E-3</v>
      </c>
      <c r="R1079">
        <v>1.5076234269465209E-3</v>
      </c>
      <c r="S1079">
        <v>0.23999143035446893</v>
      </c>
      <c r="T1079">
        <v>1.3442949742596686</v>
      </c>
      <c r="U1079">
        <v>0.14401376555505724</v>
      </c>
      <c r="V1079">
        <v>0.18773331497219367</v>
      </c>
      <c r="W1079">
        <v>9.5770114575564183E-2</v>
      </c>
      <c r="X1079">
        <v>1.6150884403633485E-2</v>
      </c>
      <c r="Y1079">
        <v>4.1032539802193062E-3</v>
      </c>
    </row>
    <row r="1080" spans="1:25" x14ac:dyDescent="0.25">
      <c r="A1080" s="1096"/>
      <c r="B1080" s="1455">
        <v>830</v>
      </c>
      <c r="C1080" s="1100">
        <v>0.99485669126727061</v>
      </c>
      <c r="D1080" s="1100">
        <v>0.99852276185124034</v>
      </c>
      <c r="E1080" s="1100">
        <v>1.0333298353032556</v>
      </c>
      <c r="F1080" s="1100">
        <v>0.9995834435257025</v>
      </c>
      <c r="G1080" s="1100">
        <v>0.98831628458268017</v>
      </c>
      <c r="H1080" s="1100">
        <v>0.97735531801438302</v>
      </c>
      <c r="I1080" s="1100">
        <v>1.0036446655982556</v>
      </c>
      <c r="K1080">
        <v>2.2200317438487658</v>
      </c>
      <c r="L1080">
        <v>0</v>
      </c>
      <c r="M1080">
        <v>1.4181743801989944E-3</v>
      </c>
      <c r="N1080">
        <v>0.14255112185064506</v>
      </c>
      <c r="O1080">
        <v>1.9881772221113484E-2</v>
      </c>
      <c r="P1080">
        <v>2.6747405616662192E-2</v>
      </c>
      <c r="Q1080">
        <v>5.7317413326301884E-3</v>
      </c>
      <c r="R1080">
        <v>1.3977799708559263E-3</v>
      </c>
      <c r="S1080">
        <v>0.24225198603200082</v>
      </c>
      <c r="T1080">
        <v>1.3433688528904448</v>
      </c>
      <c r="U1080">
        <v>0.14358797323512729</v>
      </c>
      <c r="V1080">
        <v>0.18374285070127339</v>
      </c>
      <c r="W1080">
        <v>9.1833238093252847E-2</v>
      </c>
      <c r="X1080">
        <v>1.6550899982329413E-2</v>
      </c>
      <c r="Y1080">
        <v>3.804296302626276E-3</v>
      </c>
    </row>
    <row r="1081" spans="1:25" x14ac:dyDescent="0.25">
      <c r="A1081" s="1096"/>
      <c r="B1081" s="1455">
        <v>831</v>
      </c>
      <c r="C1081" s="1100">
        <v>0.95478490743687794</v>
      </c>
      <c r="D1081" s="1100">
        <v>1.0167053603602929</v>
      </c>
      <c r="E1081" s="1100">
        <v>1.0141188164573527</v>
      </c>
      <c r="F1081" s="1100">
        <v>0.99450436890814586</v>
      </c>
      <c r="G1081" s="1100">
        <v>0.98842107083764263</v>
      </c>
      <c r="H1081" s="1100">
        <v>1.0192433862467203</v>
      </c>
      <c r="I1081" s="1100">
        <v>1.0193788194214344</v>
      </c>
      <c r="K1081">
        <v>2.2537997976312147</v>
      </c>
      <c r="L1081">
        <v>0</v>
      </c>
      <c r="M1081">
        <v>1.5975520160162377E-3</v>
      </c>
      <c r="N1081">
        <v>0.15163291006856908</v>
      </c>
      <c r="O1081">
        <v>2.0621549379746074E-2</v>
      </c>
      <c r="P1081">
        <v>2.6607334838723323E-2</v>
      </c>
      <c r="Q1081">
        <v>5.8327762830058779E-3</v>
      </c>
      <c r="R1081">
        <v>1.5755221892288895E-3</v>
      </c>
      <c r="S1081">
        <v>0.25749189664256628</v>
      </c>
      <c r="T1081">
        <v>1.3365027781030903</v>
      </c>
      <c r="U1081">
        <v>0.14956778828888084</v>
      </c>
      <c r="V1081">
        <v>0.1862401271347475</v>
      </c>
      <c r="W1081">
        <v>9.8784716296057368E-2</v>
      </c>
      <c r="X1081">
        <v>1.6251898394282642E-2</v>
      </c>
      <c r="Y1081">
        <v>4.2880520283309414E-3</v>
      </c>
    </row>
    <row r="1082" spans="1:25" x14ac:dyDescent="0.25">
      <c r="A1082" s="1096"/>
      <c r="B1082" s="1455">
        <v>832</v>
      </c>
      <c r="C1082" s="1100">
        <v>1.0215550060201424</v>
      </c>
      <c r="D1082" s="1100">
        <v>1.0227747326298129</v>
      </c>
      <c r="E1082" s="1100">
        <v>0.97506870711559224</v>
      </c>
      <c r="F1082" s="1100">
        <v>1.0164723687216195</v>
      </c>
      <c r="G1082" s="1100">
        <v>1.007574412562845</v>
      </c>
      <c r="H1082" s="1100">
        <v>0.9858724533581511</v>
      </c>
      <c r="I1082" s="1100">
        <v>0.98208386996296149</v>
      </c>
      <c r="K1082">
        <v>2.2067478798066449</v>
      </c>
      <c r="L1082">
        <v>0</v>
      </c>
      <c r="M1082">
        <v>1.5639453249691355E-3</v>
      </c>
      <c r="N1082">
        <v>0.13185496932678947</v>
      </c>
      <c r="O1082">
        <v>1.922473864412021E-2</v>
      </c>
      <c r="P1082">
        <v>2.5686119939100732E-2</v>
      </c>
      <c r="Q1082">
        <v>5.22776156721322E-3</v>
      </c>
      <c r="R1082">
        <v>1.5416489216821632E-3</v>
      </c>
      <c r="S1082">
        <v>0.22833453551004837</v>
      </c>
      <c r="T1082">
        <v>1.3659668333755324</v>
      </c>
      <c r="U1082">
        <v>0.13970392128782622</v>
      </c>
      <c r="V1082">
        <v>0.18430993000447768</v>
      </c>
      <c r="W1082">
        <v>8.7925749115273205E-2</v>
      </c>
      <c r="X1082">
        <v>1.4339757279162011E-2</v>
      </c>
      <c r="Y1082">
        <v>4.1958601603883988E-3</v>
      </c>
    </row>
    <row r="1083" spans="1:25" x14ac:dyDescent="0.25">
      <c r="A1083" s="1096"/>
      <c r="B1083" s="1455">
        <v>833</v>
      </c>
      <c r="C1083" s="1100">
        <v>0.99772218188289485</v>
      </c>
      <c r="D1083" s="1100">
        <v>0.95783399907997013</v>
      </c>
      <c r="E1083" s="1100">
        <v>0.99512794344092814</v>
      </c>
      <c r="F1083" s="1100">
        <v>1.0439979506721895</v>
      </c>
      <c r="G1083" s="1100">
        <v>1.0325305533865887</v>
      </c>
      <c r="H1083" s="1100">
        <v>1.0227787183279835</v>
      </c>
      <c r="I1083" s="1100">
        <v>1.0062387232860219</v>
      </c>
      <c r="K1083">
        <v>2.2981570301258687</v>
      </c>
      <c r="L1083">
        <v>0</v>
      </c>
      <c r="M1083">
        <v>1.6168661891709664E-3</v>
      </c>
      <c r="N1083">
        <v>0.14491859522391862</v>
      </c>
      <c r="O1083">
        <v>1.9982751930539309E-2</v>
      </c>
      <c r="P1083">
        <v>2.6989395709502269E-2</v>
      </c>
      <c r="Q1083">
        <v>5.5454921293848422E-3</v>
      </c>
      <c r="R1083">
        <v>1.594647093775093E-3</v>
      </c>
      <c r="S1083">
        <v>0.25071502467469026</v>
      </c>
      <c r="T1083">
        <v>1.4029830764050923</v>
      </c>
      <c r="U1083">
        <v>0.14308723937119502</v>
      </c>
      <c r="V1083">
        <v>0.18853466596151031</v>
      </c>
      <c r="W1083">
        <v>9.5478271615951849E-2</v>
      </c>
      <c r="X1083">
        <v>1.5604632485496386E-2</v>
      </c>
      <c r="Y1083">
        <v>4.3401037139826175E-3</v>
      </c>
    </row>
    <row r="1084" spans="1:25" x14ac:dyDescent="0.25">
      <c r="A1084" s="1096"/>
      <c r="B1084" s="1455">
        <v>834</v>
      </c>
      <c r="C1084" s="1100">
        <v>0.9841953927629461</v>
      </c>
      <c r="D1084" s="1100">
        <v>1.0070808944235443</v>
      </c>
      <c r="E1084" s="1100">
        <v>0.99155966899942571</v>
      </c>
      <c r="F1084" s="1100">
        <v>1.0082562227747081</v>
      </c>
      <c r="G1084" s="1100">
        <v>1.0066197927707594</v>
      </c>
      <c r="H1084" s="1100">
        <v>1.0044795687372094</v>
      </c>
      <c r="I1084" s="1100">
        <v>1.0035694115961127</v>
      </c>
      <c r="K1084">
        <v>2.2394453215398715</v>
      </c>
      <c r="L1084">
        <v>0</v>
      </c>
      <c r="M1084">
        <v>1.6039199176289722E-3</v>
      </c>
      <c r="N1084">
        <v>0.14217991508680297</v>
      </c>
      <c r="O1084">
        <v>2.003292315570936E-2</v>
      </c>
      <c r="P1084">
        <v>2.6195949901653855E-2</v>
      </c>
      <c r="Q1084">
        <v>5.5394373971914893E-3</v>
      </c>
      <c r="R1084">
        <v>1.5814771945947066E-3</v>
      </c>
      <c r="S1084">
        <v>0.24570429869371169</v>
      </c>
      <c r="T1084">
        <v>1.3549461286948454</v>
      </c>
      <c r="U1084">
        <v>0.14504549305825531</v>
      </c>
      <c r="V1084">
        <v>0.18641978076919824</v>
      </c>
      <c r="W1084">
        <v>9.3873840578502565E-2</v>
      </c>
      <c r="X1084">
        <v>1.5225737337167469E-2</v>
      </c>
      <c r="Y1084">
        <v>4.3042595898697055E-3</v>
      </c>
    </row>
    <row r="1085" spans="1:25" x14ac:dyDescent="0.25">
      <c r="A1085" s="1096"/>
      <c r="B1085" s="1455">
        <v>835</v>
      </c>
      <c r="C1085" s="1100">
        <v>0.96915245249289661</v>
      </c>
      <c r="D1085" s="1100">
        <v>0.98578478264317293</v>
      </c>
      <c r="E1085" s="1100">
        <v>0.98775547571649003</v>
      </c>
      <c r="F1085" s="1100">
        <v>1.0182949201198026</v>
      </c>
      <c r="G1085" s="1100">
        <v>1.0039382271001545</v>
      </c>
      <c r="H1085" s="1100">
        <v>1.0088671353594048</v>
      </c>
      <c r="I1085" s="1100">
        <v>1.0197051166694047</v>
      </c>
      <c r="K1085">
        <v>2.2729345251644784</v>
      </c>
      <c r="L1085">
        <v>0</v>
      </c>
      <c r="M1085">
        <v>1.6566408954479133E-3</v>
      </c>
      <c r="N1085">
        <v>0.14518290580723467</v>
      </c>
      <c r="O1085">
        <v>2.0437297510758939E-2</v>
      </c>
      <c r="P1085">
        <v>2.6489359398413296E-2</v>
      </c>
      <c r="Q1085">
        <v>5.6295613521698488E-3</v>
      </c>
      <c r="R1085">
        <v>1.6335612900002425E-3</v>
      </c>
      <c r="S1085">
        <v>0.25658710113298627</v>
      </c>
      <c r="T1085">
        <v>1.3684313482253281</v>
      </c>
      <c r="U1085">
        <v>0.14728783027512873</v>
      </c>
      <c r="V1085">
        <v>0.18704874279573436</v>
      </c>
      <c r="W1085">
        <v>9.6075315909328524E-2</v>
      </c>
      <c r="X1085">
        <v>1.5342127034794442E-2</v>
      </c>
      <c r="Y1085">
        <v>4.4460153280461373E-3</v>
      </c>
    </row>
    <row r="1086" spans="1:25" x14ac:dyDescent="0.25">
      <c r="A1086" s="1096"/>
      <c r="B1086" s="1455">
        <v>836</v>
      </c>
      <c r="C1086" s="1100">
        <v>1.0141470387655254</v>
      </c>
      <c r="D1086" s="1100">
        <v>0.97544361505400723</v>
      </c>
      <c r="E1086" s="1100">
        <v>0.99135687720882126</v>
      </c>
      <c r="F1086" s="1100">
        <v>0.99368639459257124</v>
      </c>
      <c r="G1086" s="1100">
        <v>1.011363365545412</v>
      </c>
      <c r="H1086" s="1100">
        <v>1.0146613023390796</v>
      </c>
      <c r="I1086" s="1100">
        <v>0.98342132729234277</v>
      </c>
      <c r="K1086">
        <v>2.2024504971457235</v>
      </c>
      <c r="L1086">
        <v>0</v>
      </c>
      <c r="M1086">
        <v>1.5840730146550906E-3</v>
      </c>
      <c r="N1086">
        <v>0.14035450460571788</v>
      </c>
      <c r="O1086">
        <v>1.9578148787629066E-2</v>
      </c>
      <c r="P1086">
        <v>2.5749959242982932E-2</v>
      </c>
      <c r="Q1086">
        <v>5.4125760401868292E-3</v>
      </c>
      <c r="R1086">
        <v>1.5621304152145974E-3</v>
      </c>
      <c r="S1086">
        <v>0.23820896197654409</v>
      </c>
      <c r="T1086">
        <v>1.3353661672646304</v>
      </c>
      <c r="U1086">
        <v>0.14076128440255931</v>
      </c>
      <c r="V1086">
        <v>0.18517585684348106</v>
      </c>
      <c r="W1086">
        <v>9.2679864581249397E-2</v>
      </c>
      <c r="X1086">
        <v>1.4933511966120767E-2</v>
      </c>
      <c r="Y1086">
        <v>4.2516040340611566E-3</v>
      </c>
    </row>
    <row r="1087" spans="1:25" x14ac:dyDescent="0.25">
      <c r="A1087" s="1096"/>
      <c r="B1087" s="1455">
        <v>837</v>
      </c>
      <c r="C1087" s="1100">
        <v>1.0081903914778598</v>
      </c>
      <c r="D1087" s="1100">
        <v>0.98133687274292802</v>
      </c>
      <c r="E1087" s="1100">
        <v>0.99483512727780743</v>
      </c>
      <c r="F1087" s="1100">
        <v>0.98185402398380062</v>
      </c>
      <c r="G1087" s="1100">
        <v>0.9813496649427802</v>
      </c>
      <c r="H1087" s="1100">
        <v>0.97178831984697756</v>
      </c>
      <c r="I1087" s="1100">
        <v>1.0027708942499645</v>
      </c>
      <c r="K1087">
        <v>2.1777567081955507</v>
      </c>
      <c r="L1087">
        <v>0</v>
      </c>
      <c r="M1087">
        <v>1.5131381962563255E-3</v>
      </c>
      <c r="N1087">
        <v>0.13540249138892824</v>
      </c>
      <c r="O1087">
        <v>1.9669903095625638E-2</v>
      </c>
      <c r="P1087">
        <v>2.5598207368543745E-2</v>
      </c>
      <c r="Q1087">
        <v>5.4570613180875719E-3</v>
      </c>
      <c r="R1087">
        <v>1.4912534812009596E-3</v>
      </c>
      <c r="S1087">
        <v>0.24019201712948515</v>
      </c>
      <c r="T1087">
        <v>1.3194701514179561</v>
      </c>
      <c r="U1087">
        <v>0.14160087246383538</v>
      </c>
      <c r="V1087">
        <v>0.18213172508072609</v>
      </c>
      <c r="W1087">
        <v>8.9224263273186541E-2</v>
      </c>
      <c r="X1087">
        <v>1.4973199989977991E-2</v>
      </c>
      <c r="Y1087">
        <v>4.0587003842510539E-3</v>
      </c>
    </row>
    <row r="1088" spans="1:25" x14ac:dyDescent="0.25">
      <c r="A1088" s="1096"/>
      <c r="B1088" s="1455">
        <v>838</v>
      </c>
      <c r="C1088" s="1100">
        <v>0.99408787111155106</v>
      </c>
      <c r="D1088" s="1100">
        <v>1.0013059536469766</v>
      </c>
      <c r="E1088" s="1100">
        <v>1.0011538146068073</v>
      </c>
      <c r="F1088" s="1100">
        <v>0.97607358948140055</v>
      </c>
      <c r="G1088" s="1100">
        <v>1.0132968180304576</v>
      </c>
      <c r="H1088" s="1100">
        <v>0.96319239600876394</v>
      </c>
      <c r="I1088" s="1100">
        <v>0.98435910887360623</v>
      </c>
      <c r="K1088">
        <v>2.1740491326768097</v>
      </c>
      <c r="L1088">
        <v>0</v>
      </c>
      <c r="M1088">
        <v>1.4945916730210802E-3</v>
      </c>
      <c r="N1088">
        <v>0.13630308635927374</v>
      </c>
      <c r="O1088">
        <v>1.9864701956092599E-2</v>
      </c>
      <c r="P1088">
        <v>2.564567348445362E-2</v>
      </c>
      <c r="Q1088">
        <v>5.5462586221572503E-3</v>
      </c>
      <c r="R1088">
        <v>1.472782284470984E-3</v>
      </c>
      <c r="S1088">
        <v>0.23608394893959711</v>
      </c>
      <c r="T1088">
        <v>1.3117116316298856</v>
      </c>
      <c r="U1088">
        <v>0.14362430748815111</v>
      </c>
      <c r="V1088">
        <v>0.18658318703580032</v>
      </c>
      <c r="W1088">
        <v>8.9480506358685985E-2</v>
      </c>
      <c r="X1088">
        <v>1.5219212315482277E-2</v>
      </c>
      <c r="Y1088">
        <v>4.0084278757804249E-3</v>
      </c>
    </row>
    <row r="1089" spans="1:25" x14ac:dyDescent="0.25">
      <c r="A1089" s="1096"/>
      <c r="B1089" s="1455">
        <v>839</v>
      </c>
      <c r="C1089" s="1100">
        <v>1.0180758312022555</v>
      </c>
      <c r="D1089" s="1100">
        <v>1.0388602505629452</v>
      </c>
      <c r="E1089" s="1100">
        <v>1.0002656134078904</v>
      </c>
      <c r="F1089" s="1100">
        <v>1.0271194165709296</v>
      </c>
      <c r="G1089" s="1100">
        <v>1.0181030205675385</v>
      </c>
      <c r="H1089" s="1100">
        <v>1.0272806006927961</v>
      </c>
      <c r="I1089" s="1100">
        <v>1.0341950517325658</v>
      </c>
      <c r="K1089">
        <v>2.253241592116197</v>
      </c>
      <c r="L1089">
        <v>0</v>
      </c>
      <c r="M1089">
        <v>1.5467695267742403E-3</v>
      </c>
      <c r="N1089">
        <v>0.14081354244483232</v>
      </c>
      <c r="O1089">
        <v>1.9239626098332768E-2</v>
      </c>
      <c r="P1089">
        <v>2.660041013945796E-2</v>
      </c>
      <c r="Q1089">
        <v>5.3669445061331061E-3</v>
      </c>
      <c r="R1089">
        <v>1.5256068549461598E-3</v>
      </c>
      <c r="S1089">
        <v>0.24294483772119321</v>
      </c>
      <c r="T1089">
        <v>1.3803088915676722</v>
      </c>
      <c r="U1089">
        <v>0.14023821462728692</v>
      </c>
      <c r="V1089">
        <v>0.18571956259694833</v>
      </c>
      <c r="W1089">
        <v>9.2490324301662305E-2</v>
      </c>
      <c r="X1089">
        <v>1.5388201841504235E-2</v>
      </c>
      <c r="Y1089">
        <v>4.1521989429988753E-3</v>
      </c>
    </row>
    <row r="1090" spans="1:25" x14ac:dyDescent="0.25">
      <c r="A1090" s="1096"/>
      <c r="B1090" s="1455">
        <v>840</v>
      </c>
      <c r="C1090" s="1100">
        <v>0.99226975514616045</v>
      </c>
      <c r="D1090" s="1100">
        <v>1.0305340679054018</v>
      </c>
      <c r="E1090" s="1100">
        <v>0.99715563211512381</v>
      </c>
      <c r="F1090" s="1100">
        <v>1.0139334130532167</v>
      </c>
      <c r="G1090" s="1100">
        <v>0.98636109167673647</v>
      </c>
      <c r="H1090" s="1100">
        <v>1.0093404959538455</v>
      </c>
      <c r="I1090" s="1100">
        <v>0.97646187131123086</v>
      </c>
      <c r="K1090">
        <v>2.2309811993005151</v>
      </c>
      <c r="L1090">
        <v>0</v>
      </c>
      <c r="M1090">
        <v>1.5721520219757923E-3</v>
      </c>
      <c r="N1090">
        <v>0.14175072219723242</v>
      </c>
      <c r="O1090">
        <v>1.9773026298064617E-2</v>
      </c>
      <c r="P1090">
        <v>2.6208537307973571E-2</v>
      </c>
      <c r="Q1090">
        <v>5.4985098624010685E-3</v>
      </c>
      <c r="R1090">
        <v>1.5502597508788782E-3</v>
      </c>
      <c r="S1090">
        <v>0.234852893125052</v>
      </c>
      <c r="T1090">
        <v>1.3625837630730846</v>
      </c>
      <c r="U1090">
        <v>0.14387819186282183</v>
      </c>
      <c r="V1090">
        <v>0.18364427802259939</v>
      </c>
      <c r="W1090">
        <v>9.3278322507241287E-2</v>
      </c>
      <c r="X1090">
        <v>1.5315551316238666E-2</v>
      </c>
      <c r="Y1090">
        <v>4.2192959989027761E-3</v>
      </c>
    </row>
    <row r="1091" spans="1:25" x14ac:dyDescent="0.25">
      <c r="A1091" s="1096"/>
      <c r="B1091" s="1455">
        <v>841</v>
      </c>
      <c r="C1091" s="1100">
        <v>1.001916921233895</v>
      </c>
      <c r="D1091" s="1100">
        <v>0.98830132793221548</v>
      </c>
      <c r="E1091" s="1100">
        <v>0.99045275243771824</v>
      </c>
      <c r="F1091" s="1100">
        <v>0.9611803707004718</v>
      </c>
      <c r="G1091" s="1100">
        <v>0.9804561748914552</v>
      </c>
      <c r="H1091" s="1100">
        <v>1.025643504943883</v>
      </c>
      <c r="I1091" s="1100">
        <v>1.002270697568967</v>
      </c>
      <c r="K1091">
        <v>2.1687406621122367</v>
      </c>
      <c r="L1091">
        <v>0</v>
      </c>
      <c r="M1091">
        <v>1.6191306548807168E-3</v>
      </c>
      <c r="N1091">
        <v>0.14309065712845487</v>
      </c>
      <c r="O1091">
        <v>1.9759559137713177E-2</v>
      </c>
      <c r="P1091">
        <v>2.5218485594396295E-2</v>
      </c>
      <c r="Q1091">
        <v>5.4577413798223397E-3</v>
      </c>
      <c r="R1091">
        <v>1.5969425894404225E-3</v>
      </c>
      <c r="S1091">
        <v>0.24501088231499699</v>
      </c>
      <c r="T1091">
        <v>1.2916817126374849</v>
      </c>
      <c r="U1091">
        <v>0.14247744313278951</v>
      </c>
      <c r="V1091">
        <v>0.18239531866382644</v>
      </c>
      <c r="W1091">
        <v>9.4537773496886274E-2</v>
      </c>
      <c r="X1091">
        <v>1.4786925394831176E-2</v>
      </c>
      <c r="Y1091">
        <v>4.3463512964737033E-3</v>
      </c>
    </row>
    <row r="1092" spans="1:25" x14ac:dyDescent="0.25">
      <c r="A1092" s="1096"/>
      <c r="B1092" s="1455">
        <v>842</v>
      </c>
      <c r="C1092" s="1100">
        <v>0.99376479864394351</v>
      </c>
      <c r="D1092" s="1100">
        <v>0.98810731951127573</v>
      </c>
      <c r="E1092" s="1100">
        <v>1.0414860640597996</v>
      </c>
      <c r="F1092" s="1100">
        <v>0.96790616620877223</v>
      </c>
      <c r="G1092" s="1100">
        <v>1.033349492101086</v>
      </c>
      <c r="H1092" s="1100">
        <v>1.0034361483582634</v>
      </c>
      <c r="I1092" s="1100">
        <v>0.99933588728833445</v>
      </c>
      <c r="K1092">
        <v>2.1941142326436838</v>
      </c>
      <c r="L1092">
        <v>0</v>
      </c>
      <c r="M1092">
        <v>1.4363371780394321E-3</v>
      </c>
      <c r="N1092">
        <v>0.14802481072353293</v>
      </c>
      <c r="O1092">
        <v>1.9954753797581014E-2</v>
      </c>
      <c r="P1092">
        <v>2.6419456359094522E-2</v>
      </c>
      <c r="Q1092">
        <v>5.7991698586328851E-3</v>
      </c>
      <c r="R1092">
        <v>1.4162184446014213E-3</v>
      </c>
      <c r="S1092">
        <v>0.24492351637299759</v>
      </c>
      <c r="T1092">
        <v>1.3008157360219406</v>
      </c>
      <c r="U1092">
        <v>0.14376474115048324</v>
      </c>
      <c r="V1092">
        <v>0.18890607443530635</v>
      </c>
      <c r="W1092">
        <v>9.4911647662352924E-2</v>
      </c>
      <c r="X1092">
        <v>1.6759965245279194E-2</v>
      </c>
      <c r="Y1092">
        <v>3.8544797499202752E-3</v>
      </c>
    </row>
    <row r="1093" spans="1:25" x14ac:dyDescent="0.25">
      <c r="A1093" s="1096"/>
      <c r="B1093" s="1455">
        <v>843</v>
      </c>
      <c r="C1093" s="1100">
        <v>1.0036764955734567</v>
      </c>
      <c r="D1093" s="1100">
        <v>1.0042400828175111</v>
      </c>
      <c r="E1093" s="1100">
        <v>0.97368189571786434</v>
      </c>
      <c r="F1093" s="1100">
        <v>1.0232900038013528</v>
      </c>
      <c r="G1093" s="1100">
        <v>0.99278330848040608</v>
      </c>
      <c r="H1093" s="1100">
        <v>0.97307268460451712</v>
      </c>
      <c r="I1093" s="1100">
        <v>0.97805987970045394</v>
      </c>
      <c r="K1093">
        <v>2.2245071293781598</v>
      </c>
      <c r="L1093">
        <v>0</v>
      </c>
      <c r="M1093">
        <v>1.5819972613146747E-3</v>
      </c>
      <c r="N1093">
        <v>0.13279293558916105</v>
      </c>
      <c r="O1093">
        <v>1.9645215605967072E-2</v>
      </c>
      <c r="P1093">
        <v>2.5862714257653904E-2</v>
      </c>
      <c r="Q1093">
        <v>5.3345531400689006E-3</v>
      </c>
      <c r="R1093">
        <v>1.559146828912729E-3</v>
      </c>
      <c r="S1093">
        <v>0.23256036102805835</v>
      </c>
      <c r="T1093">
        <v>1.3751271192873276</v>
      </c>
      <c r="U1093">
        <v>0.14218930217557244</v>
      </c>
      <c r="V1093">
        <v>0.1836707624091318</v>
      </c>
      <c r="W1093">
        <v>8.8625734242607931E-2</v>
      </c>
      <c r="X1093">
        <v>1.4477798379324461E-2</v>
      </c>
      <c r="Y1093">
        <v>4.2434836956864314E-3</v>
      </c>
    </row>
    <row r="1094" spans="1:25" x14ac:dyDescent="0.25">
      <c r="A1094" s="1096"/>
      <c r="B1094" s="1455">
        <v>844</v>
      </c>
      <c r="C1094" s="1100">
        <v>0.99084863462999939</v>
      </c>
      <c r="D1094" s="1100">
        <v>1.0053295193068945</v>
      </c>
      <c r="E1094" s="1100">
        <v>1.01627230481575</v>
      </c>
      <c r="F1094" s="1100">
        <v>0.98604740793463053</v>
      </c>
      <c r="G1094" s="1100">
        <v>0.98912439373956884</v>
      </c>
      <c r="H1094" s="1100">
        <v>0.97599422182182793</v>
      </c>
      <c r="I1094" s="1100">
        <v>1.0060183305952815</v>
      </c>
      <c r="K1094">
        <v>2.199461057214632</v>
      </c>
      <c r="L1094">
        <v>0</v>
      </c>
      <c r="M1094">
        <v>1.4711370379170458E-3</v>
      </c>
      <c r="N1094">
        <v>0.140457473405528</v>
      </c>
      <c r="O1094">
        <v>1.9921600390125485E-2</v>
      </c>
      <c r="P1094">
        <v>2.6183588482484286E-2</v>
      </c>
      <c r="Q1094">
        <v>5.6469050610008318E-3</v>
      </c>
      <c r="R1094">
        <v>1.4499514822233625E-3</v>
      </c>
      <c r="S1094">
        <v>0.24273737886849436</v>
      </c>
      <c r="T1094">
        <v>1.325141644308254</v>
      </c>
      <c r="U1094">
        <v>0.14412901375094314</v>
      </c>
      <c r="V1094">
        <v>0.18405962728736222</v>
      </c>
      <c r="W1094">
        <v>9.138857324854964E-2</v>
      </c>
      <c r="X1094">
        <v>1.5870148009347249E-2</v>
      </c>
      <c r="Y1094">
        <v>3.9462899582343369E-3</v>
      </c>
    </row>
    <row r="1095" spans="1:25" x14ac:dyDescent="0.25">
      <c r="A1095" s="1096"/>
      <c r="B1095" s="1455">
        <v>845</v>
      </c>
      <c r="C1095" s="1100">
        <v>1.0402762485560766</v>
      </c>
      <c r="D1095" s="1100">
        <v>0.9988602034037537</v>
      </c>
      <c r="E1095" s="1100">
        <v>0.99878854361641556</v>
      </c>
      <c r="F1095" s="1100">
        <v>0.96790370545618742</v>
      </c>
      <c r="G1095" s="1100">
        <v>0.9965579407858548</v>
      </c>
      <c r="H1095" s="1100">
        <v>1.0043132376555584</v>
      </c>
      <c r="I1095" s="1100">
        <v>0.99181487517919398</v>
      </c>
      <c r="K1095">
        <v>2.1438522019442208</v>
      </c>
      <c r="L1095">
        <v>0</v>
      </c>
      <c r="M1095">
        <v>1.4973358387879792E-3</v>
      </c>
      <c r="N1095">
        <v>0.13566321916460444</v>
      </c>
      <c r="O1095">
        <v>1.8991502220612303E-2</v>
      </c>
      <c r="P1095">
        <v>2.5228613654830243E-2</v>
      </c>
      <c r="Q1095">
        <v>5.2898678306352066E-3</v>
      </c>
      <c r="R1095">
        <v>1.4763810151816148E-3</v>
      </c>
      <c r="S1095">
        <v>0.23071522263170913</v>
      </c>
      <c r="T1095">
        <v>1.3007287628753383</v>
      </c>
      <c r="U1095">
        <v>0.13724213802891699</v>
      </c>
      <c r="V1095">
        <v>0.18203939418324686</v>
      </c>
      <c r="W1095">
        <v>8.918573612162782E-2</v>
      </c>
      <c r="X1095">
        <v>1.477047762184929E-2</v>
      </c>
      <c r="Y1095">
        <v>4.0182224344535011E-3</v>
      </c>
    </row>
    <row r="1096" spans="1:25" x14ac:dyDescent="0.25">
      <c r="A1096" s="1096"/>
      <c r="B1096" s="1455">
        <v>846</v>
      </c>
      <c r="C1096" s="1100">
        <v>0.96762543459573802</v>
      </c>
      <c r="D1096" s="1100">
        <v>1.0103073589239997</v>
      </c>
      <c r="E1096" s="1100">
        <v>1.0006530989865348</v>
      </c>
      <c r="F1096" s="1100">
        <v>1.0079662109530168</v>
      </c>
      <c r="G1096" s="1100">
        <v>1.0327122620070162</v>
      </c>
      <c r="H1096" s="1100">
        <v>1.0238385730024742</v>
      </c>
      <c r="I1096" s="1100">
        <v>0.98865248064005662</v>
      </c>
      <c r="K1096">
        <v>2.2588004939595954</v>
      </c>
      <c r="L1096">
        <v>0</v>
      </c>
      <c r="M1096">
        <v>1.6306267397049954E-3</v>
      </c>
      <c r="N1096">
        <v>0.14861461626566982</v>
      </c>
      <c r="O1096">
        <v>2.0367493996178352E-2</v>
      </c>
      <c r="P1096">
        <v>2.6482268708643879E-2</v>
      </c>
      <c r="Q1096">
        <v>5.6837790300189863E-3</v>
      </c>
      <c r="R1096">
        <v>1.6082417422590839E-3</v>
      </c>
      <c r="S1096">
        <v>0.24745813542887332</v>
      </c>
      <c r="T1096">
        <v>1.3545702122056118</v>
      </c>
      <c r="U1096">
        <v>0.14755092621288987</v>
      </c>
      <c r="V1096">
        <v>0.19040943496299317</v>
      </c>
      <c r="W1096">
        <v>9.7591820758756942E-2</v>
      </c>
      <c r="X1096">
        <v>1.5717087521724293E-2</v>
      </c>
      <c r="Y1096">
        <v>4.3771038656813723E-3</v>
      </c>
    </row>
    <row r="1097" spans="1:25" x14ac:dyDescent="0.25">
      <c r="A1097" s="1096"/>
      <c r="B1097" s="1455">
        <v>847</v>
      </c>
      <c r="C1097" s="1100">
        <v>0.99867284877134022</v>
      </c>
      <c r="D1097" s="1100">
        <v>1.0081824517771563</v>
      </c>
      <c r="E1097" s="1100">
        <v>0.99230592310774401</v>
      </c>
      <c r="F1097" s="1100">
        <v>1.0023792378064378</v>
      </c>
      <c r="G1097" s="1100">
        <v>1.0250326969819616</v>
      </c>
      <c r="H1097" s="1100">
        <v>0.97488705621318983</v>
      </c>
      <c r="I1097" s="1100">
        <v>1.0172048207342008</v>
      </c>
      <c r="K1097">
        <v>2.2166866315622049</v>
      </c>
      <c r="L1097">
        <v>0</v>
      </c>
      <c r="M1097">
        <v>1.5313627784400224E-3</v>
      </c>
      <c r="N1097">
        <v>0.13599604427978709</v>
      </c>
      <c r="O1097">
        <v>1.9738229680782777E-2</v>
      </c>
      <c r="P1097">
        <v>2.6053268759411167E-2</v>
      </c>
      <c r="Q1097">
        <v>5.4620637388688581E-3</v>
      </c>
      <c r="R1097">
        <v>1.5092848785605631E-3</v>
      </c>
      <c r="S1097">
        <v>0.24289426207282694</v>
      </c>
      <c r="T1097">
        <v>1.3470493960754004</v>
      </c>
      <c r="U1097">
        <v>0.14294453093816661</v>
      </c>
      <c r="V1097">
        <v>0.18762809574076153</v>
      </c>
      <c r="W1097">
        <v>8.9750888445521371E-2</v>
      </c>
      <c r="X1097">
        <v>1.508415382674049E-2</v>
      </c>
      <c r="Y1097">
        <v>4.1077759038153517E-3</v>
      </c>
    </row>
    <row r="1098" spans="1:25" x14ac:dyDescent="0.25">
      <c r="A1098" s="1096"/>
      <c r="B1098" s="1455">
        <v>848</v>
      </c>
      <c r="C1098" s="1100">
        <v>0.98994849510662652</v>
      </c>
      <c r="D1098" s="1100">
        <v>0.98426304285896626</v>
      </c>
      <c r="E1098" s="1100">
        <v>0.9765887764210206</v>
      </c>
      <c r="F1098" s="1100">
        <v>1.0040021377154222</v>
      </c>
      <c r="G1098" s="1100">
        <v>0.98790759562068686</v>
      </c>
      <c r="H1098" s="1100">
        <v>0.9967110572833765</v>
      </c>
      <c r="I1098" s="1100">
        <v>0.9529660632572664</v>
      </c>
      <c r="K1098">
        <v>2.2128001438416325</v>
      </c>
      <c r="L1098">
        <v>0</v>
      </c>
      <c r="M1098">
        <v>1.6402961021044263E-3</v>
      </c>
      <c r="N1098">
        <v>0.13895158719475509</v>
      </c>
      <c r="O1098">
        <v>2.0007717729665687E-2</v>
      </c>
      <c r="P1098">
        <v>2.5621027599370648E-2</v>
      </c>
      <c r="Q1098">
        <v>5.4491080795706177E-3</v>
      </c>
      <c r="R1098">
        <v>1.617165499167642E-3</v>
      </c>
      <c r="S1098">
        <v>0.23391449894071023</v>
      </c>
      <c r="T1098">
        <v>1.3492105745642082</v>
      </c>
      <c r="U1098">
        <v>0.14416782981346138</v>
      </c>
      <c r="V1098">
        <v>0.18394137312754849</v>
      </c>
      <c r="W1098">
        <v>9.2572746254820468E-2</v>
      </c>
      <c r="X1098">
        <v>1.4585419750189035E-2</v>
      </c>
      <c r="Y1098">
        <v>4.4013913902707941E-3</v>
      </c>
    </row>
    <row r="1099" spans="1:25" x14ac:dyDescent="0.25">
      <c r="A1099" s="1096"/>
      <c r="B1099" s="1455">
        <v>849</v>
      </c>
      <c r="C1099" s="1100">
        <v>1.0098962072482087</v>
      </c>
      <c r="D1099" s="1100">
        <v>1.0245051259046161</v>
      </c>
      <c r="E1099" s="1100">
        <v>0.98058488159366508</v>
      </c>
      <c r="F1099" s="1100">
        <v>1.0168770541415506</v>
      </c>
      <c r="G1099" s="1100">
        <v>1.0070085130033546</v>
      </c>
      <c r="H1099" s="1100">
        <v>0.98775671074851379</v>
      </c>
      <c r="I1099" s="1100">
        <v>0.9624145425750209</v>
      </c>
      <c r="K1099">
        <v>2.2119915745732865</v>
      </c>
      <c r="L1099">
        <v>0</v>
      </c>
      <c r="M1099">
        <v>1.5664710431890273E-3</v>
      </c>
      <c r="N1099">
        <v>0.13429469357446813</v>
      </c>
      <c r="O1099">
        <v>1.9442830635002722E-2</v>
      </c>
      <c r="P1099">
        <v>2.5804726432663971E-2</v>
      </c>
      <c r="Q1099">
        <v>5.3168290457267092E-3</v>
      </c>
      <c r="R1099">
        <v>1.5441812335677061E-3</v>
      </c>
      <c r="S1099">
        <v>0.22633695635083409</v>
      </c>
      <c r="T1099">
        <v>1.3665168682579094</v>
      </c>
      <c r="U1099">
        <v>0.14132927099050924</v>
      </c>
      <c r="V1099">
        <v>0.18492068636655615</v>
      </c>
      <c r="W1099">
        <v>8.9254348835534777E-2</v>
      </c>
      <c r="X1099">
        <v>1.4593901615138139E-2</v>
      </c>
      <c r="Y1099">
        <v>4.2027522785644577E-3</v>
      </c>
    </row>
    <row r="1100" spans="1:25" x14ac:dyDescent="0.25">
      <c r="A1100" s="1096"/>
      <c r="B1100" s="1455">
        <v>850</v>
      </c>
      <c r="C1100" s="1100">
        <v>1.0459437994104985</v>
      </c>
      <c r="D1100" s="1100">
        <v>0.98919268881606504</v>
      </c>
      <c r="E1100" s="1100">
        <v>1.0331748058663481</v>
      </c>
      <c r="F1100" s="1100">
        <v>0.99251603092632912</v>
      </c>
      <c r="G1100" s="1100">
        <v>0.9991007885942792</v>
      </c>
      <c r="H1100" s="1100">
        <v>1.0218282850161349</v>
      </c>
      <c r="I1100" s="1100">
        <v>1.0289337678657613</v>
      </c>
      <c r="K1100">
        <v>2.1978802796355681</v>
      </c>
      <c r="L1100">
        <v>0</v>
      </c>
      <c r="M1100">
        <v>1.4136587049729855E-3</v>
      </c>
      <c r="N1100">
        <v>0.14212103378763774</v>
      </c>
      <c r="O1100">
        <v>1.8949689036109871E-2</v>
      </c>
      <c r="P1100">
        <v>2.6470332728510258E-2</v>
      </c>
      <c r="Q1100">
        <v>5.462194090175349E-3</v>
      </c>
      <c r="R1100">
        <v>1.3942140326652305E-3</v>
      </c>
      <c r="S1100">
        <v>0.24085740311346177</v>
      </c>
      <c r="T1100">
        <v>1.3338703998495385</v>
      </c>
      <c r="U1100">
        <v>0.13657435258993131</v>
      </c>
      <c r="V1100">
        <v>0.18204754405517454</v>
      </c>
      <c r="W1100">
        <v>9.1564388506886876E-2</v>
      </c>
      <c r="X1100">
        <v>1.6187795556068044E-2</v>
      </c>
      <c r="Y1100">
        <v>3.7945909943824102E-3</v>
      </c>
    </row>
    <row r="1101" spans="1:25" x14ac:dyDescent="0.25">
      <c r="A1101" s="1096"/>
      <c r="B1101" s="1455">
        <v>851</v>
      </c>
      <c r="C1101" s="1100">
        <v>0.98702445920287873</v>
      </c>
      <c r="D1101" s="1100">
        <v>1.0016912889248326</v>
      </c>
      <c r="E1101" s="1100">
        <v>1.0074773984703553</v>
      </c>
      <c r="F1101" s="1100">
        <v>1.0107670713252956</v>
      </c>
      <c r="G1101" s="1100">
        <v>1.0006089894285031</v>
      </c>
      <c r="H1101" s="1100">
        <v>1.0023840534871773</v>
      </c>
      <c r="I1101" s="1100">
        <v>1.0127241316869979</v>
      </c>
      <c r="K1101">
        <v>2.2464146939708507</v>
      </c>
      <c r="L1101">
        <v>0</v>
      </c>
      <c r="M1101">
        <v>1.5459779471145047E-3</v>
      </c>
      <c r="N1101">
        <v>0.14379120695337841</v>
      </c>
      <c r="O1101">
        <v>2.0009168947993622E-2</v>
      </c>
      <c r="P1101">
        <v>2.6568201147747446E-2</v>
      </c>
      <c r="Q1101">
        <v>5.6221322337137768E-3</v>
      </c>
      <c r="R1101">
        <v>1.5243007502157716E-3</v>
      </c>
      <c r="S1101">
        <v>0.24784871466153302</v>
      </c>
      <c r="T1101">
        <v>1.3583457790506754</v>
      </c>
      <c r="U1101">
        <v>0.14466688177150744</v>
      </c>
      <c r="V1101">
        <v>0.18558176471439375</v>
      </c>
      <c r="W1101">
        <v>9.4043410552659357E-2</v>
      </c>
      <c r="X1101">
        <v>1.5810466977668237E-2</v>
      </c>
      <c r="Y1101">
        <v>4.1486441564800667E-3</v>
      </c>
    </row>
    <row r="1102" spans="1:25" x14ac:dyDescent="0.25">
      <c r="A1102" s="1096"/>
      <c r="B1102" s="1455">
        <v>852</v>
      </c>
      <c r="C1102" s="1100">
        <v>0.99540007837993627</v>
      </c>
      <c r="D1102" s="1100">
        <v>1.0087257783543109</v>
      </c>
      <c r="E1102" s="1100">
        <v>1.0284433620875117</v>
      </c>
      <c r="F1102" s="1100">
        <v>1.0231748962052065</v>
      </c>
      <c r="G1102" s="1100">
        <v>1.019959932446354</v>
      </c>
      <c r="H1102" s="1100">
        <v>0.97467698365957089</v>
      </c>
      <c r="I1102" s="1100">
        <v>1.0272995398101286</v>
      </c>
      <c r="K1102">
        <v>2.257486493737805</v>
      </c>
      <c r="L1102">
        <v>0</v>
      </c>
      <c r="M1102">
        <v>1.4247940761181973E-3</v>
      </c>
      <c r="N1102">
        <v>0.14111678593033719</v>
      </c>
      <c r="O1102">
        <v>1.9823450689250618E-2</v>
      </c>
      <c r="P1102">
        <v>2.7198922207482226E-2</v>
      </c>
      <c r="Q1102">
        <v>5.6873975602325776E-3</v>
      </c>
      <c r="R1102">
        <v>1.404248166795438E-3</v>
      </c>
      <c r="S1102">
        <v>0.2463093460877992</v>
      </c>
      <c r="T1102">
        <v>1.3750628111445808</v>
      </c>
      <c r="U1102">
        <v>0.14349823406052067</v>
      </c>
      <c r="V1102">
        <v>0.18728234170696845</v>
      </c>
      <c r="W1102">
        <v>9.1167269235563744E-2</v>
      </c>
      <c r="X1102">
        <v>1.6538580424658351E-2</v>
      </c>
      <c r="Y1102">
        <v>3.8219005997334088E-3</v>
      </c>
    </row>
    <row r="1103" spans="1:25" x14ac:dyDescent="0.25">
      <c r="A1103" s="1096"/>
      <c r="B1103" s="1455">
        <v>853</v>
      </c>
      <c r="C1103" s="1100">
        <v>1.0127033080964498</v>
      </c>
      <c r="D1103" s="1100">
        <v>1.0431049501677656</v>
      </c>
      <c r="E1103" s="1100">
        <v>1.0058977533154185</v>
      </c>
      <c r="F1103" s="1100">
        <v>0.9996152098495511</v>
      </c>
      <c r="G1103" s="1100">
        <v>1.032886627788582</v>
      </c>
      <c r="H1103" s="1100">
        <v>1.0051559075963654</v>
      </c>
      <c r="I1103" s="1100">
        <v>1.0112742425072345</v>
      </c>
      <c r="K1103">
        <v>2.2091393249267237</v>
      </c>
      <c r="L1103">
        <v>0</v>
      </c>
      <c r="M1103">
        <v>1.5024570528954294E-3</v>
      </c>
      <c r="N1103">
        <v>0.13908378536309102</v>
      </c>
      <c r="O1103">
        <v>1.9327795392336949E-2</v>
      </c>
      <c r="P1103">
        <v>2.6156704280941384E-2</v>
      </c>
      <c r="Q1103">
        <v>5.4220970328955837E-3</v>
      </c>
      <c r="R1103">
        <v>1.4814481867448629E-3</v>
      </c>
      <c r="S1103">
        <v>0.2366311479302852</v>
      </c>
      <c r="T1103">
        <v>1.3433563155518895</v>
      </c>
      <c r="U1103">
        <v>0.14099500710792451</v>
      </c>
      <c r="V1103">
        <v>0.18770464149428026</v>
      </c>
      <c r="W1103">
        <v>9.1049619980043975E-2</v>
      </c>
      <c r="X1103">
        <v>1.5401206054126478E-2</v>
      </c>
      <c r="Y1103">
        <v>4.0320136050560063E-3</v>
      </c>
    </row>
    <row r="1104" spans="1:25" x14ac:dyDescent="0.25">
      <c r="A1104" s="1096"/>
      <c r="B1104" s="1455">
        <v>854</v>
      </c>
      <c r="C1104" s="1100">
        <v>1.0036550399957711</v>
      </c>
      <c r="D1104" s="1100">
        <v>0.98645012778476049</v>
      </c>
      <c r="E1104" s="1100">
        <v>1.00318497330032</v>
      </c>
      <c r="F1104" s="1100">
        <v>1.0268924922704024</v>
      </c>
      <c r="G1104" s="1100">
        <v>1.0047482793511775</v>
      </c>
      <c r="H1104" s="1100">
        <v>1.0199639179799189</v>
      </c>
      <c r="I1104" s="1100">
        <v>1.0037693579876572</v>
      </c>
      <c r="K1104">
        <v>2.262080020777582</v>
      </c>
      <c r="L1104">
        <v>0</v>
      </c>
      <c r="M1104">
        <v>1.5661465153395308E-3</v>
      </c>
      <c r="N1104">
        <v>0.14382619330887</v>
      </c>
      <c r="O1104">
        <v>1.9741421894922916E-2</v>
      </c>
      <c r="P1104">
        <v>2.6698372075411907E-2</v>
      </c>
      <c r="Q1104">
        <v>5.5230899907183287E-3</v>
      </c>
      <c r="R1104">
        <v>1.544565018803264E-3</v>
      </c>
      <c r="S1104">
        <v>0.24482320328444662</v>
      </c>
      <c r="T1104">
        <v>1.3800088212080066</v>
      </c>
      <c r="U1104">
        <v>0.14225989442258508</v>
      </c>
      <c r="V1104">
        <v>0.18504981047247487</v>
      </c>
      <c r="W1104">
        <v>9.4305569424989924E-2</v>
      </c>
      <c r="X1104">
        <v>1.566142937622839E-2</v>
      </c>
      <c r="Y1104">
        <v>4.2037968154608769E-3</v>
      </c>
    </row>
    <row r="1105" spans="1:25" x14ac:dyDescent="0.25">
      <c r="A1105" s="1096"/>
      <c r="B1105" s="1455">
        <v>855</v>
      </c>
      <c r="C1105" s="1100">
        <v>0.96746783509308809</v>
      </c>
      <c r="D1105" s="1100">
        <v>0.97895834489689748</v>
      </c>
      <c r="E1105" s="1100">
        <v>0.99053549113443384</v>
      </c>
      <c r="F1105" s="1100">
        <v>0.98331065563496634</v>
      </c>
      <c r="G1105" s="1100">
        <v>0.9769716367189123</v>
      </c>
      <c r="H1105" s="1100">
        <v>1.0005113693723509</v>
      </c>
      <c r="I1105" s="1100">
        <v>0.96103797838817673</v>
      </c>
      <c r="K1105">
        <v>2.2074004449019839</v>
      </c>
      <c r="L1105">
        <v>0</v>
      </c>
      <c r="M1105">
        <v>1.6388370616195933E-3</v>
      </c>
      <c r="N1105">
        <v>0.1448178838959451</v>
      </c>
      <c r="O1105">
        <v>2.0506006867337948E-2</v>
      </c>
      <c r="P1105">
        <v>2.5680102036712421E-2</v>
      </c>
      <c r="Q1105">
        <v>5.6643895124574573E-3</v>
      </c>
      <c r="R1105">
        <v>1.6158148137449797E-3</v>
      </c>
      <c r="S1105">
        <v>0.24244253762654652</v>
      </c>
      <c r="T1105">
        <v>1.3214215965509628</v>
      </c>
      <c r="U1105">
        <v>0.14755090163661669</v>
      </c>
      <c r="V1105">
        <v>0.1841095172663543</v>
      </c>
      <c r="W1105">
        <v>9.5674184976328347E-2</v>
      </c>
      <c r="X1105">
        <v>1.5158631510792973E-2</v>
      </c>
      <c r="Y1105">
        <v>4.3977152698036377E-3</v>
      </c>
    </row>
    <row r="1106" spans="1:25" x14ac:dyDescent="0.25">
      <c r="A1106" s="1096"/>
      <c r="B1106" s="1455">
        <v>856</v>
      </c>
      <c r="C1106" s="1100">
        <v>1.0005212335869613</v>
      </c>
      <c r="D1106" s="1100">
        <v>1.0150070058170804</v>
      </c>
      <c r="E1106" s="1100">
        <v>0.95833756022068728</v>
      </c>
      <c r="F1106" s="1100">
        <v>1.0354015748528576</v>
      </c>
      <c r="G1106" s="1100">
        <v>0.99060124619937273</v>
      </c>
      <c r="H1106" s="1100">
        <v>0.9821556635196218</v>
      </c>
      <c r="I1106" s="1100">
        <v>0.99800532068056758</v>
      </c>
      <c r="K1106">
        <v>2.2454274157384653</v>
      </c>
      <c r="L1106">
        <v>0</v>
      </c>
      <c r="M1106">
        <v>1.6494450161733129E-3</v>
      </c>
      <c r="N1106">
        <v>0.13218503616273955</v>
      </c>
      <c r="O1106">
        <v>1.965149127539987E-2</v>
      </c>
      <c r="P1106">
        <v>2.5842714922551659E-2</v>
      </c>
      <c r="Q1106">
        <v>5.2530370398448769E-3</v>
      </c>
      <c r="R1106">
        <v>1.6258406961221202E-3</v>
      </c>
      <c r="S1106">
        <v>0.23739376856200844</v>
      </c>
      <c r="T1106">
        <v>1.3913895940149461</v>
      </c>
      <c r="U1106">
        <v>0.14260260028450186</v>
      </c>
      <c r="V1106">
        <v>0.18359777513741557</v>
      </c>
      <c r="W1106">
        <v>8.9050422942057117E-2</v>
      </c>
      <c r="X1106">
        <v>1.4059577300448885E-2</v>
      </c>
      <c r="Y1106">
        <v>4.4250024166029769E-3</v>
      </c>
    </row>
    <row r="1107" spans="1:25" x14ac:dyDescent="0.25">
      <c r="A1107" s="1096"/>
      <c r="B1107" s="1455">
        <v>857</v>
      </c>
      <c r="C1107" s="1100">
        <v>1.0034642730148433</v>
      </c>
      <c r="D1107" s="1100">
        <v>0.98718640443195393</v>
      </c>
      <c r="E1107" s="1100">
        <v>1.000210940575357</v>
      </c>
      <c r="F1107" s="1100">
        <v>1.0139465049647163</v>
      </c>
      <c r="G1107" s="1100">
        <v>1.0018883014566016</v>
      </c>
      <c r="H1107" s="1100">
        <v>0.99743927469707039</v>
      </c>
      <c r="I1107" s="1100">
        <v>1.0176547092198136</v>
      </c>
      <c r="K1107">
        <v>2.2394734539820407</v>
      </c>
      <c r="L1107">
        <v>0</v>
      </c>
      <c r="M1107">
        <v>1.541080072117552E-3</v>
      </c>
      <c r="N1107">
        <v>0.14021420444565527</v>
      </c>
      <c r="O1107">
        <v>1.9740076970698697E-2</v>
      </c>
      <c r="P1107">
        <v>2.6418085599540855E-2</v>
      </c>
      <c r="Q1107">
        <v>5.5062440289925692E-3</v>
      </c>
      <c r="R1107">
        <v>1.5193644279512082E-3</v>
      </c>
      <c r="S1107">
        <v>0.24630565115812406</v>
      </c>
      <c r="T1107">
        <v>1.3626062002640822</v>
      </c>
      <c r="U1107">
        <v>0.1422801138850314</v>
      </c>
      <c r="V1107">
        <v>0.18473515746182978</v>
      </c>
      <c r="W1107">
        <v>9.2099654247057669E-2</v>
      </c>
      <c r="X1107">
        <v>1.5454572450660339E-2</v>
      </c>
      <c r="Y1107">
        <v>4.1352091145341234E-3</v>
      </c>
    </row>
    <row r="1108" spans="1:25" x14ac:dyDescent="0.25">
      <c r="A1108" s="1096"/>
      <c r="B1108" s="1455">
        <v>858</v>
      </c>
      <c r="C1108" s="1100">
        <v>0.99433015998361085</v>
      </c>
      <c r="D1108" s="1100">
        <v>0.99175758581784657</v>
      </c>
      <c r="E1108" s="1100">
        <v>1.025220487629819</v>
      </c>
      <c r="F1108" s="1100">
        <v>0.99175010024995847</v>
      </c>
      <c r="G1108" s="1100">
        <v>1.0093496462541032</v>
      </c>
      <c r="H1108" s="1100">
        <v>0.98695209837438302</v>
      </c>
      <c r="I1108" s="1100">
        <v>1.0336760520839052</v>
      </c>
      <c r="K1108">
        <v>2.2220875641458657</v>
      </c>
      <c r="L1108">
        <v>0</v>
      </c>
      <c r="M1108">
        <v>1.4594547494551162E-3</v>
      </c>
      <c r="N1108">
        <v>0.14317784657352894</v>
      </c>
      <c r="O1108">
        <v>1.9916947328296443E-2</v>
      </c>
      <c r="P1108">
        <v>2.660262884556866E-2</v>
      </c>
      <c r="Q1108">
        <v>5.6960113356209945E-3</v>
      </c>
      <c r="R1108">
        <v>1.4386707780441872E-3</v>
      </c>
      <c r="S1108">
        <v>0.25122237960896715</v>
      </c>
      <c r="T1108">
        <v>1.3328235420083181</v>
      </c>
      <c r="U1108">
        <v>0.14364514822724408</v>
      </c>
      <c r="V1108">
        <v>0.18614424255211345</v>
      </c>
      <c r="W1108">
        <v>9.2672439943587884E-2</v>
      </c>
      <c r="X1108">
        <v>1.6291574093890392E-2</v>
      </c>
      <c r="Y1108">
        <v>3.9155876001417565E-3</v>
      </c>
    </row>
    <row r="1109" spans="1:25" x14ac:dyDescent="0.25">
      <c r="A1109" s="1096"/>
      <c r="B1109" s="1455">
        <v>859</v>
      </c>
      <c r="C1109" s="1100">
        <v>0.97279554572712001</v>
      </c>
      <c r="D1109" s="1100">
        <v>1.0110111831904929</v>
      </c>
      <c r="E1109" s="1100">
        <v>0.95263242138491122</v>
      </c>
      <c r="F1109" s="1100">
        <v>1.0390475678663771</v>
      </c>
      <c r="G1109" s="1100">
        <v>1.0109363279359325</v>
      </c>
      <c r="H1109" s="1100">
        <v>0.97642748819692637</v>
      </c>
      <c r="I1109" s="1100">
        <v>1.0335140727890924</v>
      </c>
      <c r="K1109">
        <v>2.2791930258851583</v>
      </c>
      <c r="L1109">
        <v>0</v>
      </c>
      <c r="M1109">
        <v>1.7079774521107788E-3</v>
      </c>
      <c r="N1109">
        <v>0.13451767144032017</v>
      </c>
      <c r="O1109">
        <v>2.0225498626716253E-2</v>
      </c>
      <c r="P1109">
        <v>2.6101655477806202E-2</v>
      </c>
      <c r="Q1109">
        <v>5.3747856276586204E-3</v>
      </c>
      <c r="R1109">
        <v>1.6833921181024472E-3</v>
      </c>
      <c r="S1109">
        <v>0.25281351369947769</v>
      </c>
      <c r="T1109">
        <v>1.3962855311089697</v>
      </c>
      <c r="U1109">
        <v>0.1466535204176185</v>
      </c>
      <c r="V1109">
        <v>0.1875807079840846</v>
      </c>
      <c r="W1109">
        <v>9.0940756137870712E-2</v>
      </c>
      <c r="X1109">
        <v>1.4142332283232327E-2</v>
      </c>
      <c r="Y1109">
        <v>4.5816384154122687E-3</v>
      </c>
    </row>
    <row r="1110" spans="1:25" x14ac:dyDescent="0.25">
      <c r="A1110" s="1096"/>
      <c r="B1110" s="1455">
        <v>860</v>
      </c>
      <c r="C1110" s="1100">
        <v>1.026860847059238</v>
      </c>
      <c r="D1110" s="1100">
        <v>1.0451345969177923</v>
      </c>
      <c r="E1110" s="1100">
        <v>1.0118837823131255</v>
      </c>
      <c r="F1110" s="1100">
        <v>0.98948042989478968</v>
      </c>
      <c r="G1110" s="1100">
        <v>0.96833736725650454</v>
      </c>
      <c r="H1110" s="1100">
        <v>0.98858645615541041</v>
      </c>
      <c r="I1110" s="1100">
        <v>1.0013128513175289</v>
      </c>
      <c r="K1110">
        <v>2.1715259997889618</v>
      </c>
      <c r="L1110">
        <v>0</v>
      </c>
      <c r="M1110">
        <v>1.4386933264008014E-3</v>
      </c>
      <c r="N1110">
        <v>0.1355777902703994</v>
      </c>
      <c r="O1110">
        <v>1.9056780504963733E-2</v>
      </c>
      <c r="P1110">
        <v>2.5850726944435937E-2</v>
      </c>
      <c r="Q1110">
        <v>5.3781740345841076E-3</v>
      </c>
      <c r="R1110">
        <v>1.4182388884822616E-3</v>
      </c>
      <c r="S1110">
        <v>0.22960977664103532</v>
      </c>
      <c r="T1110">
        <v>1.329747023298731</v>
      </c>
      <c r="U1110">
        <v>0.1390645200277148</v>
      </c>
      <c r="V1110">
        <v>0.17960587279741325</v>
      </c>
      <c r="W1110">
        <v>8.844145192960505E-2</v>
      </c>
      <c r="X1110">
        <v>1.5354359045872464E-2</v>
      </c>
      <c r="Y1110">
        <v>3.8599787321247775E-3</v>
      </c>
    </row>
    <row r="1111" spans="1:25" x14ac:dyDescent="0.25">
      <c r="A1111" s="1096"/>
      <c r="B1111" s="1455">
        <v>861</v>
      </c>
      <c r="C1111" s="1100">
        <v>1.0183099509293863</v>
      </c>
      <c r="D1111" s="1100">
        <v>0.97894680235026632</v>
      </c>
      <c r="E1111" s="1100">
        <v>0.99885270231867151</v>
      </c>
      <c r="F1111" s="1100">
        <v>0.98922875751271178</v>
      </c>
      <c r="G1111" s="1100">
        <v>0.99839907879100598</v>
      </c>
      <c r="H1111" s="1100">
        <v>1.0264350553055186</v>
      </c>
      <c r="I1111" s="1100">
        <v>1.0038631617734983</v>
      </c>
      <c r="K1111">
        <v>2.2017922162636134</v>
      </c>
      <c r="L1111">
        <v>0</v>
      </c>
      <c r="M1111">
        <v>1.5700607328929964E-3</v>
      </c>
      <c r="N1111">
        <v>0.14232341943179605</v>
      </c>
      <c r="O1111">
        <v>1.9487356529483361E-2</v>
      </c>
      <c r="P1111">
        <v>2.5844204829713214E-2</v>
      </c>
      <c r="Q1111">
        <v>5.4283327278187221E-3</v>
      </c>
      <c r="R1111">
        <v>1.5485616985675802E-3</v>
      </c>
      <c r="S1111">
        <v>0.24272419294849945</v>
      </c>
      <c r="T1111">
        <v>1.329386783969791</v>
      </c>
      <c r="U1111">
        <v>0.14020277819004051</v>
      </c>
      <c r="V1111">
        <v>0.18347769263074598</v>
      </c>
      <c r="W1111">
        <v>9.3560616817902967E-2</v>
      </c>
      <c r="X1111">
        <v>1.5163662761873972E-2</v>
      </c>
      <c r="Y1111">
        <v>4.2146744602742179E-3</v>
      </c>
    </row>
    <row r="1112" spans="1:25" x14ac:dyDescent="0.25">
      <c r="A1112" s="1096"/>
      <c r="B1112" s="1455">
        <v>862</v>
      </c>
      <c r="C1112" s="1100">
        <v>0.99373602446775422</v>
      </c>
      <c r="D1112" s="1100">
        <v>1.0306735568957612</v>
      </c>
      <c r="E1112" s="1100">
        <v>0.96991207667133039</v>
      </c>
      <c r="F1112" s="1100">
        <v>1.0214482506247229</v>
      </c>
      <c r="G1112" s="1100">
        <v>0.96623930670959524</v>
      </c>
      <c r="H1112" s="1100">
        <v>1.0056808415851752</v>
      </c>
      <c r="I1112" s="1100">
        <v>1.0058399276090881</v>
      </c>
      <c r="K1112">
        <v>2.2375875941904724</v>
      </c>
      <c r="L1112">
        <v>0</v>
      </c>
      <c r="M1112">
        <v>1.6547862311276321E-3</v>
      </c>
      <c r="N1112">
        <v>0.13739180610268334</v>
      </c>
      <c r="O1112">
        <v>1.9726295972288727E-2</v>
      </c>
      <c r="P1112">
        <v>2.5855046901718526E-2</v>
      </c>
      <c r="Q1112">
        <v>5.3359912799556056E-3</v>
      </c>
      <c r="R1112">
        <v>1.6316594229229056E-3</v>
      </c>
      <c r="S1112">
        <v>0.24104345543833716</v>
      </c>
      <c r="T1112">
        <v>1.3726483709896229</v>
      </c>
      <c r="U1112">
        <v>0.14360294629031953</v>
      </c>
      <c r="V1112">
        <v>0.18125792980890781</v>
      </c>
      <c r="W1112">
        <v>9.1905340450428127E-2</v>
      </c>
      <c r="X1112">
        <v>1.4402698691600081E-2</v>
      </c>
      <c r="Y1112">
        <v>4.4408390728119399E-3</v>
      </c>
    </row>
    <row r="1113" spans="1:25" x14ac:dyDescent="0.25">
      <c r="A1113" s="1096"/>
      <c r="B1113" s="1455">
        <v>863</v>
      </c>
      <c r="C1113" s="1100">
        <v>1.0065954602344629</v>
      </c>
      <c r="D1113" s="1100">
        <v>0.97046461850785104</v>
      </c>
      <c r="E1113" s="1100">
        <v>0.96722335470573995</v>
      </c>
      <c r="F1113" s="1100">
        <v>0.97632283012632326</v>
      </c>
      <c r="G1113" s="1100">
        <v>0.97865622219745563</v>
      </c>
      <c r="H1113" s="1100">
        <v>1.0010997287109447</v>
      </c>
      <c r="I1113" s="1100">
        <v>1.0069326195621886</v>
      </c>
      <c r="K1113">
        <v>2.177187218982259</v>
      </c>
      <c r="L1113">
        <v>0</v>
      </c>
      <c r="M1113">
        <v>1.6570528239138373E-3</v>
      </c>
      <c r="N1113">
        <v>0.13645551397072384</v>
      </c>
      <c r="O1113">
        <v>1.9732220023525343E-2</v>
      </c>
      <c r="P1113">
        <v>2.5032484902929152E-2</v>
      </c>
      <c r="Q1113">
        <v>5.322934048330237E-3</v>
      </c>
      <c r="R1113">
        <v>1.6337883633795402E-3</v>
      </c>
      <c r="S1113">
        <v>0.24508376405401122</v>
      </c>
      <c r="T1113">
        <v>1.3120053073427764</v>
      </c>
      <c r="U1113">
        <v>0.14176227493645022</v>
      </c>
      <c r="V1113">
        <v>0.18189709705195034</v>
      </c>
      <c r="W1113">
        <v>9.1428693443558667E-2</v>
      </c>
      <c r="X1113">
        <v>1.4043560321607118E-2</v>
      </c>
      <c r="Y1113">
        <v>4.4466333469298652E-3</v>
      </c>
    </row>
    <row r="1114" spans="1:25" x14ac:dyDescent="0.25">
      <c r="A1114" s="1096"/>
      <c r="B1114" s="1455">
        <v>864</v>
      </c>
      <c r="C1114" s="1100">
        <v>0.98708626903830499</v>
      </c>
      <c r="D1114" s="1100">
        <v>1.0015053864681263</v>
      </c>
      <c r="E1114" s="1100">
        <v>1.0101475592501408</v>
      </c>
      <c r="F1114" s="1100">
        <v>1.0262853110595394</v>
      </c>
      <c r="G1114" s="1100">
        <v>0.99238912839100091</v>
      </c>
      <c r="H1114" s="1100">
        <v>1.018535584272805</v>
      </c>
      <c r="I1114" s="1100">
        <v>0.99858406786462983</v>
      </c>
      <c r="K1114">
        <v>2.2691178916449646</v>
      </c>
      <c r="L1114">
        <v>0</v>
      </c>
      <c r="M1114">
        <v>1.5621659884615623E-3</v>
      </c>
      <c r="N1114">
        <v>0.14650599099998313</v>
      </c>
      <c r="O1114">
        <v>2.0010424555412968E-2</v>
      </c>
      <c r="P1114">
        <v>2.6865439466076977E-2</v>
      </c>
      <c r="Q1114">
        <v>5.6375224643903992E-3</v>
      </c>
      <c r="R1114">
        <v>1.5406091558933727E-3</v>
      </c>
      <c r="S1114">
        <v>0.24572547855091559</v>
      </c>
      <c r="T1114">
        <v>1.3792052569536506</v>
      </c>
      <c r="U1114">
        <v>0.14466405943696914</v>
      </c>
      <c r="V1114">
        <v>0.18465130266684532</v>
      </c>
      <c r="W1114">
        <v>9.566806194278614E-2</v>
      </c>
      <c r="X1114">
        <v>1.601288117983346E-2</v>
      </c>
      <c r="Y1114">
        <v>4.1930302606700111E-3</v>
      </c>
    </row>
    <row r="1115" spans="1:25" x14ac:dyDescent="0.25">
      <c r="A1115" s="1096"/>
      <c r="B1115" s="1455">
        <v>865</v>
      </c>
      <c r="C1115" s="1100">
        <v>0.97609588779665579</v>
      </c>
      <c r="D1115" s="1100">
        <v>1.0131508291954094</v>
      </c>
      <c r="E1115" s="1100">
        <v>1.0027061715209229</v>
      </c>
      <c r="F1115" s="1100">
        <v>1.0132457224265274</v>
      </c>
      <c r="G1115" s="1100">
        <v>1.0172002025452533</v>
      </c>
      <c r="H1115" s="1100">
        <v>1.0008411275987736</v>
      </c>
      <c r="I1115" s="1100">
        <v>0.98637501117822113</v>
      </c>
      <c r="K1115">
        <v>2.2495716850499368</v>
      </c>
      <c r="L1115">
        <v>0</v>
      </c>
      <c r="M1115">
        <v>1.5724775967585188E-3</v>
      </c>
      <c r="N1115">
        <v>0.14416040934563548</v>
      </c>
      <c r="O1115">
        <v>2.0179577278374897E-2</v>
      </c>
      <c r="P1115">
        <v>2.6504220330585568E-2</v>
      </c>
      <c r="Q1115">
        <v>5.6429613584206718E-3</v>
      </c>
      <c r="R1115">
        <v>1.5503948394221382E-3</v>
      </c>
      <c r="S1115">
        <v>0.24256411139856671</v>
      </c>
      <c r="T1115">
        <v>1.3616685490840066</v>
      </c>
      <c r="U1115">
        <v>0.14627533928919217</v>
      </c>
      <c r="V1115">
        <v>0.18812582757099772</v>
      </c>
      <c r="W1115">
        <v>9.4551552519913595E-2</v>
      </c>
      <c r="X1115">
        <v>1.5701555966192729E-2</v>
      </c>
      <c r="Y1115">
        <v>4.2196636653856036E-3</v>
      </c>
    </row>
    <row r="1116" spans="1:25" x14ac:dyDescent="0.25">
      <c r="A1116" s="1096"/>
      <c r="B1116" s="1455">
        <v>866</v>
      </c>
      <c r="C1116" s="1100">
        <v>1.0162445650034042</v>
      </c>
      <c r="D1116" s="1100">
        <v>1.017864399555849</v>
      </c>
      <c r="E1116" s="1100">
        <v>1.0335524417990036</v>
      </c>
      <c r="F1116" s="1100">
        <v>0.99148532789274779</v>
      </c>
      <c r="G1116" s="1100">
        <v>1.0012624108008155</v>
      </c>
      <c r="H1116" s="1100">
        <v>0.98149606409517065</v>
      </c>
      <c r="I1116" s="1100">
        <v>0.97515236880722611</v>
      </c>
      <c r="K1116">
        <v>2.1863396455755204</v>
      </c>
      <c r="L1116">
        <v>0</v>
      </c>
      <c r="M1116">
        <v>1.3876930735699038E-3</v>
      </c>
      <c r="N1116">
        <v>0.13958942633150226</v>
      </c>
      <c r="O1116">
        <v>1.9381501652572075E-2</v>
      </c>
      <c r="P1116">
        <v>2.6368391718512241E-2</v>
      </c>
      <c r="Q1116">
        <v>5.5887452670124443E-3</v>
      </c>
      <c r="R1116">
        <v>1.3678211990984655E-3</v>
      </c>
      <c r="S1116">
        <v>0.22854148742683358</v>
      </c>
      <c r="T1116">
        <v>1.3324860725842484</v>
      </c>
      <c r="U1116">
        <v>0.14056652892489166</v>
      </c>
      <c r="V1116">
        <v>0.18395066291936912</v>
      </c>
      <c r="W1116">
        <v>8.9913688465543623E-2</v>
      </c>
      <c r="X1116">
        <v>1.6250253757696922E-2</v>
      </c>
      <c r="Y1116">
        <v>3.7227584018089221E-3</v>
      </c>
    </row>
    <row r="1117" spans="1:25" x14ac:dyDescent="0.25">
      <c r="A1117" s="1096"/>
      <c r="B1117" s="1455">
        <v>867</v>
      </c>
      <c r="C1117" s="1100">
        <v>0.98414795199319494</v>
      </c>
      <c r="D1117" s="1100">
        <v>0.98390111678723258</v>
      </c>
      <c r="E1117" s="1100">
        <v>0.97976126812490649</v>
      </c>
      <c r="F1117" s="1100">
        <v>1.0164535985897947</v>
      </c>
      <c r="G1117" s="1100">
        <v>0.96703568586196198</v>
      </c>
      <c r="H1117" s="1100">
        <v>1.009050990313612</v>
      </c>
      <c r="I1117" s="1100">
        <v>0.97239469244711096</v>
      </c>
      <c r="K1117">
        <v>2.2413115308029856</v>
      </c>
      <c r="L1117">
        <v>0</v>
      </c>
      <c r="M1117">
        <v>1.6596070904476591E-3</v>
      </c>
      <c r="N1117">
        <v>0.14196843685962671</v>
      </c>
      <c r="O1117">
        <v>2.0129284965472706E-2</v>
      </c>
      <c r="P1117">
        <v>2.5989493192845766E-2</v>
      </c>
      <c r="Q1117">
        <v>5.4999409958609545E-3</v>
      </c>
      <c r="R1117">
        <v>1.6364903740200187E-3</v>
      </c>
      <c r="S1117">
        <v>0.24113842824643941</v>
      </c>
      <c r="T1117">
        <v>1.3659468434581252</v>
      </c>
      <c r="U1117">
        <v>0.14502494699000085</v>
      </c>
      <c r="V1117">
        <v>0.18193777408173237</v>
      </c>
      <c r="W1117">
        <v>9.4401367663502364E-2</v>
      </c>
      <c r="X1117">
        <v>1.4844143736631192E-2</v>
      </c>
      <c r="Y1117">
        <v>4.4539873291756819E-3</v>
      </c>
    </row>
    <row r="1118" spans="1:25" x14ac:dyDescent="0.25">
      <c r="A1118" s="1096"/>
      <c r="B1118" s="1455">
        <v>868</v>
      </c>
      <c r="C1118" s="1100">
        <v>1.0397924038542359</v>
      </c>
      <c r="D1118" s="1100">
        <v>1.0214644868922762</v>
      </c>
      <c r="E1118" s="1100">
        <v>1.0054092838732811</v>
      </c>
      <c r="F1118" s="1100">
        <v>0.95805217463600834</v>
      </c>
      <c r="G1118" s="1100">
        <v>1.0169540668462003</v>
      </c>
      <c r="H1118" s="1100">
        <v>1.0227009926226882</v>
      </c>
      <c r="I1118" s="1100">
        <v>0.98682680161940028</v>
      </c>
      <c r="K1118">
        <v>2.1351571318931044</v>
      </c>
      <c r="L1118">
        <v>0</v>
      </c>
      <c r="M1118">
        <v>1.4972570673165602E-3</v>
      </c>
      <c r="N1118">
        <v>0.13843177899797471</v>
      </c>
      <c r="O1118">
        <v>1.8910988716880787E-2</v>
      </c>
      <c r="P1118">
        <v>2.5175596522112213E-2</v>
      </c>
      <c r="Q1118">
        <v>5.3025726666505605E-3</v>
      </c>
      <c r="R1118">
        <v>1.4766800856264965E-3</v>
      </c>
      <c r="S1118">
        <v>0.22856137549105057</v>
      </c>
      <c r="T1118">
        <v>1.2875000546965241</v>
      </c>
      <c r="U1118">
        <v>0.13732066515736902</v>
      </c>
      <c r="V1118">
        <v>0.18437700732734916</v>
      </c>
      <c r="W1118">
        <v>9.0648987666529984E-2</v>
      </c>
      <c r="X1118">
        <v>1.4929645226737719E-2</v>
      </c>
      <c r="Y1118">
        <v>4.0190364056159238E-3</v>
      </c>
    </row>
    <row r="1119" spans="1:25" x14ac:dyDescent="0.25">
      <c r="A1119" s="1096"/>
      <c r="B1119" s="1455">
        <v>869</v>
      </c>
      <c r="C1119" s="1100">
        <v>1.0033626560416913</v>
      </c>
      <c r="D1119" s="1100">
        <v>1.0173106677622437</v>
      </c>
      <c r="E1119" s="1100">
        <v>0.95433233295088316</v>
      </c>
      <c r="F1119" s="1100">
        <v>1.0340710055441737</v>
      </c>
      <c r="G1119" s="1100">
        <v>0.99452036788375064</v>
      </c>
      <c r="H1119" s="1100">
        <v>0.97061264137360947</v>
      </c>
      <c r="I1119" s="1100">
        <v>0.97150480910777115</v>
      </c>
      <c r="K1119">
        <v>2.2308134669013824</v>
      </c>
      <c r="L1119">
        <v>0</v>
      </c>
      <c r="M1119">
        <v>1.6380918288231986E-3</v>
      </c>
      <c r="N1119">
        <v>0.12966881671560201</v>
      </c>
      <c r="O1119">
        <v>1.9583603083699032E-2</v>
      </c>
      <c r="P1119">
        <v>2.5629804021104579E-2</v>
      </c>
      <c r="Q1119">
        <v>5.2133402388186249E-3</v>
      </c>
      <c r="R1119">
        <v>1.6143711956444397E-3</v>
      </c>
      <c r="S1119">
        <v>0.22925560406153392</v>
      </c>
      <c r="T1119">
        <v>1.3895989532318465</v>
      </c>
      <c r="U1119">
        <v>0.14218964006078047</v>
      </c>
      <c r="V1119">
        <v>0.18386981176010347</v>
      </c>
      <c r="W1119">
        <v>8.7570835650978118E-2</v>
      </c>
      <c r="X1119">
        <v>1.3862992492871829E-2</v>
      </c>
      <c r="Y1119">
        <v>4.3937862172225466E-3</v>
      </c>
    </row>
    <row r="1120" spans="1:25" x14ac:dyDescent="0.25">
      <c r="A1120" s="1096"/>
      <c r="B1120" s="1455">
        <v>870</v>
      </c>
      <c r="C1120" s="1100">
        <v>0.98633704341610973</v>
      </c>
      <c r="D1120" s="1100">
        <v>0.99185582523006077</v>
      </c>
      <c r="E1120" s="1100">
        <v>1.0002617221439225</v>
      </c>
      <c r="F1120" s="1100">
        <v>0.99838426192875251</v>
      </c>
      <c r="G1120" s="1100">
        <v>1.0067829842238181</v>
      </c>
      <c r="H1120" s="1100">
        <v>0.99505525895044411</v>
      </c>
      <c r="I1120" s="1100">
        <v>1.0220813961955355</v>
      </c>
      <c r="K1120">
        <v>2.2307570913981669</v>
      </c>
      <c r="L1120">
        <v>0</v>
      </c>
      <c r="M1120">
        <v>1.5623052664792063E-3</v>
      </c>
      <c r="N1120">
        <v>0.14216230673944727</v>
      </c>
      <c r="O1120">
        <v>2.0062047098428726E-2</v>
      </c>
      <c r="P1120">
        <v>2.6251455313452274E-2</v>
      </c>
      <c r="Q1120">
        <v>5.5963391294054669E-3</v>
      </c>
      <c r="R1120">
        <v>1.5402377899003622E-3</v>
      </c>
      <c r="S1120">
        <v>0.25088125980090614</v>
      </c>
      <c r="T1120">
        <v>1.3416927431539194</v>
      </c>
      <c r="U1120">
        <v>0.14475085257795628</v>
      </c>
      <c r="V1120">
        <v>0.18631505584852356</v>
      </c>
      <c r="W1120">
        <v>9.3376446816029898E-2</v>
      </c>
      <c r="X1120">
        <v>1.549863287181894E-2</v>
      </c>
      <c r="Y1120">
        <v>4.1920195248578039E-3</v>
      </c>
    </row>
    <row r="1121" spans="1:25" x14ac:dyDescent="0.25">
      <c r="A1121" s="1096"/>
      <c r="B1121" s="1455">
        <v>871</v>
      </c>
      <c r="C1121" s="1100">
        <v>0.99437047670965506</v>
      </c>
      <c r="D1121" s="1100">
        <v>1.0302405901734377</v>
      </c>
      <c r="E1121" s="1100">
        <v>1.0312053949546187</v>
      </c>
      <c r="F1121" s="1100">
        <v>0.98851373080110116</v>
      </c>
      <c r="G1121" s="1100">
        <v>1.016226934181099</v>
      </c>
      <c r="H1121" s="1100">
        <v>0.9624859089708494</v>
      </c>
      <c r="I1121" s="1100">
        <v>0.97932632853997226</v>
      </c>
      <c r="K1121">
        <v>2.1915172036298003</v>
      </c>
      <c r="L1121">
        <v>0</v>
      </c>
      <c r="M1121">
        <v>1.3938604591697552E-3</v>
      </c>
      <c r="N1121">
        <v>0.13918150101234728</v>
      </c>
      <c r="O1121">
        <v>1.9753786534789725E-2</v>
      </c>
      <c r="P1121">
        <v>2.6395854201861076E-2</v>
      </c>
      <c r="Q1121">
        <v>5.6829099931485034E-3</v>
      </c>
      <c r="R1121">
        <v>1.3735060315090038E-3</v>
      </c>
      <c r="S1121">
        <v>0.23165363842128672</v>
      </c>
      <c r="T1121">
        <v>1.3284871527467055</v>
      </c>
      <c r="U1121">
        <v>0.14365324036436208</v>
      </c>
      <c r="V1121">
        <v>0.18692471437416208</v>
      </c>
      <c r="W1121">
        <v>8.9772927648006692E-2</v>
      </c>
      <c r="X1121">
        <v>1.6293602119164367E-2</v>
      </c>
      <c r="Y1121">
        <v>3.7382306416259095E-3</v>
      </c>
    </row>
    <row r="1122" spans="1:25" x14ac:dyDescent="0.25">
      <c r="A1122" s="1096"/>
      <c r="B1122" s="1455">
        <v>872</v>
      </c>
      <c r="C1122" s="1100">
        <v>0.97055752565604059</v>
      </c>
      <c r="D1122" s="1100">
        <v>0.96807692220447028</v>
      </c>
      <c r="E1122" s="1100">
        <v>1.0021017266906809</v>
      </c>
      <c r="F1122" s="1100">
        <v>1.0136058410685513</v>
      </c>
      <c r="G1122" s="1100">
        <v>0.97751098467782493</v>
      </c>
      <c r="H1122" s="1100">
        <v>1.0018677387817612</v>
      </c>
      <c r="I1122" s="1100">
        <v>0.95956927174268025</v>
      </c>
      <c r="K1122">
        <v>2.2514703431174863</v>
      </c>
      <c r="L1122">
        <v>0</v>
      </c>
      <c r="M1122">
        <v>1.6010089953285627E-3</v>
      </c>
      <c r="N1122">
        <v>0.1465104830700541</v>
      </c>
      <c r="O1122">
        <v>2.0498547746832348E-2</v>
      </c>
      <c r="P1122">
        <v>2.6457715971165505E-2</v>
      </c>
      <c r="Q1122">
        <v>5.728680347345359E-3</v>
      </c>
      <c r="R1122">
        <v>1.5785486020289446E-3</v>
      </c>
      <c r="S1122">
        <v>0.24285639322152994</v>
      </c>
      <c r="T1122">
        <v>1.3621514936531418</v>
      </c>
      <c r="U1122">
        <v>0.14710860638956616</v>
      </c>
      <c r="V1122">
        <v>0.1839858178538335</v>
      </c>
      <c r="W1122">
        <v>9.6127374744441677E-2</v>
      </c>
      <c r="X1122">
        <v>1.57714015865556E-2</v>
      </c>
      <c r="Y1122">
        <v>4.2962889263159802E-3</v>
      </c>
    </row>
    <row r="1123" spans="1:25" x14ac:dyDescent="0.25">
      <c r="A1123" s="1096"/>
      <c r="B1123" s="1455">
        <v>873</v>
      </c>
      <c r="C1123" s="1100">
        <v>0.98926474856362767</v>
      </c>
      <c r="D1123" s="1100">
        <v>1.0327123728159793</v>
      </c>
      <c r="E1123" s="1100">
        <v>1.0220275356227009</v>
      </c>
      <c r="F1123" s="1100">
        <v>1.0003644487442842</v>
      </c>
      <c r="G1123" s="1100">
        <v>1.000339836560767</v>
      </c>
      <c r="H1123" s="1100">
        <v>0.98317482056035244</v>
      </c>
      <c r="I1123" s="1100">
        <v>0.96470938977348419</v>
      </c>
      <c r="K1123">
        <v>2.2102558182033936</v>
      </c>
      <c r="L1123">
        <v>0</v>
      </c>
      <c r="M1123">
        <v>1.4580215011313871E-3</v>
      </c>
      <c r="N1123">
        <v>0.14165855543834169</v>
      </c>
      <c r="O1123">
        <v>1.9839495667205085E-2</v>
      </c>
      <c r="P1123">
        <v>2.641579500702609E-2</v>
      </c>
      <c r="Q1123">
        <v>5.6559151103917054E-3</v>
      </c>
      <c r="R1123">
        <v>1.4371781685746611E-3</v>
      </c>
      <c r="S1123">
        <v>0.23063995429520509</v>
      </c>
      <c r="T1123">
        <v>1.3443937486393402</v>
      </c>
      <c r="U1123">
        <v>0.14437320832718661</v>
      </c>
      <c r="V1123">
        <v>0.1854285184594385</v>
      </c>
      <c r="W1123">
        <v>9.1860024096231951E-2</v>
      </c>
      <c r="X1123">
        <v>1.6099921286377751E-2</v>
      </c>
      <c r="Y1123">
        <v>3.9115252092042849E-3</v>
      </c>
    </row>
    <row r="1124" spans="1:25" x14ac:dyDescent="0.25">
      <c r="A1124" s="1096"/>
      <c r="B1124" s="1455">
        <v>874</v>
      </c>
      <c r="C1124" s="1100">
        <v>0.96472752685436192</v>
      </c>
      <c r="D1124" s="1100">
        <v>0.97139692875123607</v>
      </c>
      <c r="E1124" s="1100">
        <v>1.0022987425919156</v>
      </c>
      <c r="F1124" s="1100">
        <v>1.0339856033847405</v>
      </c>
      <c r="G1124" s="1100">
        <v>1.0016309317508949</v>
      </c>
      <c r="H1124" s="1100">
        <v>0.97775440370870514</v>
      </c>
      <c r="I1124" s="1100">
        <v>0.99739042293046987</v>
      </c>
      <c r="K1124">
        <v>2.2876694606164665</v>
      </c>
      <c r="L1124">
        <v>0</v>
      </c>
      <c r="M1124">
        <v>1.5700920633795494E-3</v>
      </c>
      <c r="N1124">
        <v>0.1437163195898721</v>
      </c>
      <c r="O1124">
        <v>2.0607025214344345E-2</v>
      </c>
      <c r="P1124">
        <v>2.7008646700166849E-2</v>
      </c>
      <c r="Q1124">
        <v>5.7601355023144587E-3</v>
      </c>
      <c r="R1124">
        <v>1.5475221800261454E-3</v>
      </c>
      <c r="S1124">
        <v>0.25150838719407059</v>
      </c>
      <c r="T1124">
        <v>1.3895395188087789</v>
      </c>
      <c r="U1124">
        <v>0.14799807696446507</v>
      </c>
      <c r="V1124">
        <v>0.18708180151297271</v>
      </c>
      <c r="W1124">
        <v>9.4283067257067532E-2</v>
      </c>
      <c r="X1124">
        <v>1.5977206522284296E-2</v>
      </c>
      <c r="Y1124">
        <v>4.211845233481626E-3</v>
      </c>
    </row>
    <row r="1125" spans="1:25" x14ac:dyDescent="0.25">
      <c r="A1125" s="1096"/>
      <c r="B1125" s="1455">
        <v>875</v>
      </c>
      <c r="C1125" s="1100">
        <v>0.98801493121583228</v>
      </c>
      <c r="D1125" s="1100">
        <v>1.0224593690389001</v>
      </c>
      <c r="E1125" s="1100">
        <v>1.0051266081510324</v>
      </c>
      <c r="F1125" s="1100">
        <v>0.99514200101948458</v>
      </c>
      <c r="G1125" s="1100">
        <v>1.0026251446212238</v>
      </c>
      <c r="H1125" s="1100">
        <v>0.96125420719739574</v>
      </c>
      <c r="I1125" s="1100">
        <v>1.017479871122688</v>
      </c>
      <c r="K1125">
        <v>2.2078673448211412</v>
      </c>
      <c r="L1125">
        <v>0</v>
      </c>
      <c r="M1125">
        <v>1.4815998523239958E-3</v>
      </c>
      <c r="N1125">
        <v>0.13674535384451622</v>
      </c>
      <c r="O1125">
        <v>1.989758964345088E-2</v>
      </c>
      <c r="P1125">
        <v>2.6165931438635742E-2</v>
      </c>
      <c r="Q1125">
        <v>5.577631549123145E-3</v>
      </c>
      <c r="R1125">
        <v>1.4599364507986783E-3</v>
      </c>
      <c r="S1125">
        <v>0.24284254746348621</v>
      </c>
      <c r="T1125">
        <v>1.3373435756763405</v>
      </c>
      <c r="U1125">
        <v>0.14451637183710425</v>
      </c>
      <c r="V1125">
        <v>0.18574728060046752</v>
      </c>
      <c r="W1125">
        <v>8.9559652443443674E-2</v>
      </c>
      <c r="X1125">
        <v>1.5519607974944328E-2</v>
      </c>
      <c r="Y1125">
        <v>3.9734657511523407E-3</v>
      </c>
    </row>
    <row r="1126" spans="1:25" x14ac:dyDescent="0.25">
      <c r="A1126" s="1096"/>
      <c r="B1126" s="1455">
        <v>876</v>
      </c>
      <c r="C1126" s="1100">
        <v>0.96644345529334963</v>
      </c>
      <c r="D1126" s="1100">
        <v>1.0002574998380811</v>
      </c>
      <c r="E1126" s="1100">
        <v>0.96364533784935957</v>
      </c>
      <c r="F1126" s="1100">
        <v>0.99385037183054392</v>
      </c>
      <c r="G1126" s="1100">
        <v>1.000353529243764</v>
      </c>
      <c r="H1126" s="1100">
        <v>0.96690018183123227</v>
      </c>
      <c r="I1126" s="1100">
        <v>0.99779978209299935</v>
      </c>
      <c r="K1126">
        <v>2.2133628713714546</v>
      </c>
      <c r="L1126">
        <v>0</v>
      </c>
      <c r="M1126">
        <v>1.6681523859084283E-3</v>
      </c>
      <c r="N1126">
        <v>0.13582040179515961</v>
      </c>
      <c r="O1126">
        <v>2.0413453540454901E-2</v>
      </c>
      <c r="P1126">
        <v>2.5435439497154464E-2</v>
      </c>
      <c r="Q1126">
        <v>5.4865500966008902E-3</v>
      </c>
      <c r="R1126">
        <v>1.6439037084987629E-3</v>
      </c>
      <c r="S1126">
        <v>0.24629730313548362</v>
      </c>
      <c r="T1126">
        <v>1.3355562688565115</v>
      </c>
      <c r="U1126">
        <v>0.14764347617431428</v>
      </c>
      <c r="V1126">
        <v>0.18679408213081003</v>
      </c>
      <c r="W1126">
        <v>9.1202267379851057E-2</v>
      </c>
      <c r="X1126">
        <v>1.4263713460703065E-2</v>
      </c>
      <c r="Y1126">
        <v>4.4741639818217677E-3</v>
      </c>
    </row>
    <row r="1127" spans="1:25" x14ac:dyDescent="0.25">
      <c r="A1127" s="1096"/>
      <c r="B1127" s="1455">
        <v>877</v>
      </c>
      <c r="C1127" s="1100">
        <v>1.0475464189252497</v>
      </c>
      <c r="D1127" s="1100">
        <v>0.99660957808390493</v>
      </c>
      <c r="E1127" s="1100">
        <v>0.99639413732646842</v>
      </c>
      <c r="F1127" s="1100">
        <v>1.0359910870656726</v>
      </c>
      <c r="G1127" s="1100">
        <v>1.0252514406084543</v>
      </c>
      <c r="H1127" s="1100">
        <v>1.0179416970954227</v>
      </c>
      <c r="I1127" s="1100">
        <v>0.99495507158363206</v>
      </c>
      <c r="K1127">
        <v>2.2403210594624685</v>
      </c>
      <c r="L1127">
        <v>0</v>
      </c>
      <c r="M1127">
        <v>1.5153748798899351E-3</v>
      </c>
      <c r="N1127">
        <v>0.1363337094822499</v>
      </c>
      <c r="O1127">
        <v>1.8867630914434396E-2</v>
      </c>
      <c r="P1127">
        <v>2.6459617011687812E-2</v>
      </c>
      <c r="Q1127">
        <v>5.2427145999031375E-3</v>
      </c>
      <c r="R1127">
        <v>1.4944515329540803E-3</v>
      </c>
      <c r="S1127">
        <v>0.23111858654591735</v>
      </c>
      <c r="T1127">
        <v>1.3922249709299859</v>
      </c>
      <c r="U1127">
        <v>0.13628439114358312</v>
      </c>
      <c r="V1127">
        <v>0.18488505870107394</v>
      </c>
      <c r="W1127">
        <v>8.9754401953657775E-2</v>
      </c>
      <c r="X1127">
        <v>1.5103497100025067E-2</v>
      </c>
      <c r="Y1127">
        <v>4.0674044268855687E-3</v>
      </c>
    </row>
    <row r="1128" spans="1:25" x14ac:dyDescent="0.25">
      <c r="A1128" s="1096"/>
      <c r="B1128" s="1455">
        <v>878</v>
      </c>
      <c r="C1128" s="1100">
        <v>0.99952028599172948</v>
      </c>
      <c r="D1128" s="1100">
        <v>1.0067811429973772</v>
      </c>
      <c r="E1128" s="1100">
        <v>0.98100917079647643</v>
      </c>
      <c r="F1128" s="1100">
        <v>1.0145792412304626</v>
      </c>
      <c r="G1128" s="1100">
        <v>1.0360384371630289</v>
      </c>
      <c r="H1128" s="1100">
        <v>1.0071081624975924</v>
      </c>
      <c r="I1128" s="1100">
        <v>1.0152202127903236</v>
      </c>
      <c r="K1128">
        <v>2.2415944855665786</v>
      </c>
      <c r="L1128">
        <v>0</v>
      </c>
      <c r="M1128">
        <v>1.618526999043333E-3</v>
      </c>
      <c r="N1128">
        <v>0.13897425815585487</v>
      </c>
      <c r="O1128">
        <v>1.9720495747043432E-2</v>
      </c>
      <c r="P1128">
        <v>2.6093551227894102E-2</v>
      </c>
      <c r="Q1128">
        <v>5.3950843207554019E-3</v>
      </c>
      <c r="R1128">
        <v>1.5959389974668104E-3</v>
      </c>
      <c r="S1128">
        <v>0.24491406374871735</v>
      </c>
      <c r="T1128">
        <v>1.3634294870748567</v>
      </c>
      <c r="U1128">
        <v>0.1427973704819662</v>
      </c>
      <c r="V1128">
        <v>0.18881224592636947</v>
      </c>
      <c r="W1128">
        <v>9.2340815064471171E-2</v>
      </c>
      <c r="X1128">
        <v>1.4796081970269876E-2</v>
      </c>
      <c r="Y1128">
        <v>4.3436198499555347E-3</v>
      </c>
    </row>
    <row r="1129" spans="1:25" x14ac:dyDescent="0.25">
      <c r="A1129" s="1096"/>
      <c r="B1129" s="1455">
        <v>879</v>
      </c>
      <c r="C1129" s="1100">
        <v>0.99893361351402399</v>
      </c>
      <c r="D1129" s="1100">
        <v>0.99056324137503959</v>
      </c>
      <c r="E1129" s="1100">
        <v>0.98864888154188069</v>
      </c>
      <c r="F1129" s="1100">
        <v>0.98583192547710885</v>
      </c>
      <c r="G1129" s="1100">
        <v>0.96654903901707945</v>
      </c>
      <c r="H1129" s="1100">
        <v>0.98414659556323936</v>
      </c>
      <c r="I1129" s="1100">
        <v>0.98006383875972392</v>
      </c>
      <c r="K1129">
        <v>2.1833673083597871</v>
      </c>
      <c r="L1129">
        <v>0</v>
      </c>
      <c r="M1129">
        <v>1.5633070970694214E-3</v>
      </c>
      <c r="N1129">
        <v>0.13732528362865501</v>
      </c>
      <c r="O1129">
        <v>1.9807477432351766E-2</v>
      </c>
      <c r="P1129">
        <v>2.5507292080206287E-2</v>
      </c>
      <c r="Q1129">
        <v>5.4610082047143634E-3</v>
      </c>
      <c r="R1129">
        <v>1.5409807083475279E-3</v>
      </c>
      <c r="S1129">
        <v>0.23674268531873707</v>
      </c>
      <c r="T1129">
        <v>1.3248072648819589</v>
      </c>
      <c r="U1129">
        <v>0.14289880032663327</v>
      </c>
      <c r="V1129">
        <v>0.18099850343638221</v>
      </c>
      <c r="W1129">
        <v>9.0826812698185821E-2</v>
      </c>
      <c r="X1129">
        <v>1.4820465236717184E-2</v>
      </c>
      <c r="Y1129">
        <v>4.1940415039679879E-3</v>
      </c>
    </row>
    <row r="1130" spans="1:25" x14ac:dyDescent="0.25">
      <c r="A1130" s="1096"/>
      <c r="B1130" s="1455">
        <v>880</v>
      </c>
      <c r="C1130" s="1100">
        <v>0.99543882202215939</v>
      </c>
      <c r="D1130" s="1100">
        <v>0.99752609520472679</v>
      </c>
      <c r="E1130" s="1100">
        <v>1.0176723793111979</v>
      </c>
      <c r="F1130" s="1100">
        <v>1.002659529785348</v>
      </c>
      <c r="G1130" s="1100">
        <v>0.98395553406515024</v>
      </c>
      <c r="H1130" s="1100">
        <v>0.97832738175411127</v>
      </c>
      <c r="I1130" s="1100">
        <v>1.0068512130289395</v>
      </c>
      <c r="K1130">
        <v>2.2209849910214641</v>
      </c>
      <c r="L1130">
        <v>0</v>
      </c>
      <c r="M1130">
        <v>1.4660972970766465E-3</v>
      </c>
      <c r="N1130">
        <v>0.14057380325923657</v>
      </c>
      <c r="O1130">
        <v>1.98646424278313E-2</v>
      </c>
      <c r="P1130">
        <v>2.6501255070381133E-2</v>
      </c>
      <c r="Q1130">
        <v>5.6386158325294842E-3</v>
      </c>
      <c r="R1130">
        <v>1.4450346689013499E-3</v>
      </c>
      <c r="S1130">
        <v>0.24296361013058582</v>
      </c>
      <c r="T1130">
        <v>1.3474692978445979</v>
      </c>
      <c r="U1130">
        <v>0.14346764977264198</v>
      </c>
      <c r="V1130">
        <v>0.18320050952932743</v>
      </c>
      <c r="W1130">
        <v>9.1389195382676897E-2</v>
      </c>
      <c r="X1130">
        <v>1.6004566386632672E-2</v>
      </c>
      <c r="Y1130">
        <v>3.9329080131988948E-3</v>
      </c>
    </row>
    <row r="1131" spans="1:25" x14ac:dyDescent="0.25">
      <c r="A1131" s="1096"/>
      <c r="B1131" s="1455">
        <v>881</v>
      </c>
      <c r="C1131" s="1100">
        <v>1.0177688841369783</v>
      </c>
      <c r="D1131" s="1100">
        <v>0.98595840742646368</v>
      </c>
      <c r="E1131" s="1100">
        <v>1.0225868608223867</v>
      </c>
      <c r="F1131" s="1100">
        <v>1.0266888585158434</v>
      </c>
      <c r="G1131" s="1100">
        <v>1.0012440253059958</v>
      </c>
      <c r="H1131" s="1100">
        <v>0.97986696095417181</v>
      </c>
      <c r="I1131" s="1100">
        <v>1.0046786519508091</v>
      </c>
      <c r="K1131">
        <v>2.243201156268027</v>
      </c>
      <c r="L1131">
        <v>0</v>
      </c>
      <c r="M1131">
        <v>1.4252289631522773E-3</v>
      </c>
      <c r="N1131">
        <v>0.13869951578100065</v>
      </c>
      <c r="O1131">
        <v>1.9481763553742044E-2</v>
      </c>
      <c r="P1131">
        <v>2.6950860454101513E-2</v>
      </c>
      <c r="Q1131">
        <v>5.5570167476915325E-3</v>
      </c>
      <c r="R1131">
        <v>1.4047856396147457E-3</v>
      </c>
      <c r="S1131">
        <v>0.23867150436531312</v>
      </c>
      <c r="T1131">
        <v>1.379772417218204</v>
      </c>
      <c r="U1131">
        <v>0.14033109085836928</v>
      </c>
      <c r="V1131">
        <v>0.18385113798752414</v>
      </c>
      <c r="W1131">
        <v>8.9911829017425005E-2</v>
      </c>
      <c r="X1131">
        <v>1.6171100184625392E-2</v>
      </c>
      <c r="Y1131">
        <v>3.8233634235696964E-3</v>
      </c>
    </row>
    <row r="1132" spans="1:25" x14ac:dyDescent="0.25">
      <c r="A1132" s="1096"/>
      <c r="B1132" s="1455">
        <v>882</v>
      </c>
      <c r="C1132" s="1100">
        <v>0.99212598381795969</v>
      </c>
      <c r="D1132" s="1100">
        <v>0.97791730310732794</v>
      </c>
      <c r="E1132" s="1100">
        <v>1.045111597890195</v>
      </c>
      <c r="F1132" s="1100">
        <v>1.0192262535350645</v>
      </c>
      <c r="G1132" s="1100">
        <v>1.0121845963095069</v>
      </c>
      <c r="H1132" s="1100">
        <v>0.96235152967446302</v>
      </c>
      <c r="I1132" s="1100">
        <v>1.0212227431303438</v>
      </c>
      <c r="K1132">
        <v>2.2576116490605327</v>
      </c>
      <c r="L1132">
        <v>0</v>
      </c>
      <c r="M1132">
        <v>1.372524735229674E-3</v>
      </c>
      <c r="N1132">
        <v>0.14291466450157275</v>
      </c>
      <c r="O1132">
        <v>2.0035659496031186E-2</v>
      </c>
      <c r="P1132">
        <v>2.7484306514126786E-2</v>
      </c>
      <c r="Q1132">
        <v>5.8434394153225374E-3</v>
      </c>
      <c r="R1132">
        <v>1.3524790726472415E-3</v>
      </c>
      <c r="S1132">
        <v>0.24862400444635779</v>
      </c>
      <c r="T1132">
        <v>1.3697965711916238</v>
      </c>
      <c r="U1132">
        <v>0.14401068215849633</v>
      </c>
      <c r="V1132">
        <v>0.18661603392033979</v>
      </c>
      <c r="W1132">
        <v>9.1444434668741317E-2</v>
      </c>
      <c r="X1132">
        <v>1.7180896219364784E-2</v>
      </c>
      <c r="Y1132">
        <v>3.6810021911393162E-3</v>
      </c>
    </row>
    <row r="1133" spans="1:25" x14ac:dyDescent="0.25">
      <c r="A1133" s="1096"/>
      <c r="B1133" s="1455">
        <v>883</v>
      </c>
      <c r="C1133" s="1100">
        <v>1.0215878271180354</v>
      </c>
      <c r="D1133" s="1100">
        <v>1.0152836780135235</v>
      </c>
      <c r="E1133" s="1100">
        <v>1.019146738908149</v>
      </c>
      <c r="F1133" s="1100">
        <v>1.0014489018533752</v>
      </c>
      <c r="G1133" s="1100">
        <v>1.0029219360133317</v>
      </c>
      <c r="H1133" s="1100">
        <v>0.99918332817891842</v>
      </c>
      <c r="I1133" s="1100">
        <v>1.0318223345371875</v>
      </c>
      <c r="K1133">
        <v>2.2128482881499023</v>
      </c>
      <c r="L1133">
        <v>0</v>
      </c>
      <c r="M1133">
        <v>1.4489212968134301E-3</v>
      </c>
      <c r="N1133">
        <v>0.13958874384351483</v>
      </c>
      <c r="O1133">
        <v>1.9282086262436195E-2</v>
      </c>
      <c r="P1133">
        <v>2.6454392644871993E-2</v>
      </c>
      <c r="Q1133">
        <v>5.4812913901778858E-3</v>
      </c>
      <c r="R1133">
        <v>1.4285399164606879E-3</v>
      </c>
      <c r="S1133">
        <v>0.24218022305246348</v>
      </c>
      <c r="T1133">
        <v>1.3458452773731504</v>
      </c>
      <c r="U1133">
        <v>0.13979872165877905</v>
      </c>
      <c r="V1133">
        <v>0.18381974428984599</v>
      </c>
      <c r="W1133">
        <v>9.0670450975472092E-2</v>
      </c>
      <c r="X1133">
        <v>1.5859723304995351E-2</v>
      </c>
      <c r="Y1133">
        <v>3.8880147345490943E-3</v>
      </c>
    </row>
    <row r="1134" spans="1:25" x14ac:dyDescent="0.25">
      <c r="A1134" s="1096"/>
      <c r="B1134" s="1455">
        <v>884</v>
      </c>
      <c r="C1134" s="1100">
        <v>0.99638164732308399</v>
      </c>
      <c r="D1134" s="1100">
        <v>1.0033931470441526</v>
      </c>
      <c r="E1134" s="1100">
        <v>0.98374350403592681</v>
      </c>
      <c r="F1134" s="1100">
        <v>0.99015940810000658</v>
      </c>
      <c r="G1134" s="1100">
        <v>0.98947310769058061</v>
      </c>
      <c r="H1134" s="1100">
        <v>1.0183877850683036</v>
      </c>
      <c r="I1134" s="1100">
        <v>1.0089818188340212</v>
      </c>
      <c r="K1134">
        <v>2.2084367829053884</v>
      </c>
      <c r="L1134">
        <v>0</v>
      </c>
      <c r="M1134">
        <v>1.6337610472472299E-3</v>
      </c>
      <c r="N1134">
        <v>0.14146968622270284</v>
      </c>
      <c r="O1134">
        <v>1.9799000159884231E-2</v>
      </c>
      <c r="P1134">
        <v>2.5651356471589361E-2</v>
      </c>
      <c r="Q1134">
        <v>5.4316159103678331E-3</v>
      </c>
      <c r="R1134">
        <v>1.6112129794207523E-3</v>
      </c>
      <c r="S1134">
        <v>0.2455208549224531</v>
      </c>
      <c r="T1134">
        <v>1.3306164702454726</v>
      </c>
      <c r="U1134">
        <v>0.14325348774777821</v>
      </c>
      <c r="V1134">
        <v>0.18373767124846363</v>
      </c>
      <c r="W1134">
        <v>9.3844113158029915E-2</v>
      </c>
      <c r="X1134">
        <v>1.4749884292706565E-2</v>
      </c>
      <c r="Y1134">
        <v>4.3851905937673684E-3</v>
      </c>
    </row>
    <row r="1135" spans="1:25" x14ac:dyDescent="0.25">
      <c r="A1135" s="1096"/>
      <c r="B1135" s="1455">
        <v>885</v>
      </c>
      <c r="C1135" s="1100">
        <v>1.0145788255999861</v>
      </c>
      <c r="D1135" s="1100">
        <v>0.98742372366553754</v>
      </c>
      <c r="E1135" s="1100">
        <v>1.0001171394514954</v>
      </c>
      <c r="F1135" s="1100">
        <v>1.0095320351728718</v>
      </c>
      <c r="G1135" s="1100">
        <v>1.0003854863836597</v>
      </c>
      <c r="H1135" s="1100">
        <v>1.0088422883111159</v>
      </c>
      <c r="I1135" s="1100">
        <v>0.96944335019120631</v>
      </c>
      <c r="K1135">
        <v>2.2171259698447598</v>
      </c>
      <c r="L1135">
        <v>0</v>
      </c>
      <c r="M1135">
        <v>1.5418413062160588E-3</v>
      </c>
      <c r="N1135">
        <v>0.14026637193740649</v>
      </c>
      <c r="O1135">
        <v>1.9522737171626468E-2</v>
      </c>
      <c r="P1135">
        <v>2.6120068323103717E-2</v>
      </c>
      <c r="Q1135">
        <v>5.4451064694146928E-3</v>
      </c>
      <c r="R1135">
        <v>1.5203605100200294E-3</v>
      </c>
      <c r="S1135">
        <v>0.23291347677863336</v>
      </c>
      <c r="T1135">
        <v>1.356673602156715</v>
      </c>
      <c r="U1135">
        <v>0.14072124459548141</v>
      </c>
      <c r="V1135">
        <v>0.18391756022135691</v>
      </c>
      <c r="W1135">
        <v>9.2139056414022216E-2</v>
      </c>
      <c r="X1135">
        <v>1.5290306451626044E-2</v>
      </c>
      <c r="Y1135">
        <v>4.1379201215670895E-3</v>
      </c>
    </row>
    <row r="1136" spans="1:25" x14ac:dyDescent="0.25">
      <c r="A1136" s="1096"/>
      <c r="B1136" s="1455">
        <v>886</v>
      </c>
      <c r="C1136" s="1100">
        <v>1.0018783233347321</v>
      </c>
      <c r="D1136" s="1100">
        <v>1.0130519862921386</v>
      </c>
      <c r="E1136" s="1100">
        <v>1.0066162862595542</v>
      </c>
      <c r="F1136" s="1100">
        <v>1.0315967559094747</v>
      </c>
      <c r="G1136" s="1100">
        <v>0.98578771300482837</v>
      </c>
      <c r="H1136" s="1100">
        <v>0.96676969916601663</v>
      </c>
      <c r="I1136" s="1100">
        <v>0.97667916125997933</v>
      </c>
      <c r="K1136">
        <v>2.2398247174409018</v>
      </c>
      <c r="L1136">
        <v>0</v>
      </c>
      <c r="M1136">
        <v>1.4679260327499228E-3</v>
      </c>
      <c r="N1136">
        <v>0.13610571125956447</v>
      </c>
      <c r="O1136">
        <v>1.9663128826952918E-2</v>
      </c>
      <c r="P1136">
        <v>2.6644568193826573E-2</v>
      </c>
      <c r="Q1136">
        <v>5.520141091220258E-3</v>
      </c>
      <c r="R1136">
        <v>1.4465850153821385E-3</v>
      </c>
      <c r="S1136">
        <v>0.23138463193584213</v>
      </c>
      <c r="T1136">
        <v>1.3863367459453708</v>
      </c>
      <c r="U1136">
        <v>0.14252006725465294</v>
      </c>
      <c r="V1136">
        <v>0.18301447776287125</v>
      </c>
      <c r="W1136">
        <v>8.9062202258349488E-2</v>
      </c>
      <c r="X1136">
        <v>1.5657256384367518E-2</v>
      </c>
      <c r="Y1136">
        <v>3.9371275452480207E-3</v>
      </c>
    </row>
    <row r="1137" spans="1:25" x14ac:dyDescent="0.25">
      <c r="A1137" s="1096"/>
      <c r="B1137" s="1455">
        <v>887</v>
      </c>
      <c r="C1137" s="1100">
        <v>0.99726306395227338</v>
      </c>
      <c r="D1137" s="1100">
        <v>0.97081497071269063</v>
      </c>
      <c r="E1137" s="1100">
        <v>1.002158283176029</v>
      </c>
      <c r="F1137" s="1100">
        <v>1.0299648348297907</v>
      </c>
      <c r="G1137" s="1100">
        <v>1.0063713370331286</v>
      </c>
      <c r="H1137" s="1100">
        <v>1.017797551094568</v>
      </c>
      <c r="I1137" s="1100">
        <v>0.97342372270172128</v>
      </c>
      <c r="K1137">
        <v>2.2655286694181016</v>
      </c>
      <c r="L1137">
        <v>0</v>
      </c>
      <c r="M1137">
        <v>1.581741506157464E-3</v>
      </c>
      <c r="N1137">
        <v>0.14480426024861723</v>
      </c>
      <c r="O1137">
        <v>1.9937264319741625E-2</v>
      </c>
      <c r="P1137">
        <v>2.6697857961357398E-2</v>
      </c>
      <c r="Q1137">
        <v>5.5721361944879996E-3</v>
      </c>
      <c r="R1137">
        <v>1.5598987173698409E-3</v>
      </c>
      <c r="S1137">
        <v>0.24068014170158697</v>
      </c>
      <c r="T1137">
        <v>1.3841359018071266</v>
      </c>
      <c r="U1137">
        <v>0.14316934060368122</v>
      </c>
      <c r="V1137">
        <v>0.18561123785806458</v>
      </c>
      <c r="W1137">
        <v>9.5004712259271512E-2</v>
      </c>
      <c r="X1137">
        <v>1.5692129164744217E-2</v>
      </c>
      <c r="Y1137">
        <v>4.2455300882067257E-3</v>
      </c>
    </row>
    <row r="1138" spans="1:25" x14ac:dyDescent="0.25">
      <c r="A1138" s="1096"/>
      <c r="B1138" s="1455">
        <v>888</v>
      </c>
      <c r="C1138" s="1100">
        <v>0.99700496697653163</v>
      </c>
      <c r="D1138" s="1100">
        <v>0.99008163987588738</v>
      </c>
      <c r="E1138" s="1100">
        <v>1.0357941384424911</v>
      </c>
      <c r="F1138" s="1100">
        <v>0.96993306652663924</v>
      </c>
      <c r="G1138" s="1100">
        <v>1.0178090503772386</v>
      </c>
      <c r="H1138" s="1100">
        <v>1.0177070384273552</v>
      </c>
      <c r="I1138" s="1100">
        <v>1.029096202510726</v>
      </c>
      <c r="K1138">
        <v>2.2031489385109659</v>
      </c>
      <c r="L1138">
        <v>0</v>
      </c>
      <c r="M1138">
        <v>1.46873224675862E-3</v>
      </c>
      <c r="N1138">
        <v>0.14881956251299075</v>
      </c>
      <c r="O1138">
        <v>1.9877575590905652E-2</v>
      </c>
      <c r="P1138">
        <v>2.6418323191395778E-2</v>
      </c>
      <c r="Q1138">
        <v>5.7444756381696688E-3</v>
      </c>
      <c r="R1138">
        <v>1.4484482361538315E-3</v>
      </c>
      <c r="S1138">
        <v>0.25228593999815335</v>
      </c>
      <c r="T1138">
        <v>1.3035264353378726</v>
      </c>
      <c r="U1138">
        <v>0.14328430016120713</v>
      </c>
      <c r="V1138">
        <v>0.18695009933834847</v>
      </c>
      <c r="W1138">
        <v>9.573489303792318E-2</v>
      </c>
      <c r="X1138">
        <v>1.6585419096627425E-2</v>
      </c>
      <c r="Y1138">
        <v>3.9421986179780065E-3</v>
      </c>
    </row>
    <row r="1139" spans="1:25" x14ac:dyDescent="0.25">
      <c r="A1139" s="1096"/>
      <c r="B1139" s="1455">
        <v>889</v>
      </c>
      <c r="C1139" s="1100">
        <v>1.0117746232059353</v>
      </c>
      <c r="D1139" s="1100">
        <v>1.0347148019746391</v>
      </c>
      <c r="E1139" s="1100">
        <v>1.028536730214185</v>
      </c>
      <c r="F1139" s="1100">
        <v>1.0105839274996384</v>
      </c>
      <c r="G1139" s="1100">
        <v>1.0237120129156252</v>
      </c>
      <c r="H1139" s="1100">
        <v>1.0161782161958641</v>
      </c>
      <c r="I1139" s="1100">
        <v>0.98840232693874142</v>
      </c>
      <c r="K1139">
        <v>2.2284657669951566</v>
      </c>
      <c r="L1139">
        <v>0</v>
      </c>
      <c r="M1139">
        <v>1.4529819624848684E-3</v>
      </c>
      <c r="N1139">
        <v>0.14403514859585101</v>
      </c>
      <c r="O1139">
        <v>1.9393847237046395E-2</v>
      </c>
      <c r="P1139">
        <v>2.674574037179369E-2</v>
      </c>
      <c r="Q1139">
        <v>5.5646573458138053E-3</v>
      </c>
      <c r="R1139">
        <v>1.4328852823994359E-3</v>
      </c>
      <c r="S1139">
        <v>0.23343955278478662</v>
      </c>
      <c r="T1139">
        <v>1.3581417938863642</v>
      </c>
      <c r="U1139">
        <v>0.14117607423941042</v>
      </c>
      <c r="V1139">
        <v>0.18674154108642715</v>
      </c>
      <c r="W1139">
        <v>9.3047602888827005E-2</v>
      </c>
      <c r="X1139">
        <v>1.6300063850735312E-2</v>
      </c>
      <c r="Y1139">
        <v>3.899841388184869E-3</v>
      </c>
    </row>
    <row r="1140" spans="1:25" x14ac:dyDescent="0.25">
      <c r="A1140" s="1096"/>
      <c r="B1140" s="1455">
        <v>890</v>
      </c>
      <c r="C1140" s="1100">
        <v>1.0047412636012578</v>
      </c>
      <c r="D1140" s="1100">
        <v>1.0014770886989557</v>
      </c>
      <c r="E1140" s="1100">
        <v>1.0159968143519051</v>
      </c>
      <c r="F1140" s="1100">
        <v>1.0272736794852617</v>
      </c>
      <c r="G1140" s="1100">
        <v>1.0262352877542018</v>
      </c>
      <c r="H1140" s="1100">
        <v>1.0356513945677115</v>
      </c>
      <c r="I1140" s="1100">
        <v>1.0052828528643463</v>
      </c>
      <c r="K1140">
        <v>2.2700050156600731</v>
      </c>
      <c r="L1140">
        <v>0</v>
      </c>
      <c r="M1140">
        <v>1.5416584903789434E-3</v>
      </c>
      <c r="N1140">
        <v>0.14719200885081224</v>
      </c>
      <c r="O1140">
        <v>1.9662572699488949E-2</v>
      </c>
      <c r="P1140">
        <v>2.6985728351428484E-2</v>
      </c>
      <c r="Q1140">
        <v>5.5719525125664231E-3</v>
      </c>
      <c r="R1140">
        <v>1.5207362319745114E-3</v>
      </c>
      <c r="S1140">
        <v>0.24444811077435427</v>
      </c>
      <c r="T1140">
        <v>1.3805447693718351</v>
      </c>
      <c r="U1140">
        <v>0.14213549878195167</v>
      </c>
      <c r="V1140">
        <v>0.18742602083943205</v>
      </c>
      <c r="W1140">
        <v>9.578587901026242E-2</v>
      </c>
      <c r="X1140">
        <v>1.6134454013475658E-2</v>
      </c>
      <c r="Y1140">
        <v>4.1389427128704801E-3</v>
      </c>
    </row>
    <row r="1141" spans="1:25" x14ac:dyDescent="0.25">
      <c r="A1141" s="1096"/>
      <c r="B1141" s="1455">
        <v>891</v>
      </c>
      <c r="C1141" s="1100">
        <v>1.0161915635106522</v>
      </c>
      <c r="D1141" s="1100">
        <v>1.0160665882108018</v>
      </c>
      <c r="E1141" s="1100">
        <v>0.96772080465946853</v>
      </c>
      <c r="F1141" s="1100">
        <v>0.98189256758449861</v>
      </c>
      <c r="G1141" s="1100">
        <v>0.99724502748295984</v>
      </c>
      <c r="H1141" s="1100">
        <v>1.0006916194922681</v>
      </c>
      <c r="I1141" s="1100">
        <v>0.99778876785566173</v>
      </c>
      <c r="K1141">
        <v>2.1697508090829389</v>
      </c>
      <c r="L1141">
        <v>0</v>
      </c>
      <c r="M1141">
        <v>1.6225776491814415E-3</v>
      </c>
      <c r="N1141">
        <v>0.13381720956816406</v>
      </c>
      <c r="O1141">
        <v>1.9349724800679518E-2</v>
      </c>
      <c r="P1141">
        <v>2.5011251433071077E-2</v>
      </c>
      <c r="Q1141">
        <v>5.2224110239209752E-3</v>
      </c>
      <c r="R1141">
        <v>1.5997879179439577E-3</v>
      </c>
      <c r="S1141">
        <v>0.23508168610644567</v>
      </c>
      <c r="T1141">
        <v>1.3194904782273706</v>
      </c>
      <c r="U1141">
        <v>0.14042470604222446</v>
      </c>
      <c r="V1141">
        <v>0.18344264486563308</v>
      </c>
      <c r="W1141">
        <v>8.9633765234398172E-2</v>
      </c>
      <c r="X1141">
        <v>1.3945626169570433E-2</v>
      </c>
      <c r="Y1141">
        <v>4.3540953426980363E-3</v>
      </c>
    </row>
    <row r="1142" spans="1:25" x14ac:dyDescent="0.25">
      <c r="A1142" s="1096"/>
      <c r="B1142" s="1455">
        <v>892</v>
      </c>
      <c r="C1142" s="1100">
        <v>0.97796451672393958</v>
      </c>
      <c r="D1142" s="1100">
        <v>1.0361431560918457</v>
      </c>
      <c r="E1142" s="1100">
        <v>1.0317695676671639</v>
      </c>
      <c r="F1142" s="1100">
        <v>1.0251134085479026</v>
      </c>
      <c r="G1142" s="1100">
        <v>1.0312234967872238</v>
      </c>
      <c r="H1142" s="1100">
        <v>1.0015743269775954</v>
      </c>
      <c r="I1142" s="1100">
        <v>0.98866119068006475</v>
      </c>
      <c r="K1142">
        <v>2.2696496222848443</v>
      </c>
      <c r="L1142">
        <v>0</v>
      </c>
      <c r="M1142">
        <v>1.4712169100864504E-3</v>
      </c>
      <c r="N1142">
        <v>0.14724093616419959</v>
      </c>
      <c r="O1142">
        <v>2.00602995800832E-2</v>
      </c>
      <c r="P1142">
        <v>2.72851577681942E-2</v>
      </c>
      <c r="Q1142">
        <v>5.7743072008252412E-3</v>
      </c>
      <c r="R1142">
        <v>1.4505713104563745E-3</v>
      </c>
      <c r="S1142">
        <v>0.24025883548091581</v>
      </c>
      <c r="T1142">
        <v>1.3776756427992038</v>
      </c>
      <c r="U1142">
        <v>0.14606444683540895</v>
      </c>
      <c r="V1142">
        <v>0.18962161852411444</v>
      </c>
      <c r="W1142">
        <v>9.4940252430140967E-2</v>
      </c>
      <c r="X1142">
        <v>1.6800794175030602E-2</v>
      </c>
      <c r="Y1142">
        <v>3.9479769263582728E-3</v>
      </c>
    </row>
    <row r="1143" spans="1:25" x14ac:dyDescent="0.25">
      <c r="A1143" s="1096"/>
      <c r="B1143" s="1455">
        <v>893</v>
      </c>
      <c r="C1143" s="1100">
        <v>0.96777190799857393</v>
      </c>
      <c r="D1143" s="1100">
        <v>0.99578018378632438</v>
      </c>
      <c r="E1143" s="1100">
        <v>0.98870781390719453</v>
      </c>
      <c r="F1143" s="1100">
        <v>1.006074924587026</v>
      </c>
      <c r="G1143" s="1100">
        <v>0.96636843421616203</v>
      </c>
      <c r="H1143" s="1100">
        <v>0.99956226154440408</v>
      </c>
      <c r="I1143" s="1100">
        <v>0.97846073440845505</v>
      </c>
      <c r="K1143">
        <v>2.2376560417335178</v>
      </c>
      <c r="L1143">
        <v>0</v>
      </c>
      <c r="M1143">
        <v>1.6368281901726486E-3</v>
      </c>
      <c r="N1143">
        <v>0.14384134037538257</v>
      </c>
      <c r="O1143">
        <v>2.042169162589139E-2</v>
      </c>
      <c r="P1143">
        <v>2.6070288472294194E-2</v>
      </c>
      <c r="Q1143">
        <v>5.6306853836993395E-3</v>
      </c>
      <c r="R1143">
        <v>1.6138123293897159E-3</v>
      </c>
      <c r="S1143">
        <v>0.24457484316270245</v>
      </c>
      <c r="T1143">
        <v>1.3520108380425913</v>
      </c>
      <c r="U1143">
        <v>0.1475002004440463</v>
      </c>
      <c r="V1143">
        <v>0.18289002975533913</v>
      </c>
      <c r="W1143">
        <v>9.5133164305792731E-2</v>
      </c>
      <c r="X1143">
        <v>1.5213710859052775E-2</v>
      </c>
      <c r="Y1143">
        <v>4.3922651675074005E-3</v>
      </c>
    </row>
    <row r="1144" spans="1:25" x14ac:dyDescent="0.25">
      <c r="A1144" s="1096"/>
      <c r="B1144" s="1455">
        <v>894</v>
      </c>
      <c r="C1144" s="1100">
        <v>0.99362024930500126</v>
      </c>
      <c r="D1144" s="1100">
        <v>1.000268073993499</v>
      </c>
      <c r="E1144" s="1100">
        <v>0.99916287881641419</v>
      </c>
      <c r="F1144" s="1100">
        <v>1.0049219994133916</v>
      </c>
      <c r="G1144" s="1100">
        <v>0.99725710001197232</v>
      </c>
      <c r="H1144" s="1100">
        <v>0.96688416028953772</v>
      </c>
      <c r="I1144" s="1100">
        <v>0.98653310899719626</v>
      </c>
      <c r="K1144">
        <v>2.2134807823569838</v>
      </c>
      <c r="L1144">
        <v>0</v>
      </c>
      <c r="M1144">
        <v>1.5075821409495898E-3</v>
      </c>
      <c r="N1144">
        <v>0.13667100865104076</v>
      </c>
      <c r="O1144">
        <v>1.9877334002017227E-2</v>
      </c>
      <c r="P1144">
        <v>2.6126793120482578E-2</v>
      </c>
      <c r="Q1144">
        <v>5.5386910944222861E-3</v>
      </c>
      <c r="R1144">
        <v>1.4856671893714768E-3</v>
      </c>
      <c r="S1144">
        <v>0.23711877322705913</v>
      </c>
      <c r="T1144">
        <v>1.350476822535684</v>
      </c>
      <c r="U1144">
        <v>0.14368728726307095</v>
      </c>
      <c r="V1144">
        <v>0.18479644597878736</v>
      </c>
      <c r="W1144">
        <v>8.9828258618812343E-2</v>
      </c>
      <c r="X1144">
        <v>1.5337786477770517E-2</v>
      </c>
      <c r="Y1144">
        <v>4.0434963394118074E-3</v>
      </c>
    </row>
    <row r="1145" spans="1:25" x14ac:dyDescent="0.25">
      <c r="A1145" s="1096"/>
      <c r="B1145" s="1455">
        <v>895</v>
      </c>
      <c r="C1145" s="1100">
        <v>1.0365217917419418</v>
      </c>
      <c r="D1145" s="1100">
        <v>0.99283884981043835</v>
      </c>
      <c r="E1145" s="1100">
        <v>1.0084139656954043</v>
      </c>
      <c r="F1145" s="1100">
        <v>0.99986584868346429</v>
      </c>
      <c r="G1145" s="1100">
        <v>1.0102019472863206</v>
      </c>
      <c r="H1145" s="1100">
        <v>1.0005347317298534</v>
      </c>
      <c r="I1145" s="1100">
        <v>0.99490459474326698</v>
      </c>
      <c r="K1145">
        <v>2.1944515840213983</v>
      </c>
      <c r="L1145">
        <v>0</v>
      </c>
      <c r="M1145">
        <v>1.469447826852553E-3</v>
      </c>
      <c r="N1145">
        <v>0.1370565956700712</v>
      </c>
      <c r="O1145">
        <v>1.909147726957643E-2</v>
      </c>
      <c r="P1145">
        <v>2.6058862693166224E-2</v>
      </c>
      <c r="Q1145">
        <v>5.3693114983567299E-3</v>
      </c>
      <c r="R1145">
        <v>1.4488056269811346E-3</v>
      </c>
      <c r="S1145">
        <v>0.23275366543618939</v>
      </c>
      <c r="T1145">
        <v>1.3436975376715079</v>
      </c>
      <c r="U1145">
        <v>0.13776064412198502</v>
      </c>
      <c r="V1145">
        <v>0.1837963929232613</v>
      </c>
      <c r="W1145">
        <v>8.9589217814691813E-2</v>
      </c>
      <c r="X1145">
        <v>1.5355349804465263E-2</v>
      </c>
      <c r="Y1145">
        <v>3.943171317996071E-3</v>
      </c>
    </row>
    <row r="1146" spans="1:25" x14ac:dyDescent="0.25">
      <c r="A1146" s="1096"/>
      <c r="B1146" s="1455">
        <v>896</v>
      </c>
      <c r="C1146" s="1100">
        <v>1.0064544744824953</v>
      </c>
      <c r="D1146" s="1100">
        <v>0.9950149084746287</v>
      </c>
      <c r="E1146" s="1100">
        <v>0.97785643503827757</v>
      </c>
      <c r="F1146" s="1100">
        <v>1.0207891818163515</v>
      </c>
      <c r="G1146" s="1100">
        <v>0.97704775435946756</v>
      </c>
      <c r="H1146" s="1100">
        <v>1.0205676464308895</v>
      </c>
      <c r="I1146" s="1100">
        <v>1.0093235745523661</v>
      </c>
      <c r="K1146">
        <v>2.2425797537396459</v>
      </c>
      <c r="L1146">
        <v>0</v>
      </c>
      <c r="M1146">
        <v>1.6437558100576737E-3</v>
      </c>
      <c r="N1146">
        <v>0.13982660720993606</v>
      </c>
      <c r="O1146">
        <v>1.9633391464973116E-2</v>
      </c>
      <c r="P1146">
        <v>2.60264041706279E-2</v>
      </c>
      <c r="Q1146">
        <v>5.3540648447500897E-3</v>
      </c>
      <c r="R1146">
        <v>1.6211182569910872E-3</v>
      </c>
      <c r="S1146">
        <v>0.24429146966585064</v>
      </c>
      <c r="T1146">
        <v>1.3717709623250449</v>
      </c>
      <c r="U1146">
        <v>0.14180634853908761</v>
      </c>
      <c r="V1146">
        <v>0.18173238161673466</v>
      </c>
      <c r="W1146">
        <v>9.3084269662164223E-2</v>
      </c>
      <c r="X1146">
        <v>1.4664342299505034E-2</v>
      </c>
      <c r="Y1146">
        <v>4.412149494039945E-3</v>
      </c>
    </row>
    <row r="1147" spans="1:25" x14ac:dyDescent="0.25">
      <c r="A1147" s="1096"/>
      <c r="B1147" s="1455">
        <v>897</v>
      </c>
      <c r="C1147" s="1100">
        <v>1.0135476834988673</v>
      </c>
      <c r="D1147" s="1100">
        <v>0.98087513065875664</v>
      </c>
      <c r="E1147" s="1100">
        <v>1.0193828430330747</v>
      </c>
      <c r="F1147" s="1100">
        <v>1.0363903241241355</v>
      </c>
      <c r="G1147" s="1100">
        <v>0.98828599677371609</v>
      </c>
      <c r="H1147" s="1100">
        <v>0.99634233125203031</v>
      </c>
      <c r="I1147" s="1100">
        <v>1.0059755444460372</v>
      </c>
      <c r="K1147">
        <v>2.2638088550679201</v>
      </c>
      <c r="L1147">
        <v>0</v>
      </c>
      <c r="M1147">
        <v>1.4666301485576926E-3</v>
      </c>
      <c r="N1147">
        <v>0.14138974032964755</v>
      </c>
      <c r="O1147">
        <v>1.9583170524616767E-2</v>
      </c>
      <c r="P1147">
        <v>2.7103716167352548E-2</v>
      </c>
      <c r="Q1147">
        <v>5.5681875364078552E-3</v>
      </c>
      <c r="R1147">
        <v>1.4459408387587362E-3</v>
      </c>
      <c r="S1147">
        <v>0.24189163278287606</v>
      </c>
      <c r="T1147">
        <v>1.392803479550786</v>
      </c>
      <c r="U1147">
        <v>0.14090823727944163</v>
      </c>
      <c r="V1147">
        <v>0.18262643717734886</v>
      </c>
      <c r="W1147">
        <v>9.1827603082049805E-2</v>
      </c>
      <c r="X1147">
        <v>1.6191965638358393E-2</v>
      </c>
      <c r="Y1147">
        <v>3.9353743088318864E-3</v>
      </c>
    </row>
    <row r="1148" spans="1:25" x14ac:dyDescent="0.25">
      <c r="A1148" s="1096"/>
      <c r="B1148" s="1455">
        <v>898</v>
      </c>
      <c r="C1148" s="1100">
        <v>0.99722713072511182</v>
      </c>
      <c r="D1148" s="1100">
        <v>1.0065420467817308</v>
      </c>
      <c r="E1148" s="1100">
        <v>0.98757524484122272</v>
      </c>
      <c r="F1148" s="1100">
        <v>1.0139455700435542</v>
      </c>
      <c r="G1148" s="1100">
        <v>1.0234254084571461</v>
      </c>
      <c r="H1148" s="1100">
        <v>0.9590569306787321</v>
      </c>
      <c r="I1148" s="1100">
        <v>1.0300393731465889</v>
      </c>
      <c r="K1148">
        <v>2.2305937940791165</v>
      </c>
      <c r="L1148">
        <v>0</v>
      </c>
      <c r="M1148">
        <v>1.5240804628668544E-3</v>
      </c>
      <c r="N1148">
        <v>0.13339498825998272</v>
      </c>
      <c r="O1148">
        <v>1.9770973344938929E-2</v>
      </c>
      <c r="P1148">
        <v>2.6202810035185823E-2</v>
      </c>
      <c r="Q1148">
        <v>5.4450255440356412E-3</v>
      </c>
      <c r="R1148">
        <v>1.5017448700013047E-3</v>
      </c>
      <c r="S1148">
        <v>0.24517148960336502</v>
      </c>
      <c r="T1148">
        <v>1.3625862506437503</v>
      </c>
      <c r="U1148">
        <v>0.14314085868856566</v>
      </c>
      <c r="V1148">
        <v>0.18752845928337494</v>
      </c>
      <c r="W1148">
        <v>8.8284167687197504E-2</v>
      </c>
      <c r="X1148">
        <v>1.5003852095503692E-2</v>
      </c>
      <c r="Y1148">
        <v>4.0872544860802032E-3</v>
      </c>
    </row>
    <row r="1149" spans="1:25" x14ac:dyDescent="0.25">
      <c r="A1149" s="1096"/>
      <c r="B1149" s="1455">
        <v>899</v>
      </c>
      <c r="C1149" s="1100">
        <v>1.0054719040078923</v>
      </c>
      <c r="D1149" s="1100">
        <v>1.0144659853670612</v>
      </c>
      <c r="E1149" s="1100">
        <v>1.0155952737665643</v>
      </c>
      <c r="F1149" s="1100">
        <v>1.007768760587566</v>
      </c>
      <c r="G1149" s="1100">
        <v>1.0378090772117949</v>
      </c>
      <c r="H1149" s="1100">
        <v>0.99536379144560505</v>
      </c>
      <c r="I1149" s="1100">
        <v>0.96403257885241189</v>
      </c>
      <c r="K1149">
        <v>2.2185871526719159</v>
      </c>
      <c r="L1149">
        <v>0</v>
      </c>
      <c r="M1149">
        <v>1.477651802562233E-3</v>
      </c>
      <c r="N1149">
        <v>0.14083156455473145</v>
      </c>
      <c r="O1149">
        <v>1.9592411375769395E-2</v>
      </c>
      <c r="P1149">
        <v>2.6427962947782591E-2</v>
      </c>
      <c r="Q1149">
        <v>5.549849274824421E-3</v>
      </c>
      <c r="R1149">
        <v>1.4567865211465593E-3</v>
      </c>
      <c r="S1149">
        <v>0.22966938642664825</v>
      </c>
      <c r="T1149">
        <v>1.3543314848320003</v>
      </c>
      <c r="U1149">
        <v>0.14203129233520015</v>
      </c>
      <c r="V1149">
        <v>0.18869095373146588</v>
      </c>
      <c r="W1149">
        <v>9.1668394292133776E-2</v>
      </c>
      <c r="X1149">
        <v>1.5849825501759264E-2</v>
      </c>
      <c r="Y1149">
        <v>3.9648926810133042E-3</v>
      </c>
    </row>
    <row r="1150" spans="1:25" x14ac:dyDescent="0.25">
      <c r="A1150" s="1096"/>
      <c r="B1150" s="1455">
        <v>900</v>
      </c>
      <c r="C1150" s="1100">
        <v>1.0300796120885078</v>
      </c>
      <c r="D1150" s="1100">
        <v>1.0212011604962239</v>
      </c>
      <c r="E1150" s="1100">
        <v>1.0215913415839695</v>
      </c>
      <c r="F1150" s="1100">
        <v>0.98981585302099662</v>
      </c>
      <c r="G1150" s="1100">
        <v>0.97703578804327762</v>
      </c>
      <c r="H1150" s="1100">
        <v>1.024785480106879</v>
      </c>
      <c r="I1150" s="1100">
        <v>1.0062744330683879</v>
      </c>
      <c r="K1150">
        <v>2.1896385277669008</v>
      </c>
      <c r="L1150">
        <v>0</v>
      </c>
      <c r="M1150">
        <v>1.4644452021502065E-3</v>
      </c>
      <c r="N1150">
        <v>0.1421792650865541</v>
      </c>
      <c r="O1150">
        <v>1.910017476946254E-2</v>
      </c>
      <c r="P1150">
        <v>2.6130482828264936E-2</v>
      </c>
      <c r="Q1150">
        <v>5.4427884666166885E-3</v>
      </c>
      <c r="R1150">
        <v>1.4443600956437468E-3</v>
      </c>
      <c r="S1150">
        <v>0.23557644783278864</v>
      </c>
      <c r="T1150">
        <v>1.3302165589676185</v>
      </c>
      <c r="U1150">
        <v>0.13865172785214194</v>
      </c>
      <c r="V1150">
        <v>0.1804171140791066</v>
      </c>
      <c r="W1150">
        <v>9.2221181996014867E-2</v>
      </c>
      <c r="X1150">
        <v>1.579179894767041E-2</v>
      </c>
      <c r="Y1150">
        <v>3.9310720471647147E-3</v>
      </c>
    </row>
    <row r="1151" spans="1:25" x14ac:dyDescent="0.25">
      <c r="A1151" s="1096"/>
      <c r="B1151" s="1455">
        <v>901</v>
      </c>
      <c r="C1151" s="1100">
        <v>0.97694625562265569</v>
      </c>
      <c r="D1151" s="1100">
        <v>0.97009768648063344</v>
      </c>
      <c r="E1151" s="1100">
        <v>1.0008621112618932</v>
      </c>
      <c r="F1151" s="1100">
        <v>1.0007519292834792</v>
      </c>
      <c r="G1151" s="1100">
        <v>1.0101650034856307</v>
      </c>
      <c r="H1151" s="1100">
        <v>0.96038791918366373</v>
      </c>
      <c r="I1151" s="1100">
        <v>0.98687268190281408</v>
      </c>
      <c r="K1151">
        <v>2.2253345855342652</v>
      </c>
      <c r="L1151">
        <v>0</v>
      </c>
      <c r="M1151">
        <v>1.5279122787713745E-3</v>
      </c>
      <c r="N1151">
        <v>0.13921308492045426</v>
      </c>
      <c r="O1151">
        <v>2.0354359521209637E-2</v>
      </c>
      <c r="P1151">
        <v>2.6251419536606251E-2</v>
      </c>
      <c r="Q1151">
        <v>5.6813066939118131E-3</v>
      </c>
      <c r="R1151">
        <v>1.5055515625754803E-3</v>
      </c>
      <c r="S1151">
        <v>0.24448327828320449</v>
      </c>
      <c r="T1151">
        <v>1.3448755301705089</v>
      </c>
      <c r="U1151">
        <v>0.14614366916254684</v>
      </c>
      <c r="V1151">
        <v>0.18727603323929393</v>
      </c>
      <c r="W1151">
        <v>9.1406701115709088E-2</v>
      </c>
      <c r="X1151">
        <v>1.5573948558623808E-2</v>
      </c>
      <c r="Y1151">
        <v>4.0976150483912387E-3</v>
      </c>
    </row>
    <row r="1152" spans="1:25" x14ac:dyDescent="0.25">
      <c r="A1152" s="1096"/>
      <c r="B1152" s="1455">
        <v>902</v>
      </c>
      <c r="C1152" s="1100">
        <v>1.0224129768028276</v>
      </c>
      <c r="D1152" s="1100">
        <v>0.98518678418748773</v>
      </c>
      <c r="E1152" s="1100">
        <v>1.0159550058349458</v>
      </c>
      <c r="F1152" s="1100">
        <v>0.98913857190761345</v>
      </c>
      <c r="G1152" s="1100">
        <v>0.9966632854966504</v>
      </c>
      <c r="H1152" s="1100">
        <v>1.0294407958995426</v>
      </c>
      <c r="I1152" s="1100">
        <v>0.99091645979690601</v>
      </c>
      <c r="K1152">
        <v>2.1992005269752375</v>
      </c>
      <c r="L1152">
        <v>0</v>
      </c>
      <c r="M1152">
        <v>1.511501346191931E-3</v>
      </c>
      <c r="N1152">
        <v>0.14428253049444303</v>
      </c>
      <c r="O1152">
        <v>1.9392535206473563E-2</v>
      </c>
      <c r="P1152">
        <v>2.6097499927124321E-2</v>
      </c>
      <c r="Q1152">
        <v>5.495200750948036E-3</v>
      </c>
      <c r="R1152">
        <v>1.4908646039282632E-3</v>
      </c>
      <c r="S1152">
        <v>0.238240653997008</v>
      </c>
      <c r="T1152">
        <v>1.3292952273803302</v>
      </c>
      <c r="U1152">
        <v>0.13967868894117605</v>
      </c>
      <c r="V1152">
        <v>0.18306260532219018</v>
      </c>
      <c r="W1152">
        <v>9.3894826482863819E-2</v>
      </c>
      <c r="X1152">
        <v>1.5723753226433251E-2</v>
      </c>
      <c r="Y1152">
        <v>4.0576419885081311E-3</v>
      </c>
    </row>
    <row r="1153" spans="1:25" x14ac:dyDescent="0.25">
      <c r="A1153" s="1096"/>
      <c r="B1153" s="1455">
        <v>903</v>
      </c>
      <c r="C1153" s="1100">
        <v>1.0107107394661294</v>
      </c>
      <c r="D1153" s="1100">
        <v>1.0217092878736007</v>
      </c>
      <c r="E1153" s="1100">
        <v>0.97140657269102226</v>
      </c>
      <c r="F1153" s="1100">
        <v>0.98467459710343452</v>
      </c>
      <c r="G1153" s="1100">
        <v>0.9648272831279272</v>
      </c>
      <c r="H1153" s="1100">
        <v>0.99300759096630398</v>
      </c>
      <c r="I1153" s="1100">
        <v>1.0175561782293678</v>
      </c>
      <c r="K1153">
        <v>2.1758063292981378</v>
      </c>
      <c r="L1153">
        <v>0</v>
      </c>
      <c r="M1153">
        <v>1.6046229261611929E-3</v>
      </c>
      <c r="N1153">
        <v>0.13380690274213375</v>
      </c>
      <c r="O1153">
        <v>1.9433220588792564E-2</v>
      </c>
      <c r="P1153">
        <v>2.5160454972829652E-2</v>
      </c>
      <c r="Q1153">
        <v>5.2647467238471062E-3</v>
      </c>
      <c r="R1153">
        <v>1.5819109773140907E-3</v>
      </c>
      <c r="S1153">
        <v>0.23978895988008916</v>
      </c>
      <c r="T1153">
        <v>1.3232323862926083</v>
      </c>
      <c r="U1153">
        <v>0.14119454732426615</v>
      </c>
      <c r="V1153">
        <v>0.18009741686557787</v>
      </c>
      <c r="W1153">
        <v>8.9425958988126164E-2</v>
      </c>
      <c r="X1153">
        <v>1.4119006665278416E-2</v>
      </c>
      <c r="Y1153">
        <v>4.3054402034354332E-3</v>
      </c>
    </row>
    <row r="1154" spans="1:25" x14ac:dyDescent="0.25">
      <c r="A1154" s="1096"/>
      <c r="B1154" s="1455">
        <v>904</v>
      </c>
      <c r="C1154" s="1100">
        <v>0.98347712279937194</v>
      </c>
      <c r="D1154" s="1100">
        <v>1.0122026577634744</v>
      </c>
      <c r="E1154" s="1100">
        <v>0.99477974358071874</v>
      </c>
      <c r="F1154" s="1100">
        <v>0.97591441921070121</v>
      </c>
      <c r="G1154" s="1100">
        <v>1.0010496177488917</v>
      </c>
      <c r="H1154" s="1100">
        <v>0.97872362082576336</v>
      </c>
      <c r="I1154" s="1100">
        <v>0.95594567522409302</v>
      </c>
      <c r="K1154">
        <v>2.1747271415619656</v>
      </c>
      <c r="L1154">
        <v>0</v>
      </c>
      <c r="M1154">
        <v>1.5518018871744574E-3</v>
      </c>
      <c r="N1154">
        <v>0.13885349016560902</v>
      </c>
      <c r="O1154">
        <v>2.0027230391905064E-2</v>
      </c>
      <c r="P1154">
        <v>2.5471258388157669E-2</v>
      </c>
      <c r="Q1154">
        <v>5.5558851598099673E-3</v>
      </c>
      <c r="R1154">
        <v>1.5295170131830647E-3</v>
      </c>
      <c r="S1154">
        <v>0.23164894792935348</v>
      </c>
      <c r="T1154">
        <v>1.3114880995930611</v>
      </c>
      <c r="U1154">
        <v>0.14515895522833719</v>
      </c>
      <c r="V1154">
        <v>0.18583699781911492</v>
      </c>
      <c r="W1154">
        <v>9.1501343374118096E-2</v>
      </c>
      <c r="X1154">
        <v>1.5044377281753627E-2</v>
      </c>
      <c r="Y1154">
        <v>4.1628411047364136E-3</v>
      </c>
    </row>
    <row r="1155" spans="1:25" x14ac:dyDescent="0.25">
      <c r="A1155" s="1096"/>
      <c r="B1155" s="1455">
        <v>905</v>
      </c>
      <c r="C1155" s="1100">
        <v>1.0065577831038435</v>
      </c>
      <c r="D1155" s="1100">
        <v>0.97754302839792395</v>
      </c>
      <c r="E1155" s="1100">
        <v>0.9838929876443856</v>
      </c>
      <c r="F1155" s="1100">
        <v>1.0115889528421294</v>
      </c>
      <c r="G1155" s="1100">
        <v>0.99971498728456198</v>
      </c>
      <c r="H1155" s="1100">
        <v>0.96200348596030771</v>
      </c>
      <c r="I1155" s="1100">
        <v>0.97712673790158699</v>
      </c>
      <c r="K1155">
        <v>2.2105697586832966</v>
      </c>
      <c r="L1155">
        <v>0</v>
      </c>
      <c r="M1155">
        <v>1.536025558160625E-3</v>
      </c>
      <c r="N1155">
        <v>0.13295763948838252</v>
      </c>
      <c r="O1155">
        <v>1.9711790316566329E-2</v>
      </c>
      <c r="P1155">
        <v>2.5875609084812116E-2</v>
      </c>
      <c r="Q1155">
        <v>5.4085108819193076E-3</v>
      </c>
      <c r="R1155">
        <v>1.5135838570890967E-3</v>
      </c>
      <c r="S1155">
        <v>0.23404148285868923</v>
      </c>
      <c r="T1155">
        <v>1.3594145510259379</v>
      </c>
      <c r="U1155">
        <v>0.14180555927419905</v>
      </c>
      <c r="V1155">
        <v>0.18429377143548206</v>
      </c>
      <c r="W1155">
        <v>8.818969865256171E-2</v>
      </c>
      <c r="X1155">
        <v>1.4774111059604021E-2</v>
      </c>
      <c r="Y1155">
        <v>4.1194763062121272E-3</v>
      </c>
    </row>
    <row r="1156" spans="1:25" x14ac:dyDescent="0.25">
      <c r="A1156" s="1096"/>
      <c r="B1156" s="1455">
        <v>906</v>
      </c>
      <c r="C1156" s="1100">
        <v>1.0237846327650353</v>
      </c>
      <c r="D1156" s="1100">
        <v>0.99048723515742143</v>
      </c>
      <c r="E1156" s="1100">
        <v>1.0359205859969636</v>
      </c>
      <c r="F1156" s="1100">
        <v>1.0017670982159874</v>
      </c>
      <c r="G1156" s="1100">
        <v>1.0223443821878802</v>
      </c>
      <c r="H1156" s="1100">
        <v>0.97329162698131255</v>
      </c>
      <c r="I1156" s="1100">
        <v>1.0325771745482308</v>
      </c>
      <c r="K1156">
        <v>2.2141064570749376</v>
      </c>
      <c r="L1156">
        <v>0</v>
      </c>
      <c r="M1156">
        <v>1.3674072905929988E-3</v>
      </c>
      <c r="N1156">
        <v>0.13851701728757887</v>
      </c>
      <c r="O1156">
        <v>1.9355961096465139E-2</v>
      </c>
      <c r="P1156">
        <v>2.6820891531586667E-2</v>
      </c>
      <c r="Q1156">
        <v>5.5944299382328817E-3</v>
      </c>
      <c r="R1156">
        <v>1.3476608473744229E-3</v>
      </c>
      <c r="S1156">
        <v>0.24286703752152333</v>
      </c>
      <c r="T1156">
        <v>1.3463095852010651</v>
      </c>
      <c r="U1156">
        <v>0.13953662426902683</v>
      </c>
      <c r="V1156">
        <v>0.18590549918378918</v>
      </c>
      <c r="W1156">
        <v>8.9100806094868035E-2</v>
      </c>
      <c r="X1156">
        <v>1.645046282374605E-2</v>
      </c>
      <c r="Y1156">
        <v>3.6678885702742391E-3</v>
      </c>
    </row>
    <row r="1157" spans="1:25" x14ac:dyDescent="0.25">
      <c r="A1157" s="1096"/>
      <c r="B1157" s="1455">
        <v>907</v>
      </c>
      <c r="C1157" s="1100">
        <v>1.0270536672038251</v>
      </c>
      <c r="D1157" s="1100">
        <v>1.0201313713494755</v>
      </c>
      <c r="E1157" s="1100">
        <v>0.98899651074784656</v>
      </c>
      <c r="F1157" s="1100">
        <v>1.0209461413926326</v>
      </c>
      <c r="G1157" s="1100">
        <v>1.0058321306706897</v>
      </c>
      <c r="H1157" s="1100">
        <v>0.97962657721493318</v>
      </c>
      <c r="I1157" s="1100">
        <v>1.0242662762393673</v>
      </c>
      <c r="K1157">
        <v>2.2204897199085205</v>
      </c>
      <c r="L1157">
        <v>0</v>
      </c>
      <c r="M1157">
        <v>1.5026771359964207E-3</v>
      </c>
      <c r="N1157">
        <v>0.13212936510863654</v>
      </c>
      <c r="O1157">
        <v>1.914111224844554E-2</v>
      </c>
      <c r="P1157">
        <v>2.6138118092024022E-2</v>
      </c>
      <c r="Q1157">
        <v>5.279144235172414E-3</v>
      </c>
      <c r="R1157">
        <v>1.4811176155580886E-3</v>
      </c>
      <c r="S1157">
        <v>0.23677942615882541</v>
      </c>
      <c r="T1157">
        <v>1.3719958767505542</v>
      </c>
      <c r="U1157">
        <v>0.13898710307574216</v>
      </c>
      <c r="V1157">
        <v>0.18381363904963696</v>
      </c>
      <c r="W1157">
        <v>8.7372022934959034E-2</v>
      </c>
      <c r="X1157">
        <v>1.4844357875705221E-2</v>
      </c>
      <c r="Y1157">
        <v>4.0311138992583677E-3</v>
      </c>
    </row>
    <row r="1158" spans="1:25" x14ac:dyDescent="0.25">
      <c r="A1158" s="1096"/>
      <c r="B1158" s="1455">
        <v>908</v>
      </c>
      <c r="C1158" s="1100">
        <v>1.0246295553815796</v>
      </c>
      <c r="D1158" s="1100">
        <v>0.98856993434547624</v>
      </c>
      <c r="E1158" s="1100">
        <v>0.97304329954242341</v>
      </c>
      <c r="F1158" s="1100">
        <v>1.0116252518448943</v>
      </c>
      <c r="G1158" s="1100">
        <v>1.0039712997796897</v>
      </c>
      <c r="H1158" s="1100">
        <v>0.99200773409690712</v>
      </c>
      <c r="I1158" s="1100">
        <v>1.0071295317674598</v>
      </c>
      <c r="K1158">
        <v>2.210985915656102</v>
      </c>
      <c r="L1158">
        <v>0</v>
      </c>
      <c r="M1158">
        <v>1.5873689440093488E-3</v>
      </c>
      <c r="N1158">
        <v>0.13302370957364032</v>
      </c>
      <c r="O1158">
        <v>1.9309790759169929E-2</v>
      </c>
      <c r="P1158">
        <v>2.5674097856938791E-2</v>
      </c>
      <c r="Q1158">
        <v>5.2400554592428421E-3</v>
      </c>
      <c r="R1158">
        <v>1.564878563764562E-3</v>
      </c>
      <c r="S1158">
        <v>0.23792267717656096</v>
      </c>
      <c r="T1158">
        <v>1.3594510325324607</v>
      </c>
      <c r="U1158">
        <v>0.13928018751979701</v>
      </c>
      <c r="V1158">
        <v>0.18372679497537689</v>
      </c>
      <c r="W1158">
        <v>8.8814173106313093E-2</v>
      </c>
      <c r="X1158">
        <v>1.4306803488361322E-2</v>
      </c>
      <c r="Y1158">
        <v>4.2590835884872341E-3</v>
      </c>
    </row>
    <row r="1159" spans="1:25" x14ac:dyDescent="0.25">
      <c r="A1159" s="1096"/>
      <c r="B1159" s="1455">
        <v>909</v>
      </c>
      <c r="C1159" s="1100">
        <v>0.98971546009009947</v>
      </c>
      <c r="D1159" s="1100">
        <v>0.95630807485447533</v>
      </c>
      <c r="E1159" s="1100">
        <v>1.0222812721866366</v>
      </c>
      <c r="F1159" s="1100">
        <v>1.0014083209335629</v>
      </c>
      <c r="G1159" s="1100">
        <v>1.0219942476720134</v>
      </c>
      <c r="H1159" s="1100">
        <v>0.98497068488193873</v>
      </c>
      <c r="I1159" s="1100">
        <v>0.99355627880207542</v>
      </c>
      <c r="K1159">
        <v>2.2356307108102471</v>
      </c>
      <c r="L1159">
        <v>0</v>
      </c>
      <c r="M1159">
        <v>1.4841344701429489E-3</v>
      </c>
      <c r="N1159">
        <v>0.14430985897075238</v>
      </c>
      <c r="O1159">
        <v>2.0168808584754609E-2</v>
      </c>
      <c r="P1159">
        <v>2.6698403465207694E-2</v>
      </c>
      <c r="Q1159">
        <v>5.7512456810571754E-3</v>
      </c>
      <c r="R1159">
        <v>1.4629565198866325E-3</v>
      </c>
      <c r="S1159">
        <v>0.24689872907553642</v>
      </c>
      <c r="T1159">
        <v>1.3457971382989651</v>
      </c>
      <c r="U1159">
        <v>0.14430805372586722</v>
      </c>
      <c r="V1159">
        <v>0.18784903942409584</v>
      </c>
      <c r="W1159">
        <v>9.3565423328426114E-2</v>
      </c>
      <c r="X1159">
        <v>1.6323502822195687E-2</v>
      </c>
      <c r="Y1159">
        <v>3.9816853836442435E-3</v>
      </c>
    </row>
    <row r="1160" spans="1:25" x14ac:dyDescent="0.25">
      <c r="A1160" s="1096"/>
      <c r="B1160" s="1455">
        <v>910</v>
      </c>
      <c r="C1160" s="1100">
        <v>0.99480480138665706</v>
      </c>
      <c r="D1160" s="1100">
        <v>0.98590308182382658</v>
      </c>
      <c r="E1160" s="1100">
        <v>1.0233026001378465</v>
      </c>
      <c r="F1160" s="1100">
        <v>1.0039002782016717</v>
      </c>
      <c r="G1160" s="1100">
        <v>1.031778852225373</v>
      </c>
      <c r="H1160" s="1100">
        <v>1.0038117162509279</v>
      </c>
      <c r="I1160" s="1100">
        <v>1.0118748885561129</v>
      </c>
      <c r="K1160">
        <v>2.2417944781976256</v>
      </c>
      <c r="L1160">
        <v>0</v>
      </c>
      <c r="M1160">
        <v>1.4915554388002174E-3</v>
      </c>
      <c r="N1160">
        <v>0.14551842251682248</v>
      </c>
      <c r="O1160">
        <v>1.9932179233903696E-2</v>
      </c>
      <c r="P1160">
        <v>2.6779659909552618E-2</v>
      </c>
      <c r="Q1160">
        <v>5.6895345940462866E-3</v>
      </c>
      <c r="R1160">
        <v>1.4706710814108483E-3</v>
      </c>
      <c r="S1160">
        <v>0.24790180927666111</v>
      </c>
      <c r="T1160">
        <v>1.3491482260274585</v>
      </c>
      <c r="U1160">
        <v>0.14357215723552214</v>
      </c>
      <c r="V1160">
        <v>0.18864916962183575</v>
      </c>
      <c r="W1160">
        <v>9.429277719894967E-2</v>
      </c>
      <c r="X1160">
        <v>1.6328745063252405E-2</v>
      </c>
      <c r="Y1160">
        <v>4.0026818770086368E-3</v>
      </c>
    </row>
    <row r="1161" spans="1:25" x14ac:dyDescent="0.25">
      <c r="A1161" s="1096"/>
      <c r="B1161" s="1455">
        <v>911</v>
      </c>
      <c r="C1161" s="1100">
        <v>1.0415685106547916</v>
      </c>
      <c r="D1161" s="1100">
        <v>0.99576249980425224</v>
      </c>
      <c r="E1161" s="1100">
        <v>1.0145702035902553</v>
      </c>
      <c r="F1161" s="1100">
        <v>1.0069266413200459</v>
      </c>
      <c r="G1161" s="1100">
        <v>1.0291335307723166</v>
      </c>
      <c r="H1161" s="1100">
        <v>1.0159348780906772</v>
      </c>
      <c r="I1161" s="1100">
        <v>0.9952901715304312</v>
      </c>
      <c r="K1161">
        <v>2.2086964212813753</v>
      </c>
      <c r="L1161">
        <v>0</v>
      </c>
      <c r="M1161">
        <v>1.4650140927993918E-3</v>
      </c>
      <c r="N1161">
        <v>0.13923618928381121</v>
      </c>
      <c r="O1161">
        <v>1.8990389092360248E-2</v>
      </c>
      <c r="P1161">
        <v>2.6323178238142727E-2</v>
      </c>
      <c r="Q1161">
        <v>5.3738233363306159E-3</v>
      </c>
      <c r="R1161">
        <v>1.4447461388449395E-3</v>
      </c>
      <c r="S1161">
        <v>0.23260169361420577</v>
      </c>
      <c r="T1161">
        <v>1.3531977889384963</v>
      </c>
      <c r="U1161">
        <v>0.13710678363011164</v>
      </c>
      <c r="V1161">
        <v>0.18566419987230484</v>
      </c>
      <c r="W1161">
        <v>9.0684531464412285E-2</v>
      </c>
      <c r="X1161">
        <v>1.5605989035653847E-2</v>
      </c>
      <c r="Y1161">
        <v>3.9321227294992532E-3</v>
      </c>
    </row>
    <row r="1162" spans="1:25" x14ac:dyDescent="0.25">
      <c r="A1162" s="1096"/>
      <c r="B1162" s="1455">
        <v>912</v>
      </c>
      <c r="C1162" s="1100">
        <v>1.0167225453920723</v>
      </c>
      <c r="D1162" s="1100">
        <v>0.98886848784379466</v>
      </c>
      <c r="E1162" s="1100">
        <v>1.0165013329343375</v>
      </c>
      <c r="F1162" s="1100">
        <v>0.96208652425911323</v>
      </c>
      <c r="G1162" s="1100">
        <v>1.0042981641494269</v>
      </c>
      <c r="H1162" s="1100">
        <v>1.0187181793545275</v>
      </c>
      <c r="I1162" s="1100">
        <v>1.0226454257664361</v>
      </c>
      <c r="K1162">
        <v>2.1708468782170307</v>
      </c>
      <c r="L1162">
        <v>0</v>
      </c>
      <c r="M1162">
        <v>1.5011888728819738E-3</v>
      </c>
      <c r="N1162">
        <v>0.14351366316817241</v>
      </c>
      <c r="O1162">
        <v>1.948541298566598E-2</v>
      </c>
      <c r="P1162">
        <v>2.5739286629753472E-2</v>
      </c>
      <c r="Q1162">
        <v>5.5245251748702222E-3</v>
      </c>
      <c r="R1162">
        <v>1.4804771962354587E-3</v>
      </c>
      <c r="S1162">
        <v>0.24592404111277519</v>
      </c>
      <c r="T1162">
        <v>1.2929412228839863</v>
      </c>
      <c r="U1162">
        <v>0.14046168815072002</v>
      </c>
      <c r="V1162">
        <v>0.18425090794211374</v>
      </c>
      <c r="W1162">
        <v>9.336453463880845E-2</v>
      </c>
      <c r="X1162">
        <v>1.5632936317834877E-2</v>
      </c>
      <c r="Y1162">
        <v>4.0293708889763422E-3</v>
      </c>
    </row>
    <row r="1163" spans="1:25" x14ac:dyDescent="0.25">
      <c r="A1163" s="1096"/>
      <c r="B1163" s="1455">
        <v>913</v>
      </c>
      <c r="C1163" s="1100">
        <v>0.97002113565905612</v>
      </c>
      <c r="D1163" s="1100">
        <v>0.98502747022577442</v>
      </c>
      <c r="E1163" s="1100">
        <v>0.97640135187457289</v>
      </c>
      <c r="F1163" s="1100">
        <v>1.0024108909798579</v>
      </c>
      <c r="G1163" s="1100">
        <v>0.98678152946391662</v>
      </c>
      <c r="H1163" s="1100">
        <v>0.99534392665900862</v>
      </c>
      <c r="I1163" s="1100">
        <v>0.99433679064471792</v>
      </c>
      <c r="K1163">
        <v>2.23505144723006</v>
      </c>
      <c r="L1163">
        <v>0</v>
      </c>
      <c r="M1163">
        <v>1.6720589780115718E-3</v>
      </c>
      <c r="N1163">
        <v>0.14155915922134082</v>
      </c>
      <c r="O1163">
        <v>2.0415132922733885E-2</v>
      </c>
      <c r="P1163">
        <v>2.5843746020709785E-2</v>
      </c>
      <c r="Q1163">
        <v>5.5590065840600547E-3</v>
      </c>
      <c r="R1163">
        <v>1.6484480858219728E-3</v>
      </c>
      <c r="S1163">
        <v>0.24887238238702616</v>
      </c>
      <c r="T1163">
        <v>1.3470720033458083</v>
      </c>
      <c r="U1163">
        <v>0.14712905837482959</v>
      </c>
      <c r="V1163">
        <v>0.1850445321042643</v>
      </c>
      <c r="W1163">
        <v>9.4320674263334084E-2</v>
      </c>
      <c r="X1163">
        <v>1.4772830619300903E-2</v>
      </c>
      <c r="Y1163">
        <v>4.4865322788419631E-3</v>
      </c>
    </row>
    <row r="1164" spans="1:25" x14ac:dyDescent="0.25">
      <c r="A1164" s="1096"/>
      <c r="B1164" s="1455">
        <v>914</v>
      </c>
      <c r="C1164" s="1100">
        <v>0.99944766342600233</v>
      </c>
      <c r="D1164" s="1100">
        <v>1.0156451736155776</v>
      </c>
      <c r="E1164" s="1100">
        <v>1.0002895801904119</v>
      </c>
      <c r="F1164" s="1100">
        <v>0.9930121185831402</v>
      </c>
      <c r="G1164" s="1100">
        <v>0.98426947100693751</v>
      </c>
      <c r="H1164" s="1100">
        <v>0.97149629062951082</v>
      </c>
      <c r="I1164" s="1100">
        <v>1.0238791499776911</v>
      </c>
      <c r="K1164">
        <v>2.1996086414174023</v>
      </c>
      <c r="L1164">
        <v>0</v>
      </c>
      <c r="M1164">
        <v>1.4973918759059255E-3</v>
      </c>
      <c r="N1164">
        <v>0.13621962227698778</v>
      </c>
      <c r="O1164">
        <v>1.9695923734568695E-2</v>
      </c>
      <c r="P1164">
        <v>2.5976998443785648E-2</v>
      </c>
      <c r="Q1164">
        <v>5.4943622789711171E-3</v>
      </c>
      <c r="R1164">
        <v>1.4757283919060687E-3</v>
      </c>
      <c r="S1164">
        <v>0.24318419645428851</v>
      </c>
      <c r="T1164">
        <v>1.3344733569111915</v>
      </c>
      <c r="U1164">
        <v>0.14285209454100964</v>
      </c>
      <c r="V1164">
        <v>0.18298125500219803</v>
      </c>
      <c r="W1164">
        <v>8.9471633165086467E-2</v>
      </c>
      <c r="X1164">
        <v>1.5264415884277441E-2</v>
      </c>
      <c r="Y1164">
        <v>4.0164462090346697E-3</v>
      </c>
    </row>
    <row r="1165" spans="1:25" x14ac:dyDescent="0.25">
      <c r="A1165" s="1096"/>
      <c r="B1165" s="1455">
        <v>915</v>
      </c>
      <c r="C1165" s="1100">
        <v>0.98991120984303738</v>
      </c>
      <c r="D1165" s="1100">
        <v>0.97555501202192441</v>
      </c>
      <c r="E1165" s="1100">
        <v>1.0233816441790091</v>
      </c>
      <c r="F1165" s="1100">
        <v>1.016701369398576</v>
      </c>
      <c r="G1165" s="1100">
        <v>1.0015065742322351</v>
      </c>
      <c r="H1165" s="1100">
        <v>1.0005921149771229</v>
      </c>
      <c r="I1165" s="1100">
        <v>0.96625252773436443</v>
      </c>
      <c r="K1165">
        <v>2.2489163322910444</v>
      </c>
      <c r="L1165">
        <v>0</v>
      </c>
      <c r="M1165">
        <v>1.4973472375281254E-3</v>
      </c>
      <c r="N1165">
        <v>0.14611163313626424</v>
      </c>
      <c r="O1165">
        <v>2.0077315517676133E-2</v>
      </c>
      <c r="P1165">
        <v>2.6861499370716663E-2</v>
      </c>
      <c r="Q1165">
        <v>5.7314125106572153E-3</v>
      </c>
      <c r="R1165">
        <v>1.4763143244798983E-3</v>
      </c>
      <c r="S1165">
        <v>0.23890261912636379</v>
      </c>
      <c r="T1165">
        <v>1.3663518654809013</v>
      </c>
      <c r="U1165">
        <v>0.1442820856795001</v>
      </c>
      <c r="V1165">
        <v>0.1855224743315283</v>
      </c>
      <c r="W1165">
        <v>9.4672798041786993E-2</v>
      </c>
      <c r="X1165">
        <v>1.6405621084347059E-2</v>
      </c>
      <c r="Y1165">
        <v>4.0180409243480136E-3</v>
      </c>
    </row>
    <row r="1166" spans="1:25" x14ac:dyDescent="0.25">
      <c r="A1166" s="1096"/>
      <c r="B1166" s="1455">
        <v>916</v>
      </c>
      <c r="C1166" s="1100">
        <v>0.98115819663771864</v>
      </c>
      <c r="D1166" s="1100">
        <v>0.97099676274093061</v>
      </c>
      <c r="E1166" s="1100">
        <v>1.0313793544774097</v>
      </c>
      <c r="F1166" s="1100">
        <v>0.97980538844265097</v>
      </c>
      <c r="G1166" s="1100">
        <v>1.02350795582469</v>
      </c>
      <c r="H1166" s="1100">
        <v>0.97952324842033123</v>
      </c>
      <c r="I1166" s="1100">
        <v>0.97250992672045056</v>
      </c>
      <c r="K1166">
        <v>2.2047562876381277</v>
      </c>
      <c r="L1166">
        <v>0</v>
      </c>
      <c r="M1166">
        <v>1.4559618142894941E-3</v>
      </c>
      <c r="N1166">
        <v>0.14549627012457139</v>
      </c>
      <c r="O1166">
        <v>2.0282455510445087E-2</v>
      </c>
      <c r="P1166">
        <v>2.6423630283526154E-2</v>
      </c>
      <c r="Q1166">
        <v>5.8360042021682714E-3</v>
      </c>
      <c r="R1166">
        <v>1.4350703339980947E-3</v>
      </c>
      <c r="S1166">
        <v>0.24154166059816226</v>
      </c>
      <c r="T1166">
        <v>1.3167841897135855</v>
      </c>
      <c r="U1166">
        <v>0.14558808557844868</v>
      </c>
      <c r="V1166">
        <v>0.18855162452605234</v>
      </c>
      <c r="W1166">
        <v>9.3836526302894629E-2</v>
      </c>
      <c r="X1166">
        <v>1.6530943900229633E-2</v>
      </c>
      <c r="Y1166">
        <v>3.9057883783343507E-3</v>
      </c>
    </row>
    <row r="1167" spans="1:25" x14ac:dyDescent="0.25">
      <c r="A1167" s="1096"/>
      <c r="B1167" s="1455">
        <v>917</v>
      </c>
      <c r="C1167" s="1100">
        <v>1.0007948434125282</v>
      </c>
      <c r="D1167" s="1100">
        <v>0.98826069746917666</v>
      </c>
      <c r="E1167" s="1100">
        <v>1.006365392185286</v>
      </c>
      <c r="F1167" s="1100">
        <v>1.0030035824994328</v>
      </c>
      <c r="G1167" s="1100">
        <v>0.98086435827857277</v>
      </c>
      <c r="H1167" s="1100">
        <v>0.99455730310167345</v>
      </c>
      <c r="I1167" s="1100">
        <v>1.0251501495485178</v>
      </c>
      <c r="K1167">
        <v>2.2261437765937133</v>
      </c>
      <c r="L1167">
        <v>0</v>
      </c>
      <c r="M1167">
        <v>1.5208079264901948E-3</v>
      </c>
      <c r="N1167">
        <v>0.14096019008470559</v>
      </c>
      <c r="O1167">
        <v>1.9791847819909038E-2</v>
      </c>
      <c r="P1167">
        <v>2.634234713912156E-2</v>
      </c>
      <c r="Q1167">
        <v>5.5548810392313363E-3</v>
      </c>
      <c r="R1167">
        <v>1.4993158422815568E-3</v>
      </c>
      <c r="S1167">
        <v>0.24845739737189934</v>
      </c>
      <c r="T1167">
        <v>1.3479106685573912</v>
      </c>
      <c r="U1167">
        <v>0.14267378448465382</v>
      </c>
      <c r="V1167">
        <v>0.18252185711212252</v>
      </c>
      <c r="W1167">
        <v>9.2252466676812056E-2</v>
      </c>
      <c r="X1167">
        <v>1.5619184918718282E-2</v>
      </c>
      <c r="Y1167">
        <v>4.0806434733558225E-3</v>
      </c>
    </row>
    <row r="1168" spans="1:25" x14ac:dyDescent="0.25">
      <c r="A1168" s="1096"/>
      <c r="B1168" s="1455">
        <v>918</v>
      </c>
      <c r="C1168" s="1100">
        <v>0.99812014828018625</v>
      </c>
      <c r="D1168" s="1100">
        <v>1.0036463149482406</v>
      </c>
      <c r="E1168" s="1100">
        <v>0.98884539580981257</v>
      </c>
      <c r="F1168" s="1100">
        <v>1.0048513123027893</v>
      </c>
      <c r="G1168" s="1100">
        <v>0.98033432856994762</v>
      </c>
      <c r="H1168" s="1100">
        <v>1.0332834074025909</v>
      </c>
      <c r="I1168" s="1100">
        <v>1.0079471110787064</v>
      </c>
      <c r="K1168">
        <v>2.2319057938084939</v>
      </c>
      <c r="L1168">
        <v>0</v>
      </c>
      <c r="M1168">
        <v>1.6372966669513803E-3</v>
      </c>
      <c r="N1168">
        <v>0.14400937339211964</v>
      </c>
      <c r="O1168">
        <v>1.9766601307334122E-2</v>
      </c>
      <c r="P1168">
        <v>2.6006226016389685E-2</v>
      </c>
      <c r="Q1168">
        <v>5.4508218195510969E-3</v>
      </c>
      <c r="R1168">
        <v>1.6150255550964436E-3</v>
      </c>
      <c r="S1168">
        <v>0.2460546607404808</v>
      </c>
      <c r="T1168">
        <v>1.3503666765263851</v>
      </c>
      <c r="U1168">
        <v>0.14301571494371343</v>
      </c>
      <c r="V1168">
        <v>0.18260534560505545</v>
      </c>
      <c r="W1168">
        <v>9.5236439950597093E-2</v>
      </c>
      <c r="X1168">
        <v>1.5020637450780087E-2</v>
      </c>
      <c r="Y1168">
        <v>4.3955671679413661E-3</v>
      </c>
    </row>
    <row r="1169" spans="1:25" x14ac:dyDescent="0.25">
      <c r="A1169" s="1096"/>
      <c r="B1169" s="1455">
        <v>919</v>
      </c>
      <c r="C1169" s="1100">
        <v>0.99622866676899524</v>
      </c>
      <c r="D1169" s="1100">
        <v>1.0006567776573734</v>
      </c>
      <c r="E1169" s="1100">
        <v>0.98623635128172737</v>
      </c>
      <c r="F1169" s="1100">
        <v>1.0255543770278921</v>
      </c>
      <c r="G1169" s="1100">
        <v>1.011879520156399</v>
      </c>
      <c r="H1169" s="1100">
        <v>0.98885691185512303</v>
      </c>
      <c r="I1169" s="1100">
        <v>0.99816172560872796</v>
      </c>
      <c r="K1169">
        <v>2.2484602678789165</v>
      </c>
      <c r="L1169">
        <v>0</v>
      </c>
      <c r="M1169">
        <v>1.5794140157638337E-3</v>
      </c>
      <c r="N1169">
        <v>0.13774117003472092</v>
      </c>
      <c r="O1169">
        <v>1.9815499969531587E-2</v>
      </c>
      <c r="P1169">
        <v>2.6314405520086626E-2</v>
      </c>
      <c r="Q1169">
        <v>5.449895325717628E-3</v>
      </c>
      <c r="R1169">
        <v>1.556965041035574E-3</v>
      </c>
      <c r="S1169">
        <v>0.24090446402906698</v>
      </c>
      <c r="T1169">
        <v>1.3781849006557174</v>
      </c>
      <c r="U1169">
        <v>0.14328123294800738</v>
      </c>
      <c r="V1169">
        <v>0.18628177893759906</v>
      </c>
      <c r="W1169">
        <v>9.1233907089925362E-2</v>
      </c>
      <c r="X1169">
        <v>1.5037916754959154E-2</v>
      </c>
      <c r="Y1169">
        <v>4.2375455883109951E-3</v>
      </c>
    </row>
    <row r="1170" spans="1:25" x14ac:dyDescent="0.25">
      <c r="A1170" s="1096"/>
      <c r="B1170" s="1455">
        <v>920</v>
      </c>
      <c r="C1170" s="1100">
        <v>1.0162488086107626</v>
      </c>
      <c r="D1170" s="1100">
        <v>1.0033539286110058</v>
      </c>
      <c r="E1170" s="1100">
        <v>1.0137339639668574</v>
      </c>
      <c r="F1170" s="1100">
        <v>1.0289518636693276</v>
      </c>
      <c r="G1170" s="1100">
        <v>0.97115098807437739</v>
      </c>
      <c r="H1170" s="1100">
        <v>0.9677969548750468</v>
      </c>
      <c r="I1170" s="1100">
        <v>0.97412776423091996</v>
      </c>
      <c r="K1170">
        <v>2.2275673273848522</v>
      </c>
      <c r="L1170">
        <v>0</v>
      </c>
      <c r="M1170">
        <v>1.4304652245226215E-3</v>
      </c>
      <c r="N1170">
        <v>0.13551531920894028</v>
      </c>
      <c r="O1170">
        <v>1.9430523618481532E-2</v>
      </c>
      <c r="P1170">
        <v>2.6638039636255807E-2</v>
      </c>
      <c r="Q1170">
        <v>5.4937869533051558E-3</v>
      </c>
      <c r="R1170">
        <v>1.4096908943403408E-3</v>
      </c>
      <c r="S1170">
        <v>0.22874573867381143</v>
      </c>
      <c r="T1170">
        <v>1.3827956134822044</v>
      </c>
      <c r="U1170">
        <v>0.1405208820275165</v>
      </c>
      <c r="V1170">
        <v>0.18052895058228693</v>
      </c>
      <c r="W1170">
        <v>8.8304519816822122E-2</v>
      </c>
      <c r="X1170">
        <v>1.57780138054903E-2</v>
      </c>
      <c r="Y1170">
        <v>3.8367139099159809E-3</v>
      </c>
    </row>
    <row r="1171" spans="1:25" x14ac:dyDescent="0.25">
      <c r="A1171" s="1096"/>
      <c r="B1171" s="1455">
        <v>921</v>
      </c>
      <c r="C1171" s="1100">
        <v>0.9847708840830367</v>
      </c>
      <c r="D1171" s="1100">
        <v>1.0163521605539394</v>
      </c>
      <c r="E1171" s="1100">
        <v>1.0237887801715051</v>
      </c>
      <c r="F1171" s="1100">
        <v>0.98822594827444254</v>
      </c>
      <c r="G1171" s="1100">
        <v>1.0145932987333202</v>
      </c>
      <c r="H1171" s="1100">
        <v>0.97553524668501446</v>
      </c>
      <c r="I1171" s="1100">
        <v>0.98154828194132093</v>
      </c>
      <c r="K1171">
        <v>2.2034098361285466</v>
      </c>
      <c r="L1171">
        <v>0</v>
      </c>
      <c r="M1171">
        <v>1.4530716298707513E-3</v>
      </c>
      <c r="N1171">
        <v>0.14191346965583074</v>
      </c>
      <c r="O1171">
        <v>2.0001287632715518E-2</v>
      </c>
      <c r="P1171">
        <v>2.6347375755879674E-2</v>
      </c>
      <c r="Q1171">
        <v>5.7120159798834547E-3</v>
      </c>
      <c r="R1171">
        <v>1.4321363854761934E-3</v>
      </c>
      <c r="S1171">
        <v>0.23702020060955206</v>
      </c>
      <c r="T1171">
        <v>1.3280843985783606</v>
      </c>
      <c r="U1171">
        <v>0.14503616731439428</v>
      </c>
      <c r="V1171">
        <v>0.18731498062914151</v>
      </c>
      <c r="W1171">
        <v>9.1930766226735447E-2</v>
      </c>
      <c r="X1171">
        <v>1.617230585281142E-2</v>
      </c>
      <c r="Y1171">
        <v>3.8978031376336055E-3</v>
      </c>
    </row>
    <row r="1172" spans="1:25" x14ac:dyDescent="0.25">
      <c r="A1172" s="1096"/>
      <c r="B1172" s="1455">
        <v>922</v>
      </c>
      <c r="C1172" s="1100">
        <v>0.99213820519380103</v>
      </c>
      <c r="D1172" s="1100">
        <v>0.97502129145387373</v>
      </c>
      <c r="E1172" s="1100">
        <v>1.0336550438762915</v>
      </c>
      <c r="F1172" s="1100">
        <v>0.97858225433685098</v>
      </c>
      <c r="G1172" s="1100">
        <v>0.99272303632800107</v>
      </c>
      <c r="H1172" s="1100">
        <v>1.0217907935166148</v>
      </c>
      <c r="I1172" s="1100">
        <v>1.0004112046853624</v>
      </c>
      <c r="K1172">
        <v>2.2122908589270471</v>
      </c>
      <c r="L1172">
        <v>0</v>
      </c>
      <c r="M1172">
        <v>1.4935118937076414E-3</v>
      </c>
      <c r="N1172">
        <v>0.1503664080926381</v>
      </c>
      <c r="O1172">
        <v>2.0041193498818478E-2</v>
      </c>
      <c r="P1172">
        <v>2.6463505342015092E-2</v>
      </c>
      <c r="Q1172">
        <v>5.7795555519427706E-3</v>
      </c>
      <c r="R1172">
        <v>1.4729680985014944E-3</v>
      </c>
      <c r="S1172">
        <v>0.2486656254815432</v>
      </c>
      <c r="T1172">
        <v>1.3151454875320276</v>
      </c>
      <c r="U1172">
        <v>0.14398216670524711</v>
      </c>
      <c r="V1172">
        <v>0.18440472070101677</v>
      </c>
      <c r="W1172">
        <v>9.6849709901098438E-2</v>
      </c>
      <c r="X1172">
        <v>1.6604096315585581E-2</v>
      </c>
      <c r="Y1172">
        <v>4.0089336003178953E-3</v>
      </c>
    </row>
    <row r="1173" spans="1:25" x14ac:dyDescent="0.25">
      <c r="A1173" s="1096"/>
      <c r="B1173" s="1455">
        <v>923</v>
      </c>
      <c r="C1173" s="1100">
        <v>1.0022898900140991</v>
      </c>
      <c r="D1173" s="1100">
        <v>1.0116292611476605</v>
      </c>
      <c r="E1173" s="1100">
        <v>0.95794048226696593</v>
      </c>
      <c r="F1173" s="1100">
        <v>1.0180299839263711</v>
      </c>
      <c r="G1173" s="1100">
        <v>1.0341979847930434</v>
      </c>
      <c r="H1173" s="1100">
        <v>0.96735551662521546</v>
      </c>
      <c r="I1173" s="1100">
        <v>0.96571289142501604</v>
      </c>
      <c r="K1173">
        <v>2.2135241759906501</v>
      </c>
      <c r="L1173">
        <v>0</v>
      </c>
      <c r="M1173">
        <v>1.6242407426212476E-3</v>
      </c>
      <c r="N1173">
        <v>0.12997976939002137</v>
      </c>
      <c r="O1173">
        <v>1.9630959832593036E-2</v>
      </c>
      <c r="P1173">
        <v>2.5469765010645674E-2</v>
      </c>
      <c r="Q1173">
        <v>5.2454053733750599E-3</v>
      </c>
      <c r="R1173">
        <v>1.6006414891781388E-3</v>
      </c>
      <c r="S1173">
        <v>0.22854734500365401</v>
      </c>
      <c r="T1173">
        <v>1.3680450954893855</v>
      </c>
      <c r="U1173">
        <v>0.14235005570070977</v>
      </c>
      <c r="V1173">
        <v>0.18842146586894246</v>
      </c>
      <c r="W1173">
        <v>8.7586144021506537E-2</v>
      </c>
      <c r="X1173">
        <v>1.3915351071041512E-2</v>
      </c>
      <c r="Y1173">
        <v>4.3564184822177951E-3</v>
      </c>
    </row>
    <row r="1174" spans="1:25" x14ac:dyDescent="0.25">
      <c r="A1174" s="1096"/>
      <c r="B1174" s="1455">
        <v>924</v>
      </c>
      <c r="C1174" s="1100">
        <v>0.96264061296614223</v>
      </c>
      <c r="D1174" s="1100">
        <v>0.99748835612823661</v>
      </c>
      <c r="E1174" s="1100">
        <v>1.0162422369925839</v>
      </c>
      <c r="F1174" s="1100">
        <v>0.98992342957882684</v>
      </c>
      <c r="G1174" s="1100">
        <v>1.0043863431958391</v>
      </c>
      <c r="H1174" s="1100">
        <v>0.99575819554712619</v>
      </c>
      <c r="I1174" s="1100">
        <v>0.987480828822486</v>
      </c>
      <c r="K1174">
        <v>2.231156695740617</v>
      </c>
      <c r="L1174">
        <v>0</v>
      </c>
      <c r="M1174">
        <v>1.5476693936857478E-3</v>
      </c>
      <c r="N1174">
        <v>0.14779387680968822</v>
      </c>
      <c r="O1174">
        <v>2.0540692330456044E-2</v>
      </c>
      <c r="P1174">
        <v>2.6431751603617916E-2</v>
      </c>
      <c r="Q1174">
        <v>5.8222162336613002E-3</v>
      </c>
      <c r="R1174">
        <v>1.5258240801893632E-3</v>
      </c>
      <c r="S1174">
        <v>0.24783601027235189</v>
      </c>
      <c r="T1174">
        <v>1.3303505426165618</v>
      </c>
      <c r="U1174">
        <v>0.14835231878209046</v>
      </c>
      <c r="V1174">
        <v>0.18753955732330174</v>
      </c>
      <c r="W1174">
        <v>9.6163696463945944E-2</v>
      </c>
      <c r="X1174">
        <v>1.6195088459935697E-2</v>
      </c>
      <c r="Y1174">
        <v>4.1527901585025947E-3</v>
      </c>
    </row>
    <row r="1175" spans="1:25" x14ac:dyDescent="0.25">
      <c r="A1175" s="1096"/>
      <c r="B1175" s="1455">
        <v>925</v>
      </c>
      <c r="C1175" s="1100">
        <v>1.0157900430418532</v>
      </c>
      <c r="D1175" s="1100">
        <v>1.0300181112702116</v>
      </c>
      <c r="E1175" s="1100">
        <v>1.0076492880013881</v>
      </c>
      <c r="F1175" s="1100">
        <v>0.99145826265279291</v>
      </c>
      <c r="G1175" s="1100">
        <v>0.97703876320707883</v>
      </c>
      <c r="H1175" s="1100">
        <v>0.96133343501790702</v>
      </c>
      <c r="I1175" s="1100">
        <v>0.9793968380817728</v>
      </c>
      <c r="K1175">
        <v>2.1705654042701439</v>
      </c>
      <c r="L1175">
        <v>0</v>
      </c>
      <c r="M1175">
        <v>1.4313561715235291E-3</v>
      </c>
      <c r="N1175">
        <v>0.13311847941205832</v>
      </c>
      <c r="O1175">
        <v>1.932373021963844E-2</v>
      </c>
      <c r="P1175">
        <v>2.5807099753554878E-2</v>
      </c>
      <c r="Q1175">
        <v>5.4304734492592712E-3</v>
      </c>
      <c r="R1175">
        <v>1.4104291392291993E-3</v>
      </c>
      <c r="S1175">
        <v>0.22655179674364001</v>
      </c>
      <c r="T1175">
        <v>1.332397430460722</v>
      </c>
      <c r="U1175">
        <v>0.14057053219985602</v>
      </c>
      <c r="V1175">
        <v>0.18121542474436822</v>
      </c>
      <c r="W1175">
        <v>8.7054311564479236E-2</v>
      </c>
      <c r="X1175">
        <v>1.5278329585719277E-2</v>
      </c>
      <c r="Y1175">
        <v>3.8387231691410901E-3</v>
      </c>
    </row>
    <row r="1176" spans="1:25" x14ac:dyDescent="0.25">
      <c r="A1176" s="1096"/>
      <c r="B1176" s="1455">
        <v>926</v>
      </c>
      <c r="C1176" s="1100">
        <v>0.9999033314875122</v>
      </c>
      <c r="D1176" s="1100">
        <v>0.97528543553564739</v>
      </c>
      <c r="E1176" s="1100">
        <v>1.0060059847959177</v>
      </c>
      <c r="F1176" s="1100">
        <v>1.03802835637799</v>
      </c>
      <c r="G1176" s="1100">
        <v>0.99285704379166162</v>
      </c>
      <c r="H1176" s="1100">
        <v>1.0155510458006154</v>
      </c>
      <c r="I1176" s="1100">
        <v>0.99716435488344723</v>
      </c>
      <c r="K1176">
        <v>2.2783771634007381</v>
      </c>
      <c r="L1176">
        <v>0</v>
      </c>
      <c r="M1176">
        <v>1.5599841868068412E-3</v>
      </c>
      <c r="N1176">
        <v>0.1444772999803475</v>
      </c>
      <c r="O1176">
        <v>1.9866950021472329E-2</v>
      </c>
      <c r="P1176">
        <v>2.6956502814384626E-2</v>
      </c>
      <c r="Q1176">
        <v>5.5739524263440894E-3</v>
      </c>
      <c r="R1176">
        <v>1.5383941980982214E-3</v>
      </c>
      <c r="S1176">
        <v>0.24518349877761841</v>
      </c>
      <c r="T1176">
        <v>1.3949789156852375</v>
      </c>
      <c r="U1176">
        <v>0.14280016381647179</v>
      </c>
      <c r="V1176">
        <v>0.18392997879938924</v>
      </c>
      <c r="W1176">
        <v>9.4574367685712715E-2</v>
      </c>
      <c r="X1176">
        <v>1.5870121506753727E-2</v>
      </c>
      <c r="Y1176">
        <v>4.1870018757122493E-3</v>
      </c>
    </row>
    <row r="1177" spans="1:25" x14ac:dyDescent="0.25">
      <c r="A1177" s="1096"/>
      <c r="B1177" s="1455">
        <v>927</v>
      </c>
      <c r="C1177" s="1100">
        <v>0.99916638981457517</v>
      </c>
      <c r="D1177" s="1100">
        <v>0.99560900486970949</v>
      </c>
      <c r="E1177" s="1100">
        <v>1.0291681345393218</v>
      </c>
      <c r="F1177" s="1100">
        <v>0.99647295585302043</v>
      </c>
      <c r="G1177" s="1100">
        <v>1.0089830971792073</v>
      </c>
      <c r="H1177" s="1100">
        <v>0.99502521627399376</v>
      </c>
      <c r="I1177" s="1100">
        <v>1.0358820218941027</v>
      </c>
      <c r="K1177">
        <v>2.22837078154831</v>
      </c>
      <c r="L1177">
        <v>0</v>
      </c>
      <c r="M1177">
        <v>1.4510423701415325E-3</v>
      </c>
      <c r="N1177">
        <v>0.14407398176236691</v>
      </c>
      <c r="O1177">
        <v>1.9806130866141504E-2</v>
      </c>
      <c r="P1177">
        <v>2.6747154309082612E-2</v>
      </c>
      <c r="Q1177">
        <v>5.6865044977871268E-3</v>
      </c>
      <c r="R1177">
        <v>1.4305458570678469E-3</v>
      </c>
      <c r="S1177">
        <v>0.25075747481158644</v>
      </c>
      <c r="T1177">
        <v>1.3391791983226511</v>
      </c>
      <c r="U1177">
        <v>0.14295900142394588</v>
      </c>
      <c r="V1177">
        <v>0.18581755837310204</v>
      </c>
      <c r="W1177">
        <v>9.3038552362103469E-2</v>
      </c>
      <c r="X1177">
        <v>1.6432247088993039E-2</v>
      </c>
      <c r="Y1177">
        <v>3.8934742436236365E-3</v>
      </c>
    </row>
    <row r="1178" spans="1:25" x14ac:dyDescent="0.25">
      <c r="A1178" s="1096"/>
      <c r="B1178" s="1455">
        <v>928</v>
      </c>
      <c r="C1178" s="1100">
        <v>1.0112302264778699</v>
      </c>
      <c r="D1178" s="1100">
        <v>0.97717714363392139</v>
      </c>
      <c r="E1178" s="1100">
        <v>1.0089711950060845</v>
      </c>
      <c r="F1178" s="1100">
        <v>0.98880206826974826</v>
      </c>
      <c r="G1178" s="1100">
        <v>1.0102504992563486</v>
      </c>
      <c r="H1178" s="1100">
        <v>0.99336278805987821</v>
      </c>
      <c r="I1178" s="1100">
        <v>0.95765631248767336</v>
      </c>
      <c r="K1178">
        <v>2.1882950199561804</v>
      </c>
      <c r="L1178">
        <v>0</v>
      </c>
      <c r="M1178">
        <v>1.4989074783124654E-3</v>
      </c>
      <c r="N1178">
        <v>0.14002532567212725</v>
      </c>
      <c r="O1178">
        <v>1.9637888627531852E-2</v>
      </c>
      <c r="P1178">
        <v>2.5907530906077014E-2</v>
      </c>
      <c r="Q1178">
        <v>5.5260644648459497E-3</v>
      </c>
      <c r="R1178">
        <v>1.4776994196390399E-3</v>
      </c>
      <c r="S1178">
        <v>0.23093500599281525</v>
      </c>
      <c r="T1178">
        <v>1.3288301494145713</v>
      </c>
      <c r="U1178">
        <v>0.14120740320488656</v>
      </c>
      <c r="V1178">
        <v>0.18523402088771099</v>
      </c>
      <c r="W1178">
        <v>9.1499673927349298E-2</v>
      </c>
      <c r="X1178">
        <v>1.5491354220164389E-2</v>
      </c>
      <c r="Y1178">
        <v>4.0218106967746994E-3</v>
      </c>
    </row>
    <row r="1179" spans="1:25" x14ac:dyDescent="0.25">
      <c r="A1179" s="1096"/>
      <c r="B1179" s="1455">
        <v>929</v>
      </c>
      <c r="C1179" s="1100">
        <v>1.0154829965022152</v>
      </c>
      <c r="D1179" s="1100">
        <v>1.026492069962728</v>
      </c>
      <c r="E1179" s="1100">
        <v>1.0096553942386619</v>
      </c>
      <c r="F1179" s="1100">
        <v>0.97724518173752573</v>
      </c>
      <c r="G1179" s="1100">
        <v>1.0096035078395038</v>
      </c>
      <c r="H1179" s="1100">
        <v>0.96808270121301265</v>
      </c>
      <c r="I1179" s="1100">
        <v>0.99291965713189945</v>
      </c>
      <c r="K1179">
        <v>2.1614344662356317</v>
      </c>
      <c r="L1179">
        <v>0</v>
      </c>
      <c r="M1179">
        <v>1.4369293874706144E-3</v>
      </c>
      <c r="N1179">
        <v>0.13446260384570721</v>
      </c>
      <c r="O1179">
        <v>1.9345389658687456E-2</v>
      </c>
      <c r="P1179">
        <v>2.5691298876461877E-2</v>
      </c>
      <c r="Q1179">
        <v>5.4474817663297892E-3</v>
      </c>
      <c r="R1179">
        <v>1.4160673392911935E-3</v>
      </c>
      <c r="S1179">
        <v>0.23068311170824923</v>
      </c>
      <c r="T1179">
        <v>1.3133002936850262</v>
      </c>
      <c r="U1179">
        <v>0.14061759018110234</v>
      </c>
      <c r="V1179">
        <v>0.18491576857600156</v>
      </c>
      <c r="W1179">
        <v>8.7829246821329005E-2</v>
      </c>
      <c r="X1179">
        <v>1.5308474673838252E-2</v>
      </c>
      <c r="Y1179">
        <v>3.8540684910776885E-3</v>
      </c>
    </row>
    <row r="1180" spans="1:25" x14ac:dyDescent="0.25">
      <c r="A1180" s="1096"/>
      <c r="B1180" s="1455">
        <v>930</v>
      </c>
      <c r="C1180" s="1100">
        <v>0.98341016036532536</v>
      </c>
      <c r="D1180" s="1100">
        <v>1.0345554573151148</v>
      </c>
      <c r="E1180" s="1100">
        <v>1.0050137733597726</v>
      </c>
      <c r="F1180" s="1100">
        <v>1.0062316685417705</v>
      </c>
      <c r="G1180" s="1100">
        <v>0.97834327100869334</v>
      </c>
      <c r="H1180" s="1100">
        <v>1.04050402451938</v>
      </c>
      <c r="I1180" s="1100">
        <v>0.98073234837387224</v>
      </c>
      <c r="K1180">
        <v>2.2383274692703186</v>
      </c>
      <c r="L1180">
        <v>0</v>
      </c>
      <c r="M1180">
        <v>1.6074715079074558E-3</v>
      </c>
      <c r="N1180">
        <v>0.14847984154989341</v>
      </c>
      <c r="O1180">
        <v>1.993903052848657E-2</v>
      </c>
      <c r="P1180">
        <v>2.6305494425318338E-2</v>
      </c>
      <c r="Q1180">
        <v>5.5886160144036356E-3</v>
      </c>
      <c r="R1180">
        <v>1.5857578247470668E-3</v>
      </c>
      <c r="S1180">
        <v>0.24007927805499349</v>
      </c>
      <c r="T1180">
        <v>1.3522464772776783</v>
      </c>
      <c r="U1180">
        <v>0.1451927984358784</v>
      </c>
      <c r="V1180">
        <v>0.18328365835329732</v>
      </c>
      <c r="W1180">
        <v>9.7251503522874996E-2</v>
      </c>
      <c r="X1180">
        <v>1.5666574736617506E-2</v>
      </c>
      <c r="Y1180">
        <v>4.3159100540350794E-3</v>
      </c>
    </row>
    <row r="1181" spans="1:25" x14ac:dyDescent="0.25">
      <c r="A1181" s="1096"/>
      <c r="B1181" s="1455">
        <v>931</v>
      </c>
      <c r="C1181" s="1100">
        <v>1.0012317341567478</v>
      </c>
      <c r="D1181" s="1100">
        <v>0.99784105833559622</v>
      </c>
      <c r="E1181" s="1100">
        <v>1.0005597712041669</v>
      </c>
      <c r="F1181" s="1100">
        <v>0.9877223825764978</v>
      </c>
      <c r="G1181" s="1100">
        <v>0.98722867549733273</v>
      </c>
      <c r="H1181" s="1100">
        <v>0.98341316023519953</v>
      </c>
      <c r="I1181" s="1100">
        <v>0.96928936328694482</v>
      </c>
      <c r="K1181">
        <v>2.1852329629793217</v>
      </c>
      <c r="L1181">
        <v>0</v>
      </c>
      <c r="M1181">
        <v>1.518106056175266E-3</v>
      </c>
      <c r="N1181">
        <v>0.13824138203757547</v>
      </c>
      <c r="O1181">
        <v>1.9737641503820132E-2</v>
      </c>
      <c r="P1181">
        <v>2.5742791565078176E-2</v>
      </c>
      <c r="Q1181">
        <v>5.5074950693875567E-3</v>
      </c>
      <c r="R1181">
        <v>1.4964090369460584E-3</v>
      </c>
      <c r="S1181">
        <v>0.23277827923528918</v>
      </c>
      <c r="T1181">
        <v>1.3273650978324523</v>
      </c>
      <c r="U1181">
        <v>0.1425981711730985</v>
      </c>
      <c r="V1181">
        <v>0.18321022317768637</v>
      </c>
      <c r="W1181">
        <v>9.0784988197752034E-2</v>
      </c>
      <c r="X1181">
        <v>1.521585809894993E-2</v>
      </c>
      <c r="Y1181">
        <v>4.0727321074607165E-3</v>
      </c>
    </row>
    <row r="1182" spans="1:25" x14ac:dyDescent="0.25">
      <c r="A1182" s="1096"/>
      <c r="B1182" s="1455">
        <v>932</v>
      </c>
      <c r="C1182" s="1100">
        <v>0.98018061511547316</v>
      </c>
      <c r="D1182" s="1100">
        <v>1.0210512944802335</v>
      </c>
      <c r="E1182" s="1100">
        <v>0.9991804601965677</v>
      </c>
      <c r="F1182" s="1100">
        <v>1.005518773205353</v>
      </c>
      <c r="G1182" s="1100">
        <v>0.99748073117532021</v>
      </c>
      <c r="H1182" s="1100">
        <v>0.98221794786732419</v>
      </c>
      <c r="I1182" s="1100">
        <v>0.9842393783717539</v>
      </c>
      <c r="K1182">
        <v>2.2248138464817737</v>
      </c>
      <c r="L1182">
        <v>0</v>
      </c>
      <c r="M1182">
        <v>1.5454253737193289E-3</v>
      </c>
      <c r="N1182">
        <v>0.14014142288829023</v>
      </c>
      <c r="O1182">
        <v>2.0058933907046557E-2</v>
      </c>
      <c r="P1182">
        <v>2.6196439095739644E-2</v>
      </c>
      <c r="Q1182">
        <v>5.5893915609174366E-3</v>
      </c>
      <c r="R1182">
        <v>1.5233110252004833E-3</v>
      </c>
      <c r="S1182">
        <v>0.23858420457975771</v>
      </c>
      <c r="T1182">
        <v>1.3512788321833811</v>
      </c>
      <c r="U1182">
        <v>0.14565748032888981</v>
      </c>
      <c r="V1182">
        <v>0.18564036611461712</v>
      </c>
      <c r="W1182">
        <v>9.2108256705172378E-2</v>
      </c>
      <c r="X1182">
        <v>1.5434683015228164E-2</v>
      </c>
      <c r="Y1182">
        <v>4.1459504512512159E-3</v>
      </c>
    </row>
    <row r="1183" spans="1:25" x14ac:dyDescent="0.25">
      <c r="A1183" s="1096"/>
      <c r="B1183" s="1455">
        <v>933</v>
      </c>
      <c r="C1183" s="1100">
        <v>1.0049000033463802</v>
      </c>
      <c r="D1183" s="1100">
        <v>1.0150748959742155</v>
      </c>
      <c r="E1183" s="1100">
        <v>1.0146876501647721</v>
      </c>
      <c r="F1183" s="1100">
        <v>1.0153266694377576</v>
      </c>
      <c r="G1183" s="1100">
        <v>1.0294475028458281</v>
      </c>
      <c r="H1183" s="1100">
        <v>1.0156169227048468</v>
      </c>
      <c r="I1183" s="1100">
        <v>0.98148400187815288</v>
      </c>
      <c r="K1183">
        <v>2.2388107766372176</v>
      </c>
      <c r="L1183">
        <v>0</v>
      </c>
      <c r="M1183">
        <v>1.511226300829167E-3</v>
      </c>
      <c r="N1183">
        <v>0.14367852406469389</v>
      </c>
      <c r="O1183">
        <v>1.9600410289967E-2</v>
      </c>
      <c r="P1183">
        <v>2.6618843294064949E-2</v>
      </c>
      <c r="Q1183">
        <v>5.5470942154850038E-3</v>
      </c>
      <c r="R1183">
        <v>1.4903124718889124E-3</v>
      </c>
      <c r="S1183">
        <v>0.23546423046830553</v>
      </c>
      <c r="T1183">
        <v>1.3644867230988986</v>
      </c>
      <c r="U1183">
        <v>0.1421100397633793</v>
      </c>
      <c r="V1183">
        <v>0.18777860513075309</v>
      </c>
      <c r="W1183">
        <v>9.3571367182594928E-2</v>
      </c>
      <c r="X1183">
        <v>1.5919713690906934E-2</v>
      </c>
      <c r="Y1183">
        <v>4.0561392671072966E-3</v>
      </c>
    </row>
    <row r="1184" spans="1:25" x14ac:dyDescent="0.25">
      <c r="A1184" s="1096"/>
      <c r="B1184" s="1455">
        <v>934</v>
      </c>
      <c r="C1184" s="1100">
        <v>1.0043553140591079</v>
      </c>
      <c r="D1184" s="1100">
        <v>0.96380655493576262</v>
      </c>
      <c r="E1184" s="1100">
        <v>0.99823780994366695</v>
      </c>
      <c r="F1184" s="1100">
        <v>1.0071301493588853</v>
      </c>
      <c r="G1184" s="1100">
        <v>0.96476879150521266</v>
      </c>
      <c r="H1184" s="1100">
        <v>0.98702896361848047</v>
      </c>
      <c r="I1184" s="1100">
        <v>1.0151772565778272</v>
      </c>
      <c r="K1184">
        <v>2.2252183144162165</v>
      </c>
      <c r="L1184">
        <v>0</v>
      </c>
      <c r="M1184">
        <v>1.5379793818163037E-3</v>
      </c>
      <c r="N1184">
        <v>0.13907938495259614</v>
      </c>
      <c r="O1184">
        <v>1.9825599128355326E-2</v>
      </c>
      <c r="P1184">
        <v>2.621225107094452E-2</v>
      </c>
      <c r="Q1184">
        <v>5.5191373962181958E-3</v>
      </c>
      <c r="R1184">
        <v>1.5160788534147405E-3</v>
      </c>
      <c r="S1184">
        <v>0.2475947751529731</v>
      </c>
      <c r="T1184">
        <v>1.3534428150915667</v>
      </c>
      <c r="U1184">
        <v>0.14214936370282286</v>
      </c>
      <c r="V1184">
        <v>0.18048512218606075</v>
      </c>
      <c r="W1184">
        <v>9.1461510021144901E-2</v>
      </c>
      <c r="X1184">
        <v>1.5343989378199904E-2</v>
      </c>
      <c r="Y1184">
        <v>4.1262668637352135E-3</v>
      </c>
    </row>
    <row r="1185" spans="1:25" x14ac:dyDescent="0.25">
      <c r="A1185" s="1096"/>
      <c r="B1185" s="1455">
        <v>935</v>
      </c>
      <c r="C1185" s="1100">
        <v>0.95503524942362206</v>
      </c>
      <c r="D1185" s="1100">
        <v>1.0041190288950079</v>
      </c>
      <c r="E1185" s="1100">
        <v>1.0300291338427474</v>
      </c>
      <c r="F1185" s="1100">
        <v>0.99211813493349554</v>
      </c>
      <c r="G1185" s="1100">
        <v>0.97937495603783664</v>
      </c>
      <c r="H1185" s="1100">
        <v>1.014253875132475</v>
      </c>
      <c r="I1185" s="1100">
        <v>0.96594383091674119</v>
      </c>
      <c r="K1185">
        <v>2.2401064091642096</v>
      </c>
      <c r="L1185">
        <v>0</v>
      </c>
      <c r="M1185">
        <v>1.5417670454220703E-3</v>
      </c>
      <c r="N1185">
        <v>0.15352158297328855</v>
      </c>
      <c r="O1185">
        <v>2.0683151975875714E-2</v>
      </c>
      <c r="P1185">
        <v>2.6688007810668709E-2</v>
      </c>
      <c r="Q1185">
        <v>5.9433628744432155E-3</v>
      </c>
      <c r="R1185">
        <v>1.5204018898358103E-3</v>
      </c>
      <c r="S1185">
        <v>0.24516042991558701</v>
      </c>
      <c r="T1185">
        <v>1.3333285730753797</v>
      </c>
      <c r="U1185">
        <v>0.1495670663183698</v>
      </c>
      <c r="V1185">
        <v>0.18521671056682504</v>
      </c>
      <c r="W1185">
        <v>9.9089970975044961E-2</v>
      </c>
      <c r="X1185">
        <v>1.6790885090525426E-2</v>
      </c>
      <c r="Y1185">
        <v>4.1380327437847914E-3</v>
      </c>
    </row>
    <row r="1186" spans="1:25" x14ac:dyDescent="0.25">
      <c r="A1186" s="1096"/>
      <c r="B1186" s="1455">
        <v>936</v>
      </c>
      <c r="C1186" s="1100">
        <v>0.98386467172463155</v>
      </c>
      <c r="D1186" s="1100">
        <v>1.0428746058215068</v>
      </c>
      <c r="E1186" s="1100">
        <v>1.0018480250404056</v>
      </c>
      <c r="F1186" s="1100">
        <v>0.99393389552163869</v>
      </c>
      <c r="G1186" s="1100">
        <v>1.0461688681897456</v>
      </c>
      <c r="H1186" s="1100">
        <v>0.98922342586995127</v>
      </c>
      <c r="I1186" s="1100">
        <v>0.98878719858058395</v>
      </c>
      <c r="K1186">
        <v>2.2120890431421829</v>
      </c>
      <c r="L1186">
        <v>0</v>
      </c>
      <c r="M1186">
        <v>1.5349047052834377E-3</v>
      </c>
      <c r="N1186">
        <v>0.14032805979160334</v>
      </c>
      <c r="O1186">
        <v>1.9892741263443699E-2</v>
      </c>
      <c r="P1186">
        <v>2.607733341359943E-2</v>
      </c>
      <c r="Q1186">
        <v>5.5579610521075606E-3</v>
      </c>
      <c r="R1186">
        <v>1.513096445999544E-3</v>
      </c>
      <c r="S1186">
        <v>0.23687512118128873</v>
      </c>
      <c r="T1186">
        <v>1.3357146019138493</v>
      </c>
      <c r="U1186">
        <v>0.14511831234677769</v>
      </c>
      <c r="V1186">
        <v>0.19091962406735744</v>
      </c>
      <c r="W1186">
        <v>9.2084871372177135E-2</v>
      </c>
      <c r="X1186">
        <v>1.5424075265361008E-2</v>
      </c>
      <c r="Y1186">
        <v>4.1181497339013882E-3</v>
      </c>
    </row>
    <row r="1187" spans="1:25" x14ac:dyDescent="0.25">
      <c r="A1187" s="1096"/>
      <c r="B1187" s="1455">
        <v>937</v>
      </c>
      <c r="C1187" s="1100">
        <v>0.98335724442213557</v>
      </c>
      <c r="D1187" s="1100">
        <v>1.0291438788279916</v>
      </c>
      <c r="E1187" s="1100">
        <v>0.97657721872060832</v>
      </c>
      <c r="F1187" s="1100">
        <v>1.0265437725045683</v>
      </c>
      <c r="G1187" s="1100">
        <v>1.0096591718937753</v>
      </c>
      <c r="H1187" s="1100">
        <v>0.98461636005122299</v>
      </c>
      <c r="I1187" s="1100">
        <v>0.99233424878699905</v>
      </c>
      <c r="K1187">
        <v>2.2488255981250656</v>
      </c>
      <c r="L1187">
        <v>0</v>
      </c>
      <c r="M1187">
        <v>1.6153676979075598E-3</v>
      </c>
      <c r="N1187">
        <v>0.13681104243151934</v>
      </c>
      <c r="O1187">
        <v>1.9945199742739613E-2</v>
      </c>
      <c r="P1187">
        <v>2.614436122635827E-2</v>
      </c>
      <c r="Q1187">
        <v>5.4320173536072051E-3</v>
      </c>
      <c r="R1187">
        <v>1.5923088118416538E-3</v>
      </c>
      <c r="S1187">
        <v>0.2388524211042598</v>
      </c>
      <c r="T1187">
        <v>1.3795027403182973</v>
      </c>
      <c r="U1187">
        <v>0.14513413153485058</v>
      </c>
      <c r="V1187">
        <v>0.18680174973687794</v>
      </c>
      <c r="W1187">
        <v>9.1147303878326702E-2</v>
      </c>
      <c r="X1187">
        <v>1.4743950002922904E-2</v>
      </c>
      <c r="Y1187">
        <v>4.3337396813742293E-3</v>
      </c>
    </row>
    <row r="1188" spans="1:25" x14ac:dyDescent="0.25">
      <c r="A1188" s="1096"/>
      <c r="B1188" s="1455">
        <v>938</v>
      </c>
      <c r="C1188" s="1100">
        <v>0.98160718400275604</v>
      </c>
      <c r="D1188" s="1100">
        <v>1.0054173764073555</v>
      </c>
      <c r="E1188" s="1100">
        <v>0.98320291568141638</v>
      </c>
      <c r="F1188" s="1100">
        <v>0.98976600178387708</v>
      </c>
      <c r="G1188" s="1100">
        <v>0.99628728999362792</v>
      </c>
      <c r="H1188" s="1100">
        <v>1.0094767822657884</v>
      </c>
      <c r="I1188" s="1100">
        <v>1.011820955760772</v>
      </c>
      <c r="K1188">
        <v>2.2169279662703905</v>
      </c>
      <c r="L1188">
        <v>0</v>
      </c>
      <c r="M1188">
        <v>1.6449505898812134E-3</v>
      </c>
      <c r="N1188">
        <v>0.14218830936654814</v>
      </c>
      <c r="O1188">
        <v>2.0087749550772478E-2</v>
      </c>
      <c r="P1188">
        <v>2.5731142076015852E-2</v>
      </c>
      <c r="Q1188">
        <v>5.5078095388776107E-3</v>
      </c>
      <c r="R1188">
        <v>1.6220476886836688E-3</v>
      </c>
      <c r="S1188">
        <v>0.24892854692806735</v>
      </c>
      <c r="T1188">
        <v>1.3300871362424955</v>
      </c>
      <c r="U1188">
        <v>0.14540837426477288</v>
      </c>
      <c r="V1188">
        <v>0.18540339266161132</v>
      </c>
      <c r="W1188">
        <v>9.4351521392167209E-2</v>
      </c>
      <c r="X1188">
        <v>1.4842208049536411E-2</v>
      </c>
      <c r="Y1188">
        <v>4.4146791007200776E-3</v>
      </c>
    </row>
    <row r="1189" spans="1:25" x14ac:dyDescent="0.25">
      <c r="A1189" s="1096"/>
      <c r="B1189" s="1455">
        <v>939</v>
      </c>
      <c r="C1189" s="1100">
        <v>0.9958548243534705</v>
      </c>
      <c r="D1189" s="1100">
        <v>0.99816716461302324</v>
      </c>
      <c r="E1189" s="1100">
        <v>0.98583208875950068</v>
      </c>
      <c r="F1189" s="1100">
        <v>0.99204871940402017</v>
      </c>
      <c r="G1189" s="1100">
        <v>0.99884019647571254</v>
      </c>
      <c r="H1189" s="1100">
        <v>0.98859282300922402</v>
      </c>
      <c r="I1189" s="1100">
        <v>0.98002238766487315</v>
      </c>
      <c r="K1189">
        <v>2.1971924174908581</v>
      </c>
      <c r="L1189">
        <v>0</v>
      </c>
      <c r="M1189">
        <v>1.5817738350884199E-3</v>
      </c>
      <c r="N1189">
        <v>0.13777788647606359</v>
      </c>
      <c r="O1189">
        <v>1.9833552247833092E-2</v>
      </c>
      <c r="P1189">
        <v>2.5625424415244506E-2</v>
      </c>
      <c r="Q1189">
        <v>5.4526268869709137E-3</v>
      </c>
      <c r="R1189">
        <v>1.5592853132156415E-3</v>
      </c>
      <c r="S1189">
        <v>0.2368862941734721</v>
      </c>
      <c r="T1189">
        <v>1.3331580138628087</v>
      </c>
      <c r="U1189">
        <v>0.14333408797629918</v>
      </c>
      <c r="V1189">
        <v>0.18482981501323587</v>
      </c>
      <c r="W1189">
        <v>9.1280399387641223E-2</v>
      </c>
      <c r="X1189">
        <v>1.4792944968850861E-2</v>
      </c>
      <c r="Y1189">
        <v>4.2438606043076199E-3</v>
      </c>
    </row>
    <row r="1190" spans="1:25" x14ac:dyDescent="0.25">
      <c r="A1190" s="1096"/>
      <c r="B1190" s="1455">
        <v>940</v>
      </c>
      <c r="C1190" s="1100">
        <v>1.0040190740688719</v>
      </c>
      <c r="D1190" s="1100">
        <v>1.0175927783563452</v>
      </c>
      <c r="E1190" s="1100">
        <v>0.99863968750995658</v>
      </c>
      <c r="F1190" s="1100">
        <v>1.0147750060180569</v>
      </c>
      <c r="G1190" s="1100">
        <v>1.0140617935241609</v>
      </c>
      <c r="H1190" s="1100">
        <v>0.98333394612769054</v>
      </c>
      <c r="I1190" s="1100">
        <v>1.0025641294625747</v>
      </c>
      <c r="K1190">
        <v>2.2275195144413904</v>
      </c>
      <c r="L1190">
        <v>0</v>
      </c>
      <c r="M1190">
        <v>1.5132706471036228E-3</v>
      </c>
      <c r="N1190">
        <v>0.13700380991481642</v>
      </c>
      <c r="O1190">
        <v>1.9596961820156113E-2</v>
      </c>
      <c r="P1190">
        <v>2.630269366214457E-2</v>
      </c>
      <c r="Q1190">
        <v>5.4576944827014013E-3</v>
      </c>
      <c r="R1190">
        <v>1.4916409940566565E-3</v>
      </c>
      <c r="S1190">
        <v>0.23774204139799482</v>
      </c>
      <c r="T1190">
        <v>1.3637170743789022</v>
      </c>
      <c r="U1190">
        <v>0.14219788999544186</v>
      </c>
      <c r="V1190">
        <v>0.18607716462501606</v>
      </c>
      <c r="W1190">
        <v>9.0075024604372445E-2</v>
      </c>
      <c r="X1190">
        <v>1.5311034146389664E-2</v>
      </c>
      <c r="Y1190">
        <v>4.0597550665006808E-3</v>
      </c>
    </row>
    <row r="1191" spans="1:25" x14ac:dyDescent="0.25">
      <c r="A1191" s="1096"/>
      <c r="B1191" s="1455">
        <v>941</v>
      </c>
      <c r="C1191" s="1100">
        <v>0.99446071906879041</v>
      </c>
      <c r="D1191" s="1100">
        <v>0.98914313515349994</v>
      </c>
      <c r="E1191" s="1100">
        <v>1.0185139014504714</v>
      </c>
      <c r="F1191" s="1100">
        <v>1.0064559421423755</v>
      </c>
      <c r="G1191" s="1100">
        <v>0.9848651074452226</v>
      </c>
      <c r="H1191" s="1100">
        <v>0.97003234306273856</v>
      </c>
      <c r="I1191" s="1100">
        <v>0.97588905204770637</v>
      </c>
      <c r="K1191">
        <v>2.2183762927813766</v>
      </c>
      <c r="L1191">
        <v>0</v>
      </c>
      <c r="M1191">
        <v>1.4552508768806496E-3</v>
      </c>
      <c r="N1191">
        <v>0.13987111275698572</v>
      </c>
      <c r="O1191">
        <v>1.9921663666603695E-2</v>
      </c>
      <c r="P1191">
        <v>2.6497132996218486E-2</v>
      </c>
      <c r="Q1191">
        <v>5.6595391444088806E-3</v>
      </c>
      <c r="R1191">
        <v>1.4341652929943073E-3</v>
      </c>
      <c r="S1191">
        <v>0.23607571117152695</v>
      </c>
      <c r="T1191">
        <v>1.3525729568188813</v>
      </c>
      <c r="U1191">
        <v>0.1436107111788634</v>
      </c>
      <c r="V1191">
        <v>0.18336272538703879</v>
      </c>
      <c r="W1191">
        <v>9.0887540128367195E-2</v>
      </c>
      <c r="X1191">
        <v>1.6034959961299097E-2</v>
      </c>
      <c r="Y1191">
        <v>3.9033251550687296E-3</v>
      </c>
    </row>
    <row r="1192" spans="1:25" x14ac:dyDescent="0.25">
      <c r="A1192" s="1096"/>
      <c r="B1192" s="1455">
        <v>942</v>
      </c>
      <c r="C1192" s="1100">
        <v>1.0056853194244029</v>
      </c>
      <c r="D1192" s="1100">
        <v>0.99158855088598818</v>
      </c>
      <c r="E1192" s="1100">
        <v>1.0309238125905105</v>
      </c>
      <c r="F1192" s="1100">
        <v>0.99833469620049387</v>
      </c>
      <c r="G1192" s="1100">
        <v>1.0183067790164106</v>
      </c>
      <c r="H1192" s="1100">
        <v>1.012359763145062</v>
      </c>
      <c r="I1192" s="1100">
        <v>0.97650150134298241</v>
      </c>
      <c r="K1192">
        <v>2.2194626981860313</v>
      </c>
      <c r="L1192">
        <v>0</v>
      </c>
      <c r="M1192">
        <v>1.4626969080122987E-3</v>
      </c>
      <c r="N1192">
        <v>0.14603766811318519</v>
      </c>
      <c r="O1192">
        <v>1.9696368421150069E-2</v>
      </c>
      <c r="P1192">
        <v>2.6616343022213565E-2</v>
      </c>
      <c r="Q1192">
        <v>5.6648151646184882E-3</v>
      </c>
      <c r="R1192">
        <v>1.4423895490954244E-3</v>
      </c>
      <c r="S1192">
        <v>0.23669224533013403</v>
      </c>
      <c r="T1192">
        <v>1.3416851473036355</v>
      </c>
      <c r="U1192">
        <v>0.14203636765843505</v>
      </c>
      <c r="V1192">
        <v>0.18648797162672573</v>
      </c>
      <c r="W1192">
        <v>9.4210582534841283E-2</v>
      </c>
      <c r="X1192">
        <v>1.642978750095981E-2</v>
      </c>
      <c r="Y1192">
        <v>3.9257088690506743E-3</v>
      </c>
    </row>
    <row r="1193" spans="1:25" x14ac:dyDescent="0.25">
      <c r="A1193" s="1096"/>
      <c r="B1193" s="1455">
        <v>943</v>
      </c>
      <c r="C1193" s="1100">
        <v>0.96915674189643364</v>
      </c>
      <c r="D1193" s="1100">
        <v>0.96060154302112333</v>
      </c>
      <c r="E1193" s="1100">
        <v>1.010672482312142</v>
      </c>
      <c r="F1193" s="1100">
        <v>0.97199316415159953</v>
      </c>
      <c r="G1193" s="1100">
        <v>1.0399792602976321</v>
      </c>
      <c r="H1193" s="1100">
        <v>1.020293331062371</v>
      </c>
      <c r="I1193" s="1100">
        <v>0.98594536822341472</v>
      </c>
      <c r="K1193">
        <v>2.2193362179067138</v>
      </c>
      <c r="L1193">
        <v>0</v>
      </c>
      <c r="M1193">
        <v>1.6067476379615839E-3</v>
      </c>
      <c r="N1193">
        <v>0.15092965150956997</v>
      </c>
      <c r="O1193">
        <v>2.0568793279191859E-2</v>
      </c>
      <c r="P1193">
        <v>2.6091192822125249E-2</v>
      </c>
      <c r="Q1193">
        <v>5.7978721331921647E-3</v>
      </c>
      <c r="R1193">
        <v>1.5846138064813113E-3</v>
      </c>
      <c r="S1193">
        <v>0.25245317647171017</v>
      </c>
      <c r="T1193">
        <v>1.3062440033066831</v>
      </c>
      <c r="U1193">
        <v>0.14734161256356748</v>
      </c>
      <c r="V1193">
        <v>0.19114309894512557</v>
      </c>
      <c r="W1193">
        <v>9.8526209544555737E-2</v>
      </c>
      <c r="X1193">
        <v>1.5949944749032073E-2</v>
      </c>
      <c r="Y1193">
        <v>4.3127964134412116E-3</v>
      </c>
    </row>
    <row r="1194" spans="1:25" x14ac:dyDescent="0.25">
      <c r="A1194" s="1096"/>
      <c r="B1194" s="1455">
        <v>944</v>
      </c>
      <c r="C1194" s="1100">
        <v>1.0172610901670158</v>
      </c>
      <c r="D1194" s="1100">
        <v>1.0156889405613969</v>
      </c>
      <c r="E1194" s="1100">
        <v>1.0041035622809611</v>
      </c>
      <c r="F1194" s="1100">
        <v>1.010537656805659</v>
      </c>
      <c r="G1194" s="1100">
        <v>0.99807186562851058</v>
      </c>
      <c r="H1194" s="1100">
        <v>1.0244266051445012</v>
      </c>
      <c r="I1194" s="1100">
        <v>0.96623608604402744</v>
      </c>
      <c r="K1194">
        <v>2.2164607781507897</v>
      </c>
      <c r="L1194">
        <v>0</v>
      </c>
      <c r="M1194">
        <v>1.5390816093669335E-3</v>
      </c>
      <c r="N1194">
        <v>0.14174202587010787</v>
      </c>
      <c r="O1194">
        <v>1.9353176572420694E-2</v>
      </c>
      <c r="P1194">
        <v>2.6159096644883827E-2</v>
      </c>
      <c r="Q1194">
        <v>5.4194616230107424E-3</v>
      </c>
      <c r="R1194">
        <v>1.5179654575000979E-3</v>
      </c>
      <c r="S1194">
        <v>0.22951247325510957</v>
      </c>
      <c r="T1194">
        <v>1.3580316186855022</v>
      </c>
      <c r="U1194">
        <v>0.14035922290892852</v>
      </c>
      <c r="V1194">
        <v>0.18350531928059</v>
      </c>
      <c r="W1194">
        <v>9.2888417784800406E-2</v>
      </c>
      <c r="X1194">
        <v>1.5379680099162589E-2</v>
      </c>
      <c r="Y1194">
        <v>4.1314015781366851E-3</v>
      </c>
    </row>
    <row r="1195" spans="1:25" x14ac:dyDescent="0.25">
      <c r="A1195" s="1096"/>
      <c r="B1195" s="1455">
        <v>945</v>
      </c>
      <c r="C1195" s="1100">
        <v>0.95452630978303343</v>
      </c>
      <c r="D1195" s="1100">
        <v>0.99972365930146134</v>
      </c>
      <c r="E1195" s="1100">
        <v>0.99644445132286508</v>
      </c>
      <c r="F1195" s="1100">
        <v>0.96777910635348952</v>
      </c>
      <c r="G1195" s="1100">
        <v>1.0032595887592322</v>
      </c>
      <c r="H1195" s="1100">
        <v>1.0043105203305245</v>
      </c>
      <c r="I1195" s="1100">
        <v>1.0325492647963115</v>
      </c>
      <c r="K1195">
        <v>2.2163943498176342</v>
      </c>
      <c r="L1195">
        <v>0</v>
      </c>
      <c r="M1195">
        <v>1.6394840010058561E-3</v>
      </c>
      <c r="N1195">
        <v>0.14749382876441042</v>
      </c>
      <c r="O1195">
        <v>2.0692137466484656E-2</v>
      </c>
      <c r="P1195">
        <v>2.5850764350040224E-2</v>
      </c>
      <c r="Q1195">
        <v>5.7499783200231332E-3</v>
      </c>
      <c r="R1195">
        <v>1.6165397889527776E-3</v>
      </c>
      <c r="S1195">
        <v>0.26163605493487663</v>
      </c>
      <c r="T1195">
        <v>1.3005578246927547</v>
      </c>
      <c r="U1195">
        <v>0.1495656434067246</v>
      </c>
      <c r="V1195">
        <v>0.1879177072244021</v>
      </c>
      <c r="W1195">
        <v>9.7098681269178061E-2</v>
      </c>
      <c r="X1195">
        <v>1.5454985187461015E-2</v>
      </c>
      <c r="Y1195">
        <v>4.39968841333125E-3</v>
      </c>
    </row>
    <row r="1196" spans="1:25" x14ac:dyDescent="0.25">
      <c r="A1196" s="1096"/>
      <c r="B1196" s="1455">
        <v>946</v>
      </c>
      <c r="C1196" s="1100">
        <v>1.0076062977659366</v>
      </c>
      <c r="D1196" s="1100">
        <v>1.0079035246274373</v>
      </c>
      <c r="E1196" s="1100">
        <v>0.99927922991091744</v>
      </c>
      <c r="F1196" s="1100">
        <v>1.0240929038326934</v>
      </c>
      <c r="G1196" s="1100">
        <v>1.0405236736053654</v>
      </c>
      <c r="H1196" s="1100">
        <v>0.98122801080157585</v>
      </c>
      <c r="I1196" s="1100">
        <v>0.96259258309954887</v>
      </c>
      <c r="K1196">
        <v>2.2323088905494637</v>
      </c>
      <c r="L1196">
        <v>0</v>
      </c>
      <c r="M1196">
        <v>1.5058255800030871E-3</v>
      </c>
      <c r="N1196">
        <v>0.13658921107382357</v>
      </c>
      <c r="O1196">
        <v>1.9568734053289155E-2</v>
      </c>
      <c r="P1196">
        <v>2.6389375393834645E-2</v>
      </c>
      <c r="Q1196">
        <v>5.4533397323156948E-3</v>
      </c>
      <c r="R1196">
        <v>1.4842561479449488E-3</v>
      </c>
      <c r="S1196">
        <v>0.22838206938141106</v>
      </c>
      <c r="T1196">
        <v>1.3762400665603172</v>
      </c>
      <c r="U1196">
        <v>0.14169310608042696</v>
      </c>
      <c r="V1196">
        <v>0.18885851971568007</v>
      </c>
      <c r="W1196">
        <v>8.9768284665357981E-2</v>
      </c>
      <c r="X1196">
        <v>1.5348097375265768E-2</v>
      </c>
      <c r="Y1196">
        <v>4.0396559497984773E-3</v>
      </c>
    </row>
    <row r="1197" spans="1:25" x14ac:dyDescent="0.25">
      <c r="A1197" s="1096"/>
      <c r="B1197" s="1455">
        <v>947</v>
      </c>
      <c r="C1197" s="1100">
        <v>0.99202409304768835</v>
      </c>
      <c r="D1197" s="1100">
        <v>0.98502593879551914</v>
      </c>
      <c r="E1197" s="1100">
        <v>1.0205424955025815</v>
      </c>
      <c r="F1197" s="1100">
        <v>1.0452295635932403</v>
      </c>
      <c r="G1197" s="1100">
        <v>0.96381670998890756</v>
      </c>
      <c r="H1197" s="1100">
        <v>0.98932819512568693</v>
      </c>
      <c r="I1197" s="1100">
        <v>1.0118713537066546</v>
      </c>
      <c r="K1197">
        <v>2.2873166263872027</v>
      </c>
      <c r="L1197">
        <v>0</v>
      </c>
      <c r="M1197">
        <v>1.4829381239444802E-3</v>
      </c>
      <c r="N1197">
        <v>0.14344836706317338</v>
      </c>
      <c r="O1197">
        <v>1.9990215206893855E-2</v>
      </c>
      <c r="P1197">
        <v>2.7390684371508836E-2</v>
      </c>
      <c r="Q1197">
        <v>5.6904814180347447E-3</v>
      </c>
      <c r="R1197">
        <v>1.4618704484206614E-3</v>
      </c>
      <c r="S1197">
        <v>0.24749620026100791</v>
      </c>
      <c r="T1197">
        <v>1.4046849718401289</v>
      </c>
      <c r="U1197">
        <v>0.14396817225338962</v>
      </c>
      <c r="V1197">
        <v>0.18113205120412709</v>
      </c>
      <c r="W1197">
        <v>9.3101419146686903E-2</v>
      </c>
      <c r="X1197">
        <v>1.6456401842637029E-2</v>
      </c>
      <c r="Y1197">
        <v>3.9787294551372338E-3</v>
      </c>
    </row>
    <row r="1198" spans="1:25" x14ac:dyDescent="0.25">
      <c r="A1198" s="1096"/>
      <c r="B1198" s="1455">
        <v>948</v>
      </c>
      <c r="C1198" s="1100">
        <v>1.0045606909654654</v>
      </c>
      <c r="D1198" s="1100">
        <v>0.99929262461274837</v>
      </c>
      <c r="E1198" s="1100">
        <v>1.0156101947931779</v>
      </c>
      <c r="F1198" s="1100">
        <v>0.99597311470939354</v>
      </c>
      <c r="G1198" s="1100">
        <v>0.99632389952922096</v>
      </c>
      <c r="H1198" s="1100">
        <v>1.0076071442775281</v>
      </c>
      <c r="I1198" s="1100">
        <v>0.99509466429083904</v>
      </c>
      <c r="K1198">
        <v>2.212537029361656</v>
      </c>
      <c r="L1198">
        <v>0</v>
      </c>
      <c r="M1198">
        <v>1.5021097017386216E-3</v>
      </c>
      <c r="N1198">
        <v>0.14319395312070243</v>
      </c>
      <c r="O1198">
        <v>1.9675315884056677E-2</v>
      </c>
      <c r="P1198">
        <v>2.6290525176522719E-2</v>
      </c>
      <c r="Q1198">
        <v>5.5734161149058534E-3</v>
      </c>
      <c r="R1198">
        <v>1.4811567896960808E-3</v>
      </c>
      <c r="S1198">
        <v>0.24004557979801369</v>
      </c>
      <c r="T1198">
        <v>1.3384794497861328</v>
      </c>
      <c r="U1198">
        <v>0.14216015981172128</v>
      </c>
      <c r="V1198">
        <v>0.18405534810327784</v>
      </c>
      <c r="W1198">
        <v>9.320527547998296E-2</v>
      </c>
      <c r="X1198">
        <v>1.5847738480034537E-2</v>
      </c>
      <c r="Y1198">
        <v>4.0312205183482327E-3</v>
      </c>
    </row>
    <row r="1199" spans="1:25" x14ac:dyDescent="0.25">
      <c r="A1199" s="1096"/>
      <c r="B1199" s="1455">
        <v>949</v>
      </c>
      <c r="C1199" s="1100">
        <v>0.99475349449733175</v>
      </c>
      <c r="D1199" s="1100">
        <v>1.0091448936906959</v>
      </c>
      <c r="E1199" s="1100">
        <v>1.0189386553933084</v>
      </c>
      <c r="F1199" s="1100">
        <v>1.0290217291676442</v>
      </c>
      <c r="G1199" s="1100">
        <v>1.0007768147044298</v>
      </c>
      <c r="H1199" s="1100">
        <v>0.99865361425582977</v>
      </c>
      <c r="I1199" s="1100">
        <v>1.0120651099481117</v>
      </c>
      <c r="K1199">
        <v>2.2656440083251357</v>
      </c>
      <c r="L1199">
        <v>0</v>
      </c>
      <c r="M1199">
        <v>1.4898487650057844E-3</v>
      </c>
      <c r="N1199">
        <v>0.14344052210921063</v>
      </c>
      <c r="O1199">
        <v>1.982854493413274E-2</v>
      </c>
      <c r="P1199">
        <v>2.7067618344611598E-2</v>
      </c>
      <c r="Q1199">
        <v>5.6354659081574322E-3</v>
      </c>
      <c r="R1199">
        <v>1.4688805585506041E-3</v>
      </c>
      <c r="S1199">
        <v>0.2446428851594753</v>
      </c>
      <c r="T1199">
        <v>1.3828999188763818</v>
      </c>
      <c r="U1199">
        <v>0.14356942962676533</v>
      </c>
      <c r="V1199">
        <v>0.18514407143188338</v>
      </c>
      <c r="W1199">
        <v>9.3183741649521284E-2</v>
      </c>
      <c r="X1199">
        <v>1.6254969827422371E-2</v>
      </c>
      <c r="Y1199">
        <v>3.9978086640287533E-3</v>
      </c>
    </row>
    <row r="1200" spans="1:25" x14ac:dyDescent="0.25">
      <c r="A1200" s="1096"/>
      <c r="B1200" s="1455">
        <v>950</v>
      </c>
      <c r="C1200" s="1100">
        <v>0.98953647371478515</v>
      </c>
      <c r="D1200" s="1100">
        <v>0.95659780418758811</v>
      </c>
      <c r="E1200" s="1100">
        <v>0.99113972641426651</v>
      </c>
      <c r="F1200" s="1100">
        <v>0.96992359376721349</v>
      </c>
      <c r="G1200" s="1100">
        <v>1.0101911604072713</v>
      </c>
      <c r="H1200" s="1100">
        <v>0.98025359260275413</v>
      </c>
      <c r="I1200" s="1100">
        <v>0.98877571225548655</v>
      </c>
      <c r="K1200">
        <v>2.1812371950661738</v>
      </c>
      <c r="L1200">
        <v>0</v>
      </c>
      <c r="M1200">
        <v>1.5758723312218534E-3</v>
      </c>
      <c r="N1200">
        <v>0.13946746395359433</v>
      </c>
      <c r="O1200">
        <v>2.0151240193730446E-2</v>
      </c>
      <c r="P1200">
        <v>2.5471686841297535E-2</v>
      </c>
      <c r="Q1200">
        <v>5.5697911275603791E-3</v>
      </c>
      <c r="R1200">
        <v>1.5532771117229441E-3</v>
      </c>
      <c r="S1200">
        <v>0.24509416385594318</v>
      </c>
      <c r="T1200">
        <v>1.3034322153322309</v>
      </c>
      <c r="U1200">
        <v>0.14426162580654736</v>
      </c>
      <c r="V1200">
        <v>0.18649781416609409</v>
      </c>
      <c r="W1200">
        <v>9.2106096876927737E-2</v>
      </c>
      <c r="X1200">
        <v>1.4980183871296961E-2</v>
      </c>
      <c r="Y1200">
        <v>4.2275082604475876E-3</v>
      </c>
    </row>
    <row r="1201" spans="1:25" x14ac:dyDescent="0.25">
      <c r="A1201" s="1096"/>
      <c r="B1201" s="1455">
        <v>951</v>
      </c>
      <c r="C1201" s="1100">
        <v>0.97017009493765216</v>
      </c>
      <c r="D1201" s="1100">
        <v>1.0252828022392473</v>
      </c>
      <c r="E1201" s="1100">
        <v>0.97246394210277198</v>
      </c>
      <c r="F1201" s="1100">
        <v>0.95395850062715914</v>
      </c>
      <c r="G1201" s="1100">
        <v>1.0178583486789841</v>
      </c>
      <c r="H1201" s="1100">
        <v>0.99292570672804148</v>
      </c>
      <c r="I1201" s="1100">
        <v>1.0326349388322416</v>
      </c>
      <c r="K1201">
        <v>2.1726896213981441</v>
      </c>
      <c r="L1201">
        <v>0</v>
      </c>
      <c r="M1201">
        <v>1.6666110811558916E-3</v>
      </c>
      <c r="N1201">
        <v>0.13942142371488236</v>
      </c>
      <c r="O1201">
        <v>2.0230408566305896E-2</v>
      </c>
      <c r="P1201">
        <v>2.4998630722634384E-2</v>
      </c>
      <c r="Q1201">
        <v>5.486636616052391E-3</v>
      </c>
      <c r="R1201">
        <v>1.6430198021270819E-3</v>
      </c>
      <c r="S1201">
        <v>0.25307343530486531</v>
      </c>
      <c r="T1201">
        <v>1.2819562485932221</v>
      </c>
      <c r="U1201">
        <v>0.1470971630506</v>
      </c>
      <c r="V1201">
        <v>0.1885447804193324</v>
      </c>
      <c r="W1201">
        <v>9.3118407507689571E-2</v>
      </c>
      <c r="X1201">
        <v>1.4314319901530969E-2</v>
      </c>
      <c r="Y1201">
        <v>4.471758280057709E-3</v>
      </c>
    </row>
    <row r="1202" spans="1:25" x14ac:dyDescent="0.25">
      <c r="A1202" s="1096"/>
      <c r="B1202" s="1455">
        <v>952</v>
      </c>
      <c r="C1202" s="1100">
        <v>1.0316178159063716</v>
      </c>
      <c r="D1202" s="1100">
        <v>1.0097564346505992</v>
      </c>
      <c r="E1202" s="1100">
        <v>1.0364590122524231</v>
      </c>
      <c r="F1202" s="1100">
        <v>0.99508640135573445</v>
      </c>
      <c r="G1202" s="1100">
        <v>1.0213314024567903</v>
      </c>
      <c r="H1202" s="1100">
        <v>1.0194628325896031</v>
      </c>
      <c r="I1202" s="1100">
        <v>0.98448282727047065</v>
      </c>
      <c r="K1202">
        <v>2.1994476255763664</v>
      </c>
      <c r="L1202">
        <v>0</v>
      </c>
      <c r="M1202">
        <v>1.413798319126503E-3</v>
      </c>
      <c r="N1202">
        <v>0.14354411735670014</v>
      </c>
      <c r="O1202">
        <v>1.912806485705151E-2</v>
      </c>
      <c r="P1202">
        <v>2.651825423052831E-2</v>
      </c>
      <c r="Q1202">
        <v>5.5314952388834434E-3</v>
      </c>
      <c r="R1202">
        <v>1.3943066046541721E-3</v>
      </c>
      <c r="S1202">
        <v>0.23111978684787338</v>
      </c>
      <c r="T1202">
        <v>1.3373324326552256</v>
      </c>
      <c r="U1202">
        <v>0.13847831606667865</v>
      </c>
      <c r="V1202">
        <v>0.18535124848979292</v>
      </c>
      <c r="W1202">
        <v>9.2305764259157652E-2</v>
      </c>
      <c r="X1202">
        <v>1.6362794344125089E-2</v>
      </c>
      <c r="Y1202">
        <v>3.7948429448199602E-3</v>
      </c>
    </row>
    <row r="1203" spans="1:25" x14ac:dyDescent="0.25">
      <c r="A1203" s="1096"/>
      <c r="B1203" s="1455">
        <v>953</v>
      </c>
      <c r="C1203" s="1100">
        <v>1.0039526006052837</v>
      </c>
      <c r="D1203" s="1100">
        <v>0.96243236511370267</v>
      </c>
      <c r="E1203" s="1100">
        <v>1.0331151811531081</v>
      </c>
      <c r="F1203" s="1100">
        <v>1.0447100510511325</v>
      </c>
      <c r="G1203" s="1100">
        <v>0.98917911732268071</v>
      </c>
      <c r="H1203" s="1100">
        <v>1.0294702046785191</v>
      </c>
      <c r="I1203" s="1100">
        <v>1.0041642550268373</v>
      </c>
      <c r="K1203">
        <v>2.299453281395111</v>
      </c>
      <c r="L1203">
        <v>0</v>
      </c>
      <c r="M1203">
        <v>1.4929659648025455E-3</v>
      </c>
      <c r="N1203">
        <v>0.1500826914595397</v>
      </c>
      <c r="O1203">
        <v>1.9861715437251487E-2</v>
      </c>
      <c r="P1203">
        <v>2.765943986619428E-2</v>
      </c>
      <c r="Q1203">
        <v>5.7247462067199382E-3</v>
      </c>
      <c r="R1203">
        <v>1.472582871028523E-3</v>
      </c>
      <c r="S1203">
        <v>0.2488887500030928</v>
      </c>
      <c r="T1203">
        <v>1.4040152781093924</v>
      </c>
      <c r="U1203">
        <v>0.14228655735910994</v>
      </c>
      <c r="V1203">
        <v>0.1832996232130466</v>
      </c>
      <c r="W1203">
        <v>9.6697188073550905E-2</v>
      </c>
      <c r="X1203">
        <v>1.6949789622857824E-2</v>
      </c>
      <c r="Y1203">
        <v>4.0078851381266699E-3</v>
      </c>
    </row>
    <row r="1204" spans="1:25" x14ac:dyDescent="0.25">
      <c r="A1204" s="1096"/>
      <c r="B1204" s="1455">
        <v>954</v>
      </c>
      <c r="C1204" s="1100">
        <v>0.97822701775281851</v>
      </c>
      <c r="D1204" s="1100">
        <v>1.0393992133460512</v>
      </c>
      <c r="E1204" s="1100">
        <v>0.98487090963681589</v>
      </c>
      <c r="F1204" s="1100">
        <v>1.0275218240994577</v>
      </c>
      <c r="G1204" s="1100">
        <v>0.96784643939077297</v>
      </c>
      <c r="H1204" s="1100">
        <v>0.99608005353745821</v>
      </c>
      <c r="I1204" s="1100">
        <v>1.0158020770834864</v>
      </c>
      <c r="K1204">
        <v>2.2587207525860942</v>
      </c>
      <c r="L1204">
        <v>0</v>
      </c>
      <c r="M1204">
        <v>1.6112912676195911E-3</v>
      </c>
      <c r="N1204">
        <v>0.13995671622526251</v>
      </c>
      <c r="O1204">
        <v>2.0011346087465617E-2</v>
      </c>
      <c r="P1204">
        <v>2.6369267455910225E-2</v>
      </c>
      <c r="Q1204">
        <v>5.4961497846029517E-3</v>
      </c>
      <c r="R1204">
        <v>1.5885552819481592E-3</v>
      </c>
      <c r="S1204">
        <v>0.24558754895766621</v>
      </c>
      <c r="T1204">
        <v>1.3808270510957483</v>
      </c>
      <c r="U1204">
        <v>0.14591473415753428</v>
      </c>
      <c r="V1204">
        <v>0.18239865728220928</v>
      </c>
      <c r="W1204">
        <v>9.2777517563605569E-2</v>
      </c>
      <c r="X1204">
        <v>1.508097615140651E-2</v>
      </c>
      <c r="Y1204">
        <v>4.3235238103549335E-3</v>
      </c>
    </row>
    <row r="1205" spans="1:25" x14ac:dyDescent="0.25">
      <c r="A1205" s="1096"/>
      <c r="B1205" s="1455">
        <v>955</v>
      </c>
      <c r="C1205" s="1100">
        <v>1.0013443374242885</v>
      </c>
      <c r="D1205" s="1100">
        <v>0.96910920844969162</v>
      </c>
      <c r="E1205" s="1100">
        <v>0.9979434592440064</v>
      </c>
      <c r="F1205" s="1100">
        <v>0.96661794436708892</v>
      </c>
      <c r="G1205" s="1100">
        <v>1.0196897693764801</v>
      </c>
      <c r="H1205" s="1100">
        <v>0.96297749347763173</v>
      </c>
      <c r="I1205" s="1100">
        <v>1.0123248944062755</v>
      </c>
      <c r="K1205">
        <v>2.1686461699296742</v>
      </c>
      <c r="L1205">
        <v>0</v>
      </c>
      <c r="M1205">
        <v>1.5041167693221385E-3</v>
      </c>
      <c r="N1205">
        <v>0.13584723761084683</v>
      </c>
      <c r="O1205">
        <v>1.9861040105903206E-2</v>
      </c>
      <c r="P1205">
        <v>2.5522211298640341E-2</v>
      </c>
      <c r="Q1205">
        <v>5.5273662285847229E-3</v>
      </c>
      <c r="R1205">
        <v>1.4821634905085976E-3</v>
      </c>
      <c r="S1205">
        <v>0.24499312387719188</v>
      </c>
      <c r="T1205">
        <v>1.2989996062053168</v>
      </c>
      <c r="U1205">
        <v>0.14257612092452965</v>
      </c>
      <c r="V1205">
        <v>0.18687055097384428</v>
      </c>
      <c r="W1205">
        <v>8.9351636303819079E-2</v>
      </c>
      <c r="X1205">
        <v>1.5085269253709087E-2</v>
      </c>
      <c r="Y1205">
        <v>4.033960426101069E-3</v>
      </c>
    </row>
    <row r="1206" spans="1:25" x14ac:dyDescent="0.25">
      <c r="A1206" s="1096"/>
      <c r="B1206" s="1455">
        <v>956</v>
      </c>
      <c r="C1206" s="1100">
        <v>1.019550242749524</v>
      </c>
      <c r="D1206" s="1100">
        <v>0.97999506975241613</v>
      </c>
      <c r="E1206" s="1100">
        <v>0.97865231065873903</v>
      </c>
      <c r="F1206" s="1100">
        <v>1.0021499313329965</v>
      </c>
      <c r="G1206" s="1100">
        <v>1.0234663865497251</v>
      </c>
      <c r="H1206" s="1100">
        <v>0.97720075036786713</v>
      </c>
      <c r="I1206" s="1100">
        <v>1.0118849431986061</v>
      </c>
      <c r="K1206">
        <v>2.2030488872330882</v>
      </c>
      <c r="L1206">
        <v>0</v>
      </c>
      <c r="M1206">
        <v>1.5563366090179582E-3</v>
      </c>
      <c r="N1206">
        <v>0.13262725115704235</v>
      </c>
      <c r="O1206">
        <v>1.9446658258006459E-2</v>
      </c>
      <c r="P1206">
        <v>2.568611867204583E-2</v>
      </c>
      <c r="Q1206">
        <v>5.3074380885428478E-3</v>
      </c>
      <c r="R1206">
        <v>1.5339517832503979E-3</v>
      </c>
      <c r="S1206">
        <v>0.24014941017017025</v>
      </c>
      <c r="T1206">
        <v>1.3467237983109619</v>
      </c>
      <c r="U1206">
        <v>0.13998668623953453</v>
      </c>
      <c r="V1206">
        <v>0.18622347476611181</v>
      </c>
      <c r="W1206">
        <v>8.824909228288505E-2</v>
      </c>
      <c r="X1206">
        <v>1.4496433026617281E-2</v>
      </c>
      <c r="Y1206">
        <v>4.1749110869381354E-3</v>
      </c>
    </row>
    <row r="1207" spans="1:25" x14ac:dyDescent="0.25">
      <c r="A1207" s="1096"/>
      <c r="B1207" s="1455">
        <v>957</v>
      </c>
      <c r="C1207" s="1100">
        <v>0.96326939878289797</v>
      </c>
      <c r="D1207" s="1100">
        <v>0.98564023577169879</v>
      </c>
      <c r="E1207" s="1100">
        <v>1.0095373800110872</v>
      </c>
      <c r="F1207" s="1100">
        <v>0.98398900438191428</v>
      </c>
      <c r="G1207" s="1100">
        <v>0.97714855889874519</v>
      </c>
      <c r="H1207" s="1100">
        <v>1.0002610466283668</v>
      </c>
      <c r="I1207" s="1100">
        <v>0.98078530198411884</v>
      </c>
      <c r="K1207">
        <v>2.2198460415329975</v>
      </c>
      <c r="L1207">
        <v>0</v>
      </c>
      <c r="M1207">
        <v>1.5796026934578699E-3</v>
      </c>
      <c r="N1207">
        <v>0.14783082462442995</v>
      </c>
      <c r="O1207">
        <v>2.0576946550208867E-2</v>
      </c>
      <c r="P1207">
        <v>2.6146521632828469E-2</v>
      </c>
      <c r="Q1207">
        <v>5.7935930582991863E-3</v>
      </c>
      <c r="R1207">
        <v>1.5574070118575326E-3</v>
      </c>
      <c r="S1207">
        <v>0.24778566277639019</v>
      </c>
      <c r="T1207">
        <v>1.3223629733447757</v>
      </c>
      <c r="U1207">
        <v>0.14823942285383679</v>
      </c>
      <c r="V1207">
        <v>0.18441425813066917</v>
      </c>
      <c r="W1207">
        <v>9.6567919116180304E-2</v>
      </c>
      <c r="X1207">
        <v>1.591136663978231E-2</v>
      </c>
      <c r="Y1207">
        <v>4.2387484871927233E-3</v>
      </c>
    </row>
    <row r="1208" spans="1:25" x14ac:dyDescent="0.25">
      <c r="A1208" s="1096"/>
      <c r="B1208" s="1455">
        <v>958</v>
      </c>
      <c r="C1208" s="1100">
        <v>1.0234623156327012</v>
      </c>
      <c r="D1208" s="1100">
        <v>0.99971586953691227</v>
      </c>
      <c r="E1208" s="1100">
        <v>0.96568369560383149</v>
      </c>
      <c r="F1208" s="1100">
        <v>0.98740478732074199</v>
      </c>
      <c r="G1208" s="1100">
        <v>1.0037766981749794</v>
      </c>
      <c r="H1208" s="1100">
        <v>1.0452523546842589</v>
      </c>
      <c r="I1208" s="1100">
        <v>0.99286996495142021</v>
      </c>
      <c r="K1208">
        <v>2.1880482322731769</v>
      </c>
      <c r="L1208">
        <v>0</v>
      </c>
      <c r="M1208">
        <v>1.6959209362270367E-3</v>
      </c>
      <c r="N1208">
        <v>0.13909013010490856</v>
      </c>
      <c r="O1208">
        <v>1.9279718729063942E-2</v>
      </c>
      <c r="P1208">
        <v>2.5094874667184734E-2</v>
      </c>
      <c r="Q1208">
        <v>5.1926738792534063E-3</v>
      </c>
      <c r="R1208">
        <v>1.6731165481052752E-3</v>
      </c>
      <c r="S1208">
        <v>0.23758920293828237</v>
      </c>
      <c r="T1208">
        <v>1.3268962005029952</v>
      </c>
      <c r="U1208">
        <v>0.13942256091011698</v>
      </c>
      <c r="V1208">
        <v>0.18376488298343524</v>
      </c>
      <c r="W1208">
        <v>9.3281572296652154E-2</v>
      </c>
      <c r="X1208">
        <v>1.3905547948182892E-2</v>
      </c>
      <c r="Y1208">
        <v>4.553671701220707E-3</v>
      </c>
    </row>
    <row r="1209" spans="1:25" x14ac:dyDescent="0.25">
      <c r="A1209" s="1096"/>
      <c r="B1209" s="1455">
        <v>959</v>
      </c>
      <c r="C1209" s="1100">
        <v>1.01095298835152</v>
      </c>
      <c r="D1209" s="1100">
        <v>0.9983918653101459</v>
      </c>
      <c r="E1209" s="1100">
        <v>0.99854192871678826</v>
      </c>
      <c r="F1209" s="1100">
        <v>1.0040473766453715</v>
      </c>
      <c r="G1209" s="1100">
        <v>1.030247011621475</v>
      </c>
      <c r="H1209" s="1100">
        <v>1.0151471040438365</v>
      </c>
      <c r="I1209" s="1100">
        <v>1.0295641745295137</v>
      </c>
      <c r="K1209">
        <v>2.2299823188631374</v>
      </c>
      <c r="L1209">
        <v>0</v>
      </c>
      <c r="M1209">
        <v>1.5583451842375972E-3</v>
      </c>
      <c r="N1209">
        <v>0.14110705473555743</v>
      </c>
      <c r="O1209">
        <v>1.9544225430314175E-2</v>
      </c>
      <c r="P1209">
        <v>2.624185293256371E-2</v>
      </c>
      <c r="Q1209">
        <v>5.4424723091426267E-3</v>
      </c>
      <c r="R1209">
        <v>1.5367692971788255E-3</v>
      </c>
      <c r="S1209">
        <v>0.24738329019887284</v>
      </c>
      <c r="T1209">
        <v>1.3493004728802311</v>
      </c>
      <c r="U1209">
        <v>0.14122236194052579</v>
      </c>
      <c r="V1209">
        <v>0.18750134752454639</v>
      </c>
      <c r="W1209">
        <v>9.2778155396018816E-2</v>
      </c>
      <c r="X1209">
        <v>1.5300081971366364E-2</v>
      </c>
      <c r="Y1209">
        <v>4.1825794310580986E-3</v>
      </c>
    </row>
    <row r="1210" spans="1:25" x14ac:dyDescent="0.25">
      <c r="A1210" s="1096"/>
      <c r="B1210" s="1455">
        <v>960</v>
      </c>
      <c r="C1210" s="1100">
        <v>1.000266717776396</v>
      </c>
      <c r="D1210" s="1100">
        <v>1.0109123019811952</v>
      </c>
      <c r="E1210" s="1100">
        <v>1.0141230810423723</v>
      </c>
      <c r="F1210" s="1100">
        <v>1.042305510727594</v>
      </c>
      <c r="G1210" s="1100">
        <v>1.0276417473286472</v>
      </c>
      <c r="H1210" s="1100">
        <v>1.0024031991088711</v>
      </c>
      <c r="I1210" s="1100">
        <v>0.98273428969579912</v>
      </c>
      <c r="K1210">
        <v>2.2754962744314904</v>
      </c>
      <c r="L1210">
        <v>0</v>
      </c>
      <c r="M1210">
        <v>1.5015900614775764E-3</v>
      </c>
      <c r="N1210">
        <v>0.14249295979024745</v>
      </c>
      <c r="O1210">
        <v>1.9708657251905445E-2</v>
      </c>
      <c r="P1210">
        <v>2.7129109658713801E-2</v>
      </c>
      <c r="Q1210">
        <v>5.5745897373411617E-3</v>
      </c>
      <c r="R1210">
        <v>1.4805356591275139E-3</v>
      </c>
      <c r="S1210">
        <v>0.23629654968005986</v>
      </c>
      <c r="T1210">
        <v>1.40074218138896</v>
      </c>
      <c r="U1210">
        <v>0.14276699824038386</v>
      </c>
      <c r="V1210">
        <v>0.18784750731812638</v>
      </c>
      <c r="W1210">
        <v>9.2830054622497354E-2</v>
      </c>
      <c r="X1210">
        <v>1.6099191139905916E-2</v>
      </c>
      <c r="Y1210">
        <v>4.0295300056962299E-3</v>
      </c>
    </row>
    <row r="1211" spans="1:25" x14ac:dyDescent="0.25">
      <c r="A1211" s="1096"/>
      <c r="B1211" s="1455">
        <v>961</v>
      </c>
      <c r="C1211" s="1100">
        <v>1.038036355943786</v>
      </c>
      <c r="D1211" s="1100">
        <v>1.0421053066072095</v>
      </c>
      <c r="E1211" s="1100">
        <v>0.96302196418695096</v>
      </c>
      <c r="F1211" s="1100">
        <v>1.0241443851726082</v>
      </c>
      <c r="G1211" s="1100">
        <v>0.99489206129979368</v>
      </c>
      <c r="H1211" s="1100">
        <v>1.0047836834250956</v>
      </c>
      <c r="I1211" s="1100">
        <v>1.0155581651183219</v>
      </c>
      <c r="K1211">
        <v>2.2125811414355545</v>
      </c>
      <c r="L1211">
        <v>0</v>
      </c>
      <c r="M1211">
        <v>1.6015219129222105E-3</v>
      </c>
      <c r="N1211">
        <v>0.13022174295825545</v>
      </c>
      <c r="O1211">
        <v>1.8834578061658665E-2</v>
      </c>
      <c r="P1211">
        <v>2.5568740802055009E-2</v>
      </c>
      <c r="Q1211">
        <v>5.0589574114081898E-3</v>
      </c>
      <c r="R1211">
        <v>1.5791195262918945E-3</v>
      </c>
      <c r="S1211">
        <v>0.23160118138537494</v>
      </c>
      <c r="T1211">
        <v>1.3762654770199083</v>
      </c>
      <c r="U1211">
        <v>0.13745919772582119</v>
      </c>
      <c r="V1211">
        <v>0.18194504978787365</v>
      </c>
      <c r="W1211">
        <v>8.7476173562523948E-2</v>
      </c>
      <c r="X1211">
        <v>1.3874602313349143E-2</v>
      </c>
      <c r="Y1211">
        <v>4.2978427939545979E-3</v>
      </c>
    </row>
    <row r="1212" spans="1:25" x14ac:dyDescent="0.25">
      <c r="A1212" s="1096"/>
      <c r="B1212" s="1455">
        <v>962</v>
      </c>
      <c r="C1212" s="1100">
        <v>0.96228631482541616</v>
      </c>
      <c r="D1212" s="1100">
        <v>1.0144292409688478</v>
      </c>
      <c r="E1212" s="1100">
        <v>1.0309533400195534</v>
      </c>
      <c r="F1212" s="1100">
        <v>1.0136559711655122</v>
      </c>
      <c r="G1212" s="1100">
        <v>1.0200224145438692</v>
      </c>
      <c r="H1212" s="1100">
        <v>1.020836404489758</v>
      </c>
      <c r="I1212" s="1100">
        <v>0.98851859985793677</v>
      </c>
      <c r="K1212">
        <v>2.2749035117123548</v>
      </c>
      <c r="L1212">
        <v>0</v>
      </c>
      <c r="M1212">
        <v>1.5336661651179086E-3</v>
      </c>
      <c r="N1212">
        <v>0.15315486848429727</v>
      </c>
      <c r="O1212">
        <v>2.0481818389778243E-2</v>
      </c>
      <c r="P1212">
        <v>2.7195504984628485E-2</v>
      </c>
      <c r="Q1212">
        <v>5.8908880280197501E-3</v>
      </c>
      <c r="R1212">
        <v>1.5125503104531409E-3</v>
      </c>
      <c r="S1212">
        <v>0.2482884818536627</v>
      </c>
      <c r="T1212">
        <v>1.3622758315040586</v>
      </c>
      <c r="U1212">
        <v>0.14844226284413489</v>
      </c>
      <c r="V1212">
        <v>0.18934362586554304</v>
      </c>
      <c r="W1212">
        <v>9.8800278307727696E-2</v>
      </c>
      <c r="X1212">
        <v>1.6934403972192702E-2</v>
      </c>
      <c r="Y1212">
        <v>4.1166633329776138E-3</v>
      </c>
    </row>
    <row r="1213" spans="1:25" x14ac:dyDescent="0.25">
      <c r="A1213" s="1096"/>
      <c r="B1213" s="1455">
        <v>963</v>
      </c>
      <c r="C1213" s="1100">
        <v>1.0139878337139625</v>
      </c>
      <c r="D1213" s="1100">
        <v>1.00611064048054</v>
      </c>
      <c r="E1213" s="1100">
        <v>0.9760349844199413</v>
      </c>
      <c r="F1213" s="1100">
        <v>0.97122939540631559</v>
      </c>
      <c r="G1213" s="1100">
        <v>0.97613149864348847</v>
      </c>
      <c r="H1213" s="1100">
        <v>1.0052191895099261</v>
      </c>
      <c r="I1213" s="1100">
        <v>1.0382489320056536</v>
      </c>
      <c r="K1213">
        <v>2.1690650437907455</v>
      </c>
      <c r="L1213">
        <v>0</v>
      </c>
      <c r="M1213">
        <v>1.6091370181697015E-3</v>
      </c>
      <c r="N1213">
        <v>0.13610026246321777</v>
      </c>
      <c r="O1213">
        <v>1.9438923943568342E-2</v>
      </c>
      <c r="P1213">
        <v>2.5109919978899196E-2</v>
      </c>
      <c r="Q1213">
        <v>5.2912116735113713E-3</v>
      </c>
      <c r="R1213">
        <v>1.5866378618992856E-3</v>
      </c>
      <c r="S1213">
        <v>0.24678425823958428</v>
      </c>
      <c r="T1213">
        <v>1.3051689254239642</v>
      </c>
      <c r="U1213">
        <v>0.14074868681192829</v>
      </c>
      <c r="V1213">
        <v>0.18118952470303187</v>
      </c>
      <c r="W1213">
        <v>9.0703542394393502E-2</v>
      </c>
      <c r="X1213">
        <v>1.4233982089856947E-2</v>
      </c>
      <c r="Y1213">
        <v>4.3183052250592487E-3</v>
      </c>
    </row>
    <row r="1214" spans="1:25" x14ac:dyDescent="0.25">
      <c r="A1214" s="1096"/>
      <c r="B1214" s="1455">
        <v>964</v>
      </c>
      <c r="C1214" s="1100">
        <v>0.9899141587359942</v>
      </c>
      <c r="D1214" s="1100">
        <v>1.0147220915660582</v>
      </c>
      <c r="E1214" s="1100">
        <v>1.009593281031103</v>
      </c>
      <c r="F1214" s="1100">
        <v>1.0030181069536868</v>
      </c>
      <c r="G1214" s="1100">
        <v>1.0148277944191022</v>
      </c>
      <c r="H1214" s="1100">
        <v>0.99674385348403693</v>
      </c>
      <c r="I1214" s="1100">
        <v>1.0239882202180386</v>
      </c>
      <c r="K1214">
        <v>2.2343315511900164</v>
      </c>
      <c r="L1214">
        <v>0</v>
      </c>
      <c r="M1214">
        <v>1.5217368512668154E-3</v>
      </c>
      <c r="N1214">
        <v>0.14243218829323193</v>
      </c>
      <c r="O1214">
        <v>1.9895443002125944E-2</v>
      </c>
      <c r="P1214">
        <v>2.6480399171066992E-2</v>
      </c>
      <c r="Q1214">
        <v>5.602023754029105E-3</v>
      </c>
      <c r="R1214">
        <v>1.5002788153175024E-3</v>
      </c>
      <c r="S1214">
        <v>0.24782301029607118</v>
      </c>
      <c r="T1214">
        <v>1.347935901292294</v>
      </c>
      <c r="U1214">
        <v>0.14424950624311775</v>
      </c>
      <c r="V1214">
        <v>0.18701540451971493</v>
      </c>
      <c r="W1214">
        <v>9.3038285711377136E-2</v>
      </c>
      <c r="X1214">
        <v>1.5797582574419919E-2</v>
      </c>
      <c r="Y1214">
        <v>4.083264368515689E-3</v>
      </c>
    </row>
    <row r="1215" spans="1:25" x14ac:dyDescent="0.25">
      <c r="A1215" s="1096"/>
      <c r="B1215" s="1455">
        <v>965</v>
      </c>
      <c r="C1215" s="1100">
        <v>1.0175075486251315</v>
      </c>
      <c r="D1215" s="1100">
        <v>0.96413338970595075</v>
      </c>
      <c r="E1215" s="1100">
        <v>0.96927068695823881</v>
      </c>
      <c r="F1215" s="1100">
        <v>1.031979630511723</v>
      </c>
      <c r="G1215" s="1100">
        <v>0.96791795491865495</v>
      </c>
      <c r="H1215" s="1100">
        <v>1.0323333130636951</v>
      </c>
      <c r="I1215" s="1100">
        <v>0.97464074652312993</v>
      </c>
      <c r="K1215">
        <v>2.247868319092031</v>
      </c>
      <c r="L1215">
        <v>0</v>
      </c>
      <c r="M1215">
        <v>1.6857243588558335E-3</v>
      </c>
      <c r="N1215">
        <v>0.13974006514191198</v>
      </c>
      <c r="O1215">
        <v>1.95499948456395E-2</v>
      </c>
      <c r="P1215">
        <v>2.5928020092971887E-2</v>
      </c>
      <c r="Q1215">
        <v>5.2848351758143682E-3</v>
      </c>
      <c r="R1215">
        <v>1.6627734125337871E-3</v>
      </c>
      <c r="S1215">
        <v>0.23788327613048282</v>
      </c>
      <c r="T1215">
        <v>1.3868000979816075</v>
      </c>
      <c r="U1215">
        <v>0.14024657779764985</v>
      </c>
      <c r="V1215">
        <v>0.18005314749459994</v>
      </c>
      <c r="W1215">
        <v>9.3512667991838008E-2</v>
      </c>
      <c r="X1215">
        <v>1.4367066290028889E-2</v>
      </c>
      <c r="Y1215">
        <v>4.5255210958088411E-3</v>
      </c>
    </row>
    <row r="1216" spans="1:25" x14ac:dyDescent="0.25">
      <c r="A1216" s="1096"/>
      <c r="B1216" s="1455">
        <v>966</v>
      </c>
      <c r="C1216" s="1100">
        <v>0.98861069263058199</v>
      </c>
      <c r="D1216" s="1100">
        <v>1.0287599186566587</v>
      </c>
      <c r="E1216" s="1100">
        <v>1.0041833638918707</v>
      </c>
      <c r="F1216" s="1100">
        <v>0.99565543838702997</v>
      </c>
      <c r="G1216" s="1100">
        <v>1.0001867987915465</v>
      </c>
      <c r="H1216" s="1100">
        <v>1.0192333337582378</v>
      </c>
      <c r="I1216" s="1100">
        <v>0.99833162406328113</v>
      </c>
      <c r="K1216">
        <v>2.2207678878025652</v>
      </c>
      <c r="L1216">
        <v>0</v>
      </c>
      <c r="M1216">
        <v>1.5709699711340451E-3</v>
      </c>
      <c r="N1216">
        <v>0.1447034089800284</v>
      </c>
      <c r="O1216">
        <v>1.9858148628181062E-2</v>
      </c>
      <c r="P1216">
        <v>2.6140766910538737E-2</v>
      </c>
      <c r="Q1216">
        <v>5.5613137895309779E-3</v>
      </c>
      <c r="R1216">
        <v>1.5493064901714497E-3</v>
      </c>
      <c r="S1216">
        <v>0.2420561393025121</v>
      </c>
      <c r="T1216">
        <v>1.3380319798899738</v>
      </c>
      <c r="U1216">
        <v>0.14442708441544994</v>
      </c>
      <c r="V1216">
        <v>0.18543462896796817</v>
      </c>
      <c r="W1216">
        <v>9.4824630919340888E-2</v>
      </c>
      <c r="X1216">
        <v>1.5534747942502147E-2</v>
      </c>
      <c r="Y1216">
        <v>4.2167015374994631E-3</v>
      </c>
    </row>
    <row r="1217" spans="1:25" x14ac:dyDescent="0.25">
      <c r="A1217" s="1096"/>
      <c r="B1217" s="1455">
        <v>967</v>
      </c>
      <c r="C1217" s="1100">
        <v>1.0029290979174488</v>
      </c>
      <c r="D1217" s="1100">
        <v>1.0041616085605398</v>
      </c>
      <c r="E1217" s="1100">
        <v>0.9790362821260975</v>
      </c>
      <c r="F1217" s="1100">
        <v>1.0368789631578725</v>
      </c>
      <c r="G1217" s="1100">
        <v>0.98708895738411839</v>
      </c>
      <c r="H1217" s="1100">
        <v>0.99898999574587388</v>
      </c>
      <c r="I1217" s="1100">
        <v>0.99007121866519732</v>
      </c>
      <c r="K1217">
        <v>2.2553002504641304</v>
      </c>
      <c r="L1217">
        <v>0</v>
      </c>
      <c r="M1217">
        <v>1.6074852218423308E-3</v>
      </c>
      <c r="N1217">
        <v>0.13718891639473901</v>
      </c>
      <c r="O1217">
        <v>1.9663512716570339E-2</v>
      </c>
      <c r="P1217">
        <v>2.6276203671397259E-2</v>
      </c>
      <c r="Q1217">
        <v>5.3687188099138874E-3</v>
      </c>
      <c r="R1217">
        <v>1.5848690119078189E-3</v>
      </c>
      <c r="S1217">
        <v>0.23768784648756844</v>
      </c>
      <c r="T1217">
        <v>1.3933943239550555</v>
      </c>
      <c r="U1217">
        <v>0.14230750832488653</v>
      </c>
      <c r="V1217">
        <v>0.18307557831560811</v>
      </c>
      <c r="W1217">
        <v>9.126320585165193E-2</v>
      </c>
      <c r="X1217">
        <v>1.4783561148189312E-2</v>
      </c>
      <c r="Y1217">
        <v>4.313490998483719E-3</v>
      </c>
    </row>
    <row r="1218" spans="1:25" x14ac:dyDescent="0.25">
      <c r="A1218" s="1096"/>
      <c r="B1218" s="1455">
        <v>968</v>
      </c>
      <c r="C1218" s="1100">
        <v>1.0172924822629743</v>
      </c>
      <c r="D1218" s="1100">
        <v>0.9867226006735812</v>
      </c>
      <c r="E1218" s="1100">
        <v>1.0489806486506597</v>
      </c>
      <c r="F1218" s="1100">
        <v>0.97681419479898679</v>
      </c>
      <c r="G1218" s="1100">
        <v>0.97578071222368934</v>
      </c>
      <c r="H1218" s="1100">
        <v>0.99011811478747358</v>
      </c>
      <c r="I1218" s="1100">
        <v>1.0079957122259962</v>
      </c>
      <c r="K1218">
        <v>2.1823874259436717</v>
      </c>
      <c r="L1218">
        <v>0</v>
      </c>
      <c r="M1218">
        <v>1.3634142343555682E-3</v>
      </c>
      <c r="N1218">
        <v>0.14368915905535617</v>
      </c>
      <c r="O1218">
        <v>1.9503906780214363E-2</v>
      </c>
      <c r="P1218">
        <v>2.6510383469100687E-2</v>
      </c>
      <c r="Q1218">
        <v>5.7099511508644984E-3</v>
      </c>
      <c r="R1218">
        <v>1.3440600535244143E-3</v>
      </c>
      <c r="S1218">
        <v>0.2404968791347433</v>
      </c>
      <c r="T1218">
        <v>1.3128063797848626</v>
      </c>
      <c r="U1218">
        <v>0.14045686149803085</v>
      </c>
      <c r="V1218">
        <v>0.18102481398654868</v>
      </c>
      <c r="W1218">
        <v>9.1736474646462771E-2</v>
      </c>
      <c r="X1218">
        <v>1.6813882221904261E-2</v>
      </c>
      <c r="Y1218">
        <v>3.6580883964158896E-3</v>
      </c>
    </row>
    <row r="1219" spans="1:25" x14ac:dyDescent="0.25">
      <c r="A1219" s="1096"/>
      <c r="B1219" s="1455">
        <v>969</v>
      </c>
      <c r="C1219" s="1100">
        <v>0.99058239469664056</v>
      </c>
      <c r="D1219" s="1100">
        <v>1.0027665526681773</v>
      </c>
      <c r="E1219" s="1100">
        <v>1.0310440290794056</v>
      </c>
      <c r="F1219" s="1100">
        <v>1.0089074422411834</v>
      </c>
      <c r="G1219" s="1100">
        <v>0.99169055957400476</v>
      </c>
      <c r="H1219" s="1100">
        <v>1.0111635045408125</v>
      </c>
      <c r="I1219" s="1100">
        <v>0.9914125392774723</v>
      </c>
      <c r="K1219">
        <v>2.2431877753892415</v>
      </c>
      <c r="L1219">
        <v>0</v>
      </c>
      <c r="M1219">
        <v>1.4792191378360225E-3</v>
      </c>
      <c r="N1219">
        <v>0.14773833734471467</v>
      </c>
      <c r="O1219">
        <v>1.9947491461719997E-2</v>
      </c>
      <c r="P1219">
        <v>2.6899142750333838E-2</v>
      </c>
      <c r="Q1219">
        <v>5.7377214929576204E-3</v>
      </c>
      <c r="R1219">
        <v>1.458658096439648E-3</v>
      </c>
      <c r="S1219">
        <v>0.2425173366184919</v>
      </c>
      <c r="T1219">
        <v>1.3558943795505847</v>
      </c>
      <c r="U1219">
        <v>0.14420220731841316</v>
      </c>
      <c r="V1219">
        <v>0.1843795203592922</v>
      </c>
      <c r="W1219">
        <v>9.5301058384144613E-2</v>
      </c>
      <c r="X1219">
        <v>1.6621154657987317E-2</v>
      </c>
      <c r="Y1219">
        <v>3.9699864919964592E-3</v>
      </c>
    </row>
    <row r="1220" spans="1:25" x14ac:dyDescent="0.25">
      <c r="A1220" s="1096"/>
      <c r="B1220" s="1455">
        <v>970</v>
      </c>
      <c r="C1220" s="1100">
        <v>1.0090031146178473</v>
      </c>
      <c r="D1220" s="1100">
        <v>1.039766890336326</v>
      </c>
      <c r="E1220" s="1100">
        <v>1.0173418263633902</v>
      </c>
      <c r="F1220" s="1100">
        <v>0.99329049509708356</v>
      </c>
      <c r="G1220" s="1100">
        <v>1.0069436840220787</v>
      </c>
      <c r="H1220" s="1100">
        <v>0.99990286779066395</v>
      </c>
      <c r="I1220" s="1100">
        <v>1.0303214282607156</v>
      </c>
      <c r="K1220">
        <v>2.2061686572670935</v>
      </c>
      <c r="L1220">
        <v>0</v>
      </c>
      <c r="M1220">
        <v>1.4658666673096103E-3</v>
      </c>
      <c r="N1220">
        <v>0.14045573605464301</v>
      </c>
      <c r="O1220">
        <v>1.9419394820479177E-2</v>
      </c>
      <c r="P1220">
        <v>2.630588018857416E-2</v>
      </c>
      <c r="Q1220">
        <v>5.5104178641774406E-3</v>
      </c>
      <c r="R1220">
        <v>1.4452617615587078E-3</v>
      </c>
      <c r="S1220">
        <v>0.24201622936211725</v>
      </c>
      <c r="T1220">
        <v>1.3348776507177924</v>
      </c>
      <c r="U1220">
        <v>0.1415382203881918</v>
      </c>
      <c r="V1220">
        <v>0.18499720533654027</v>
      </c>
      <c r="W1220">
        <v>9.1330133449961451E-2</v>
      </c>
      <c r="X1220">
        <v>1.5804867905812457E-2</v>
      </c>
      <c r="Y1220">
        <v>3.9335260845511479E-3</v>
      </c>
    </row>
    <row r="1221" spans="1:25" x14ac:dyDescent="0.25">
      <c r="A1221" s="1096"/>
      <c r="B1221" s="1455">
        <v>971</v>
      </c>
      <c r="C1221" s="1100">
        <v>1.0347359594750392</v>
      </c>
      <c r="D1221" s="1100">
        <v>1.0417588679274712</v>
      </c>
      <c r="E1221" s="1100">
        <v>0.95245648689117601</v>
      </c>
      <c r="F1221" s="1100">
        <v>1.0198923865319487</v>
      </c>
      <c r="G1221" s="1100">
        <v>0.97309084558335945</v>
      </c>
      <c r="H1221" s="1100">
        <v>0.98895982903369073</v>
      </c>
      <c r="I1221" s="1100">
        <v>1.0125616252935523</v>
      </c>
      <c r="K1221">
        <v>2.1987134601481881</v>
      </c>
      <c r="L1221">
        <v>0</v>
      </c>
      <c r="M1221">
        <v>1.6162466342608576E-3</v>
      </c>
      <c r="N1221">
        <v>0.12724876022000092</v>
      </c>
      <c r="O1221">
        <v>1.888975796571328E-2</v>
      </c>
      <c r="P1221">
        <v>2.5244344976559984E-2</v>
      </c>
      <c r="Q1221">
        <v>5.018910407227661E-3</v>
      </c>
      <c r="R1221">
        <v>1.5932765303824862E-3</v>
      </c>
      <c r="S1221">
        <v>0.23038743735018477</v>
      </c>
      <c r="T1221">
        <v>1.3705444538747062</v>
      </c>
      <c r="U1221">
        <v>0.13787429368980306</v>
      </c>
      <c r="V1221">
        <v>0.17965437389082717</v>
      </c>
      <c r="W1221">
        <v>8.6035945158315918E-2</v>
      </c>
      <c r="X1221">
        <v>1.3501779226495252E-2</v>
      </c>
      <c r="Y1221">
        <v>4.3363734922340453E-3</v>
      </c>
    </row>
    <row r="1222" spans="1:25" x14ac:dyDescent="0.25">
      <c r="A1222" s="1096"/>
      <c r="B1222" s="1455">
        <v>972</v>
      </c>
      <c r="C1222" s="1100">
        <v>0.99492098361951076</v>
      </c>
      <c r="D1222" s="1100">
        <v>0.98662746611984742</v>
      </c>
      <c r="E1222" s="1100">
        <v>0.98443831714767316</v>
      </c>
      <c r="F1222" s="1100">
        <v>0.98057238690784243</v>
      </c>
      <c r="G1222" s="1100">
        <v>1.0409679880448388</v>
      </c>
      <c r="H1222" s="1100">
        <v>1.0119847573106828</v>
      </c>
      <c r="I1222" s="1100">
        <v>0.97295055141081688</v>
      </c>
      <c r="K1222">
        <v>2.1945234743653841</v>
      </c>
      <c r="L1222">
        <v>0</v>
      </c>
      <c r="M1222">
        <v>1.6295662903607511E-3</v>
      </c>
      <c r="N1222">
        <v>0.14139080184329475</v>
      </c>
      <c r="O1222">
        <v>1.9902143631032099E-2</v>
      </c>
      <c r="P1222">
        <v>2.54803032439519E-2</v>
      </c>
      <c r="Q1222">
        <v>5.4637604917657113E-3</v>
      </c>
      <c r="R1222">
        <v>1.6069338159550061E-3</v>
      </c>
      <c r="S1222">
        <v>0.23859955255445001</v>
      </c>
      <c r="T1222">
        <v>1.3177338892653221</v>
      </c>
      <c r="U1222">
        <v>0.14346540485925457</v>
      </c>
      <c r="V1222">
        <v>0.18964666865337762</v>
      </c>
      <c r="W1222">
        <v>9.3752570815765809E-2</v>
      </c>
      <c r="X1222">
        <v>1.4737467360136189E-2</v>
      </c>
      <c r="Y1222">
        <v>4.3735441214394644E-3</v>
      </c>
    </row>
    <row r="1223" spans="1:25" x14ac:dyDescent="0.25">
      <c r="A1223" s="1096"/>
      <c r="B1223" s="1455">
        <v>973</v>
      </c>
      <c r="C1223" s="1100">
        <v>1.0463926234260963</v>
      </c>
      <c r="D1223" s="1100">
        <v>1.0220878846129944</v>
      </c>
      <c r="E1223" s="1100">
        <v>0.9579315405762947</v>
      </c>
      <c r="F1223" s="1100">
        <v>1.0149846846566615</v>
      </c>
      <c r="G1223" s="1100">
        <v>1.0165047475990179</v>
      </c>
      <c r="H1223" s="1100">
        <v>1.0081267986498095</v>
      </c>
      <c r="I1223" s="1100">
        <v>0.96682085548775409</v>
      </c>
      <c r="K1223">
        <v>2.188946852808658</v>
      </c>
      <c r="L1223">
        <v>0</v>
      </c>
      <c r="M1223">
        <v>1.617720242569638E-3</v>
      </c>
      <c r="N1223">
        <v>0.12953164857894842</v>
      </c>
      <c r="O1223">
        <v>1.8761060498227299E-2</v>
      </c>
      <c r="P1223">
        <v>2.5177628724882804E-2</v>
      </c>
      <c r="Q1223">
        <v>5.0129215756932223E-3</v>
      </c>
      <c r="R1223">
        <v>1.5951663121029571E-3</v>
      </c>
      <c r="S1223">
        <v>0.22104282152348365</v>
      </c>
      <c r="T1223">
        <v>1.3639527672396965</v>
      </c>
      <c r="U1223">
        <v>0.13635035075179877</v>
      </c>
      <c r="V1223">
        <v>0.18392830080167102</v>
      </c>
      <c r="W1223">
        <v>8.7284659906220211E-2</v>
      </c>
      <c r="X1223">
        <v>1.3585730283389013E-2</v>
      </c>
      <c r="Y1223">
        <v>4.3415168551107887E-3</v>
      </c>
    </row>
    <row r="1224" spans="1:25" x14ac:dyDescent="0.25">
      <c r="A1224" s="1096"/>
      <c r="B1224" s="1455">
        <v>974</v>
      </c>
      <c r="C1224" s="1100">
        <v>0.96597568373975262</v>
      </c>
      <c r="D1224" s="1100">
        <v>0.99264705779013152</v>
      </c>
      <c r="E1224" s="1100">
        <v>0.95337347537775663</v>
      </c>
      <c r="F1224" s="1100">
        <v>0.96998518300254055</v>
      </c>
      <c r="G1224" s="1100">
        <v>1.0129570539521531</v>
      </c>
      <c r="H1224" s="1100">
        <v>1.0173189630466684</v>
      </c>
      <c r="I1224" s="1100">
        <v>1.0161966944370897</v>
      </c>
      <c r="K1224">
        <v>2.202749308012284</v>
      </c>
      <c r="L1224">
        <v>0</v>
      </c>
      <c r="M1224">
        <v>1.7965674543064258E-3</v>
      </c>
      <c r="N1224">
        <v>0.14189637849137007</v>
      </c>
      <c r="O1224">
        <v>2.0451076443516701E-2</v>
      </c>
      <c r="P1224">
        <v>2.4960290009398041E-2</v>
      </c>
      <c r="Q1224">
        <v>5.438888599757003E-3</v>
      </c>
      <c r="R1224">
        <v>1.7717463919893024E-3</v>
      </c>
      <c r="S1224">
        <v>0.25609405096716897</v>
      </c>
      <c r="T1224">
        <v>1.3034790044480116</v>
      </c>
      <c r="U1224">
        <v>0.14769065789063282</v>
      </c>
      <c r="V1224">
        <v>0.18823998318048019</v>
      </c>
      <c r="W1224">
        <v>9.5885289774340049E-2</v>
      </c>
      <c r="X1224">
        <v>1.3816399646970593E-2</v>
      </c>
      <c r="Y1224">
        <v>4.8221096229537309E-3</v>
      </c>
    </row>
    <row r="1225" spans="1:25" x14ac:dyDescent="0.25">
      <c r="A1225" s="1096"/>
      <c r="B1225" s="1455">
        <v>975</v>
      </c>
      <c r="C1225" s="1100">
        <v>0.99347377116221047</v>
      </c>
      <c r="D1225" s="1100">
        <v>1.0140224428185509</v>
      </c>
      <c r="E1225" s="1100">
        <v>1.0150282866528355</v>
      </c>
      <c r="F1225" s="1100">
        <v>0.98560456729732249</v>
      </c>
      <c r="G1225" s="1100">
        <v>0.98634992237644481</v>
      </c>
      <c r="H1225" s="1100">
        <v>1.0151559284668887</v>
      </c>
      <c r="I1225" s="1100">
        <v>1.0254433349722925</v>
      </c>
      <c r="K1225">
        <v>2.212408015102528</v>
      </c>
      <c r="L1225">
        <v>0</v>
      </c>
      <c r="M1225">
        <v>1.5271803223872416E-3</v>
      </c>
      <c r="N1225">
        <v>0.14534375217379361</v>
      </c>
      <c r="O1225">
        <v>1.9830579511920788E-2</v>
      </c>
      <c r="P1225">
        <v>2.6225081106524221E-2</v>
      </c>
      <c r="Q1225">
        <v>5.6141404476750941E-3</v>
      </c>
      <c r="R1225">
        <v>1.5060361086010926E-3</v>
      </c>
      <c r="S1225">
        <v>0.24893235705791292</v>
      </c>
      <c r="T1225">
        <v>1.3245441480158962</v>
      </c>
      <c r="U1225">
        <v>0.14374528007025875</v>
      </c>
      <c r="V1225">
        <v>0.18358663909779885</v>
      </c>
      <c r="W1225">
        <v>9.4636916856514222E-2</v>
      </c>
      <c r="X1225">
        <v>1.5871331155077203E-2</v>
      </c>
      <c r="Y1225">
        <v>4.0989338229424025E-3</v>
      </c>
    </row>
    <row r="1226" spans="1:25" x14ac:dyDescent="0.25">
      <c r="A1226" s="1096"/>
      <c r="B1226" s="1455">
        <v>976</v>
      </c>
      <c r="C1226" s="1100">
        <v>0.99445360110362868</v>
      </c>
      <c r="D1226" s="1100">
        <v>1.0193183216730148</v>
      </c>
      <c r="E1226" s="1100">
        <v>1.0205091879644683</v>
      </c>
      <c r="F1226" s="1100">
        <v>0.98328765698715659</v>
      </c>
      <c r="G1226" s="1100">
        <v>1.0210028178179773</v>
      </c>
      <c r="H1226" s="1100">
        <v>1.0327336014262207</v>
      </c>
      <c r="I1226" s="1100">
        <v>1.0165995049522516</v>
      </c>
      <c r="K1226">
        <v>2.2164292521750846</v>
      </c>
      <c r="L1226">
        <v>0</v>
      </c>
      <c r="M1226">
        <v>1.5327420441090063E-3</v>
      </c>
      <c r="N1226">
        <v>0.14834092681005889</v>
      </c>
      <c r="O1226">
        <v>1.9791787989879704E-2</v>
      </c>
      <c r="P1226">
        <v>2.6318073381840581E-2</v>
      </c>
      <c r="Q1226">
        <v>5.633809965223122E-3</v>
      </c>
      <c r="R1226">
        <v>1.5118820231804144E-3</v>
      </c>
      <c r="S1226">
        <v>0.24738477210906146</v>
      </c>
      <c r="T1226">
        <v>1.3214411199636686</v>
      </c>
      <c r="U1226">
        <v>0.14361637227135776</v>
      </c>
      <c r="V1226">
        <v>0.18744966249359954</v>
      </c>
      <c r="W1226">
        <v>9.627868272972076E-2</v>
      </c>
      <c r="X1226">
        <v>1.6080060006278474E-2</v>
      </c>
      <c r="Y1226">
        <v>4.1148444753220928E-3</v>
      </c>
    </row>
    <row r="1227" spans="1:25" x14ac:dyDescent="0.25">
      <c r="A1227" s="1096"/>
      <c r="B1227" s="1455">
        <v>977</v>
      </c>
      <c r="C1227" s="1100">
        <v>0.9956848928168941</v>
      </c>
      <c r="D1227" s="1100">
        <v>0.96979135044851172</v>
      </c>
      <c r="E1227" s="1100">
        <v>0.98956351419887711</v>
      </c>
      <c r="F1227" s="1100">
        <v>1.0400412102979399</v>
      </c>
      <c r="G1227" s="1100">
        <v>1.0139130387440229</v>
      </c>
      <c r="H1227" s="1100">
        <v>0.99581899025638088</v>
      </c>
      <c r="I1227" s="1100">
        <v>0.96712550189647872</v>
      </c>
      <c r="K1227">
        <v>2.2698819174892675</v>
      </c>
      <c r="L1227">
        <v>0</v>
      </c>
      <c r="M1227">
        <v>1.5914094170330669E-3</v>
      </c>
      <c r="N1227">
        <v>0.14020481362157133</v>
      </c>
      <c r="O1227">
        <v>1.9965550179010059E-2</v>
      </c>
      <c r="P1227">
        <v>2.6606943740092284E-2</v>
      </c>
      <c r="Q1227">
        <v>5.5096833114117953E-3</v>
      </c>
      <c r="R1227">
        <v>1.5689480855845836E-3</v>
      </c>
      <c r="S1227">
        <v>0.23781137395842819</v>
      </c>
      <c r="T1227">
        <v>1.397657537577206</v>
      </c>
      <c r="U1227">
        <v>0.14336716177646136</v>
      </c>
      <c r="V1227">
        <v>0.1865470194394567</v>
      </c>
      <c r="W1227">
        <v>9.2680499699479876E-2</v>
      </c>
      <c r="X1227">
        <v>1.5283636032231672E-2</v>
      </c>
      <c r="Y1227">
        <v>4.2701594853638263E-3</v>
      </c>
    </row>
    <row r="1228" spans="1:25" x14ac:dyDescent="0.25">
      <c r="A1228" s="1096"/>
      <c r="B1228" s="1455">
        <v>978</v>
      </c>
      <c r="C1228" s="1100">
        <v>0.99224704981980749</v>
      </c>
      <c r="D1228" s="1100">
        <v>1.0121063305080298</v>
      </c>
      <c r="E1228" s="1100">
        <v>1.0013021687173282</v>
      </c>
      <c r="F1228" s="1100">
        <v>0.98207305466130879</v>
      </c>
      <c r="G1228" s="1100">
        <v>0.9955285686818619</v>
      </c>
      <c r="H1228" s="1100">
        <v>1.0009979902107706</v>
      </c>
      <c r="I1228" s="1100">
        <v>0.96196721526835927</v>
      </c>
      <c r="K1228">
        <v>2.1863745675761854</v>
      </c>
      <c r="L1228">
        <v>0</v>
      </c>
      <c r="M1228">
        <v>1.551990112053263E-3</v>
      </c>
      <c r="N1228">
        <v>0.14168032436311362</v>
      </c>
      <c r="O1228">
        <v>1.9854730412198828E-2</v>
      </c>
      <c r="P1228">
        <v>2.5691922986797688E-2</v>
      </c>
      <c r="Q1228">
        <v>5.5443007067189701E-3</v>
      </c>
      <c r="R1228">
        <v>1.5301984818047063E-3</v>
      </c>
      <c r="S1228">
        <v>0.23283241422839895</v>
      </c>
      <c r="T1228">
        <v>1.3197743418008945</v>
      </c>
      <c r="U1228">
        <v>0.14389110425723264</v>
      </c>
      <c r="V1228">
        <v>0.18468558595681508</v>
      </c>
      <c r="W1228">
        <v>9.3002372906074951E-2</v>
      </c>
      <c r="X1228">
        <v>1.5274565750507995E-2</v>
      </c>
      <c r="Y1228">
        <v>4.1646958376784522E-3</v>
      </c>
    </row>
    <row r="1229" spans="1:25" x14ac:dyDescent="0.25">
      <c r="A1229" s="1096"/>
      <c r="B1229" s="1455">
        <v>979</v>
      </c>
      <c r="C1229" s="1100">
        <v>0.9822237305806808</v>
      </c>
      <c r="D1229" s="1100">
        <v>0.96720894979439964</v>
      </c>
      <c r="E1229" s="1100">
        <v>1.0088741315787741</v>
      </c>
      <c r="F1229" s="1100">
        <v>1.0143270281714161</v>
      </c>
      <c r="G1229" s="1100">
        <v>1.0340162024201076</v>
      </c>
      <c r="H1229" s="1100">
        <v>1.0061451213964605</v>
      </c>
      <c r="I1229" s="1100">
        <v>0.99321244201520753</v>
      </c>
      <c r="K1229">
        <v>2.2619551141546212</v>
      </c>
      <c r="L1229">
        <v>0</v>
      </c>
      <c r="M1229">
        <v>1.5668751924767957E-3</v>
      </c>
      <c r="N1229">
        <v>0.14635854227700296</v>
      </c>
      <c r="O1229">
        <v>2.0263419560380577E-2</v>
      </c>
      <c r="P1229">
        <v>2.6741532220983029E-2</v>
      </c>
      <c r="Q1229">
        <v>5.7015341116795661E-3</v>
      </c>
      <c r="R1229">
        <v>1.5449871080190198E-3</v>
      </c>
      <c r="S1229">
        <v>0.24890003961371351</v>
      </c>
      <c r="T1229">
        <v>1.3631324264660525</v>
      </c>
      <c r="U1229">
        <v>0.14537723544836287</v>
      </c>
      <c r="V1229">
        <v>0.18965297691311767</v>
      </c>
      <c r="W1229">
        <v>9.5643598713208766E-2</v>
      </c>
      <c r="X1229">
        <v>1.600075131141358E-2</v>
      </c>
      <c r="Y1229">
        <v>4.2049456031644913E-3</v>
      </c>
    </row>
    <row r="1230" spans="1:25" x14ac:dyDescent="0.25">
      <c r="A1230" s="1096"/>
      <c r="B1230" s="1455">
        <v>980</v>
      </c>
      <c r="C1230" s="1100">
        <v>1.0159896878842818</v>
      </c>
      <c r="D1230" s="1100">
        <v>1.0305785810943455</v>
      </c>
      <c r="E1230" s="1100">
        <v>0.98946439214051229</v>
      </c>
      <c r="F1230" s="1100">
        <v>1.0176865127816062</v>
      </c>
      <c r="G1230" s="1100">
        <v>1.0149817368029195</v>
      </c>
      <c r="H1230" s="1100">
        <v>1.0130074121222874</v>
      </c>
      <c r="I1230" s="1100">
        <v>0.99766279280870274</v>
      </c>
      <c r="K1230">
        <v>2.2271279342904915</v>
      </c>
      <c r="L1230">
        <v>0</v>
      </c>
      <c r="M1230">
        <v>1.5657675637959587E-3</v>
      </c>
      <c r="N1230">
        <v>0.13793790246766466</v>
      </c>
      <c r="O1230">
        <v>1.9306516620653916E-2</v>
      </c>
      <c r="P1230">
        <v>2.6101215118776919E-2</v>
      </c>
      <c r="Q1230">
        <v>5.327282831236714E-3</v>
      </c>
      <c r="R1230">
        <v>1.5440431210156228E-3</v>
      </c>
      <c r="S1230">
        <v>0.23457454513227333</v>
      </c>
      <c r="T1230">
        <v>1.3676160793917964</v>
      </c>
      <c r="U1230">
        <v>0.14050171077396562</v>
      </c>
      <c r="V1230">
        <v>0.1854771983935114</v>
      </c>
      <c r="W1230">
        <v>9.118740532040906E-2</v>
      </c>
      <c r="X1230">
        <v>1.4917426301254396E-2</v>
      </c>
      <c r="Y1230">
        <v>4.2023763817264767E-3</v>
      </c>
    </row>
    <row r="1231" spans="1:25" x14ac:dyDescent="0.25">
      <c r="A1231" s="1096"/>
      <c r="B1231" s="1455">
        <v>981</v>
      </c>
      <c r="C1231" s="1100">
        <v>0.9985832262590616</v>
      </c>
      <c r="D1231" s="1100">
        <v>1.0144617487822754</v>
      </c>
      <c r="E1231" s="1100">
        <v>0.95392559474402316</v>
      </c>
      <c r="F1231" s="1100">
        <v>1.0003918816215038</v>
      </c>
      <c r="G1231" s="1100">
        <v>1.0119915517230367</v>
      </c>
      <c r="H1231" s="1100">
        <v>1.0127890709988763</v>
      </c>
      <c r="I1231" s="1100">
        <v>1.0341580377773776</v>
      </c>
      <c r="K1231">
        <v>2.2189593410147035</v>
      </c>
      <c r="L1231">
        <v>0</v>
      </c>
      <c r="M1231">
        <v>1.7199532585740092E-3</v>
      </c>
      <c r="N1231">
        <v>0.13606427865848053</v>
      </c>
      <c r="O1231">
        <v>1.9689226532383516E-2</v>
      </c>
      <c r="P1231">
        <v>2.5324845979201725E-2</v>
      </c>
      <c r="Q1231">
        <v>5.2392602749265528E-3</v>
      </c>
      <c r="R1231">
        <v>1.6960844019717584E-3</v>
      </c>
      <c r="S1231">
        <v>0.24903316379759644</v>
      </c>
      <c r="T1231">
        <v>1.3443402443238184</v>
      </c>
      <c r="U1231">
        <v>0.14286925901873856</v>
      </c>
      <c r="V1231">
        <v>0.18612738823561287</v>
      </c>
      <c r="W1231">
        <v>9.191300120557247E-2</v>
      </c>
      <c r="X1231">
        <v>1.3766359216878543E-2</v>
      </c>
      <c r="Y1231">
        <v>4.6161826280942831E-3</v>
      </c>
    </row>
    <row r="1232" spans="1:25" x14ac:dyDescent="0.25">
      <c r="A1232" s="1096"/>
      <c r="B1232" s="1455">
        <v>982</v>
      </c>
      <c r="C1232" s="1100">
        <v>1.0383037075547474</v>
      </c>
      <c r="D1232" s="1100">
        <v>1.0039065942957124</v>
      </c>
      <c r="E1232" s="1100">
        <v>1.0425445370799407</v>
      </c>
      <c r="F1232" s="1100">
        <v>1.0038539012011878</v>
      </c>
      <c r="G1232" s="1100">
        <v>1.0112506088523014</v>
      </c>
      <c r="H1232" s="1100">
        <v>1.0035896853041721</v>
      </c>
      <c r="I1232" s="1100">
        <v>0.98203553584785319</v>
      </c>
      <c r="K1232">
        <v>2.2025516370008584</v>
      </c>
      <c r="L1232">
        <v>0</v>
      </c>
      <c r="M1232">
        <v>1.3671206497380272E-3</v>
      </c>
      <c r="N1232">
        <v>0.14134174421937273</v>
      </c>
      <c r="O1232">
        <v>1.9032882442329244E-2</v>
      </c>
      <c r="P1232">
        <v>2.67312023907352E-2</v>
      </c>
      <c r="Q1232">
        <v>5.5370128366944394E-3</v>
      </c>
      <c r="R1232">
        <v>1.347974359812524E-3</v>
      </c>
      <c r="S1232">
        <v>0.2285625916449612</v>
      </c>
      <c r="T1232">
        <v>1.3491302739512911</v>
      </c>
      <c r="U1232">
        <v>0.13760019360222037</v>
      </c>
      <c r="V1232">
        <v>0.18384685480982116</v>
      </c>
      <c r="W1232">
        <v>9.0571405505328217E-2</v>
      </c>
      <c r="X1232">
        <v>1.6547880040248757E-2</v>
      </c>
      <c r="Y1232">
        <v>3.6687418477814033E-3</v>
      </c>
    </row>
    <row r="1233" spans="1:25" x14ac:dyDescent="0.25">
      <c r="A1233" s="1096"/>
      <c r="B1233" s="1455">
        <v>983</v>
      </c>
      <c r="C1233" s="1100">
        <v>0.97573419031966513</v>
      </c>
      <c r="D1233" s="1100">
        <v>1.0207439076117322</v>
      </c>
      <c r="E1233" s="1100">
        <v>0.99017261221507891</v>
      </c>
      <c r="F1233" s="1100">
        <v>1.0137233762627345</v>
      </c>
      <c r="G1233" s="1100">
        <v>0.99962546418149445</v>
      </c>
      <c r="H1233" s="1100">
        <v>0.98422648405525137</v>
      </c>
      <c r="I1233" s="1100">
        <v>0.96881135796522633</v>
      </c>
      <c r="K1233">
        <v>2.2343732595395416</v>
      </c>
      <c r="L1233">
        <v>0</v>
      </c>
      <c r="M1233">
        <v>1.5850634435235114E-3</v>
      </c>
      <c r="N1233">
        <v>0.13987954299796959</v>
      </c>
      <c r="O1233">
        <v>2.0145941294685738E-2</v>
      </c>
      <c r="P1233">
        <v>2.6150567696139482E-2</v>
      </c>
      <c r="Q1233">
        <v>5.5628879719502901E-3</v>
      </c>
      <c r="R1233">
        <v>1.5624281787100939E-3</v>
      </c>
      <c r="S1233">
        <v>0.23604180115192605</v>
      </c>
      <c r="T1233">
        <v>1.3622912096048501</v>
      </c>
      <c r="U1233">
        <v>0.14630000527259168</v>
      </c>
      <c r="V1233">
        <v>0.18615054668324685</v>
      </c>
      <c r="W1233">
        <v>9.2431747146696205E-2</v>
      </c>
      <c r="X1233">
        <v>1.518923053616225E-2</v>
      </c>
      <c r="Y1233">
        <v>4.2524144481381866E-3</v>
      </c>
    </row>
    <row r="1234" spans="1:25" x14ac:dyDescent="0.25">
      <c r="A1234" s="1096"/>
      <c r="B1234" s="1455">
        <v>984</v>
      </c>
      <c r="C1234" s="1100">
        <v>1.0076623708142716</v>
      </c>
      <c r="D1234" s="1100">
        <v>0.95399043193580813</v>
      </c>
      <c r="E1234" s="1100">
        <v>0.99187412887129955</v>
      </c>
      <c r="F1234" s="1100">
        <v>0.95864054339324789</v>
      </c>
      <c r="G1234" s="1100">
        <v>1.0127432350663093</v>
      </c>
      <c r="H1234" s="1100">
        <v>1.0126917263878654</v>
      </c>
      <c r="I1234" s="1100">
        <v>0.9909316737536028</v>
      </c>
      <c r="K1234">
        <v>2.1646825365668305</v>
      </c>
      <c r="L1234">
        <v>0</v>
      </c>
      <c r="M1234">
        <v>1.5972639053933469E-3</v>
      </c>
      <c r="N1234">
        <v>0.14174086397675834</v>
      </c>
      <c r="O1234">
        <v>1.9801103811585431E-2</v>
      </c>
      <c r="P1234">
        <v>2.5221209319630501E-2</v>
      </c>
      <c r="Q1234">
        <v>5.4770744099643786E-3</v>
      </c>
      <c r="R1234">
        <v>1.5750955542118081E-3</v>
      </c>
      <c r="S1234">
        <v>0.24413164083099478</v>
      </c>
      <c r="T1234">
        <v>1.2882704741114626</v>
      </c>
      <c r="U1234">
        <v>0.14166831389200799</v>
      </c>
      <c r="V1234">
        <v>0.18570867025265089</v>
      </c>
      <c r="W1234">
        <v>9.356635464565588E-2</v>
      </c>
      <c r="X1234">
        <v>1.4832108798843939E-2</v>
      </c>
      <c r="Y1234">
        <v>4.2868908684546413E-3</v>
      </c>
    </row>
    <row r="1235" spans="1:25" x14ac:dyDescent="0.25">
      <c r="A1235" s="1096"/>
      <c r="B1235" s="1455">
        <v>985</v>
      </c>
      <c r="C1235" s="1100">
        <v>1.0209866526960467</v>
      </c>
      <c r="D1235" s="1100">
        <v>0.98633467517176499</v>
      </c>
      <c r="E1235" s="1100">
        <v>1.0211840065093702</v>
      </c>
      <c r="F1235" s="1100">
        <v>1.0037776535828418</v>
      </c>
      <c r="G1235" s="1100">
        <v>1.0264553535797267</v>
      </c>
      <c r="H1235" s="1100">
        <v>1.0073491215620098</v>
      </c>
      <c r="I1235" s="1100">
        <v>1.0305606590718528</v>
      </c>
      <c r="K1235">
        <v>2.2272572430265773</v>
      </c>
      <c r="L1235">
        <v>0</v>
      </c>
      <c r="M1235">
        <v>1.4647320817172131E-3</v>
      </c>
      <c r="N1235">
        <v>0.14199830543462541</v>
      </c>
      <c r="O1235">
        <v>1.9417870415985344E-2</v>
      </c>
      <c r="P1235">
        <v>2.6631916271543387E-2</v>
      </c>
      <c r="Q1235">
        <v>5.5310805098738479E-3</v>
      </c>
      <c r="R1235">
        <v>1.4442953163546315E-3</v>
      </c>
      <c r="S1235">
        <v>0.24622199921008456</v>
      </c>
      <c r="T1235">
        <v>1.3489790263236494</v>
      </c>
      <c r="U1235">
        <v>0.13988564570581105</v>
      </c>
      <c r="V1235">
        <v>0.18651576199368861</v>
      </c>
      <c r="W1235">
        <v>9.2125735021216029E-2</v>
      </c>
      <c r="X1235">
        <v>1.6039443166166095E-2</v>
      </c>
      <c r="Y1235">
        <v>3.9308957392942294E-3</v>
      </c>
    </row>
    <row r="1236" spans="1:25" x14ac:dyDescent="0.25">
      <c r="A1236" s="1096"/>
      <c r="B1236" s="1455">
        <v>986</v>
      </c>
      <c r="C1236" s="1100">
        <v>1.0415303736677313</v>
      </c>
      <c r="D1236" s="1100">
        <v>1.0430400271345655</v>
      </c>
      <c r="E1236" s="1100">
        <v>1.0050283144730685</v>
      </c>
      <c r="F1236" s="1100">
        <v>1.00634187845618</v>
      </c>
      <c r="G1236" s="1100">
        <v>1.0140274455538354</v>
      </c>
      <c r="H1236" s="1100">
        <v>1.0009564070024681</v>
      </c>
      <c r="I1236" s="1100">
        <v>0.98197989937487251</v>
      </c>
      <c r="K1236">
        <v>2.1882779593250818</v>
      </c>
      <c r="L1236">
        <v>0</v>
      </c>
      <c r="M1236">
        <v>1.4574173699458846E-3</v>
      </c>
      <c r="N1236">
        <v>0.13455263457529712</v>
      </c>
      <c r="O1236">
        <v>1.8792588570550467E-2</v>
      </c>
      <c r="P1236">
        <v>2.597339120095421E-2</v>
      </c>
      <c r="Q1236">
        <v>5.267362027709532E-3</v>
      </c>
      <c r="R1236">
        <v>1.4369527937884341E-3</v>
      </c>
      <c r="S1236">
        <v>0.22310310886567239</v>
      </c>
      <c r="T1236">
        <v>1.3523946101757753</v>
      </c>
      <c r="U1236">
        <v>0.13709067955005938</v>
      </c>
      <c r="V1236">
        <v>0.18395066336697977</v>
      </c>
      <c r="W1236">
        <v>8.8128686266702325E-2</v>
      </c>
      <c r="X1236">
        <v>1.5133787488208511E-2</v>
      </c>
      <c r="Y1236">
        <v>3.9109118133309525E-3</v>
      </c>
    </row>
    <row r="1237" spans="1:25" x14ac:dyDescent="0.25">
      <c r="A1237" s="1096"/>
      <c r="B1237" s="1455">
        <v>987</v>
      </c>
      <c r="C1237" s="1100">
        <v>1.0290149159466631</v>
      </c>
      <c r="D1237" s="1100">
        <v>1.0409139923316093</v>
      </c>
      <c r="E1237" s="1100">
        <v>1.0164940788770609</v>
      </c>
      <c r="F1237" s="1100">
        <v>1.0254710784450833</v>
      </c>
      <c r="G1237" s="1100">
        <v>0.98869437337506016</v>
      </c>
      <c r="H1237" s="1100">
        <v>1.0012800763454952</v>
      </c>
      <c r="I1237" s="1100">
        <v>1.0470379504596263</v>
      </c>
      <c r="K1237">
        <v>2.2381284379335558</v>
      </c>
      <c r="L1237">
        <v>0</v>
      </c>
      <c r="M1237">
        <v>1.4415290614542972E-3</v>
      </c>
      <c r="N1237">
        <v>0.13777359234741932</v>
      </c>
      <c r="O1237">
        <v>1.9036605543567588E-2</v>
      </c>
      <c r="P1237">
        <v>2.6792208851038495E-2</v>
      </c>
      <c r="Q1237">
        <v>5.3972398099423648E-3</v>
      </c>
      <c r="R1237">
        <v>1.4212941268777156E-3</v>
      </c>
      <c r="S1237">
        <v>0.24113354495896089</v>
      </c>
      <c r="T1237">
        <v>1.3781232590041648</v>
      </c>
      <c r="U1237">
        <v>0.13878374953572067</v>
      </c>
      <c r="V1237">
        <v>0.1817899775508468</v>
      </c>
      <c r="W1237">
        <v>8.9630644171225057E-2</v>
      </c>
      <c r="X1237">
        <v>1.5819557011369393E-2</v>
      </c>
      <c r="Y1237">
        <v>3.8682940838781379E-3</v>
      </c>
    </row>
    <row r="1238" spans="1:25" x14ac:dyDescent="0.25">
      <c r="A1238" s="1096"/>
      <c r="B1238" s="1455">
        <v>988</v>
      </c>
      <c r="C1238" s="1100">
        <v>1.0051963062816607</v>
      </c>
      <c r="D1238" s="1100">
        <v>0.98821108397408808</v>
      </c>
      <c r="E1238" s="1100">
        <v>0.98994167929681631</v>
      </c>
      <c r="F1238" s="1100">
        <v>0.99215231121492387</v>
      </c>
      <c r="G1238" s="1100">
        <v>0.98161320377032724</v>
      </c>
      <c r="H1238" s="1100">
        <v>0.97928038165967379</v>
      </c>
      <c r="I1238" s="1100">
        <v>0.96043307779118414</v>
      </c>
      <c r="K1238">
        <v>2.1836895146672246</v>
      </c>
      <c r="L1238">
        <v>0</v>
      </c>
      <c r="M1238">
        <v>1.5425589431519711E-3</v>
      </c>
      <c r="N1238">
        <v>0.13602361601209378</v>
      </c>
      <c r="O1238">
        <v>1.9695172643672907E-2</v>
      </c>
      <c r="P1238">
        <v>2.5568187566196901E-2</v>
      </c>
      <c r="Q1238">
        <v>5.437148224227588E-3</v>
      </c>
      <c r="R1238">
        <v>1.5204193981810403E-3</v>
      </c>
      <c r="S1238">
        <v>0.23046632184341675</v>
      </c>
      <c r="T1238">
        <v>1.333302638926203</v>
      </c>
      <c r="U1238">
        <v>0.14201145134977458</v>
      </c>
      <c r="V1238">
        <v>0.18233252617903156</v>
      </c>
      <c r="W1238">
        <v>8.9896203722679785E-2</v>
      </c>
      <c r="X1238">
        <v>1.4840307349165858E-2</v>
      </c>
      <c r="Y1238">
        <v>4.1380803957288834E-3</v>
      </c>
    </row>
    <row r="1239" spans="1:25" x14ac:dyDescent="0.25">
      <c r="A1239" s="1096"/>
      <c r="B1239" s="1455">
        <v>989</v>
      </c>
      <c r="C1239" s="1100">
        <v>0.98823788131431289</v>
      </c>
      <c r="D1239" s="1100">
        <v>1.0269673459965598</v>
      </c>
      <c r="E1239" s="1100">
        <v>1.0213240216047612</v>
      </c>
      <c r="F1239" s="1100">
        <v>1.0067787966717192</v>
      </c>
      <c r="G1239" s="1100">
        <v>1.0308592499124514</v>
      </c>
      <c r="H1239" s="1100">
        <v>1.0203940052261971</v>
      </c>
      <c r="I1239" s="1100">
        <v>0.99950265345576994</v>
      </c>
      <c r="K1239">
        <v>2.2448677399223369</v>
      </c>
      <c r="L1239">
        <v>0</v>
      </c>
      <c r="M1239">
        <v>1.5188713487640593E-3</v>
      </c>
      <c r="N1239">
        <v>0.14733568263880853</v>
      </c>
      <c r="O1239">
        <v>1.9884056131279318E-2</v>
      </c>
      <c r="P1239">
        <v>2.674188575950515E-2</v>
      </c>
      <c r="Q1239">
        <v>5.6646590073537459E-3</v>
      </c>
      <c r="R1239">
        <v>1.4979501257822289E-3</v>
      </c>
      <c r="S1239">
        <v>0.2428655308629506</v>
      </c>
      <c r="T1239">
        <v>1.3530125581389991</v>
      </c>
      <c r="U1239">
        <v>0.14452158055625114</v>
      </c>
      <c r="V1239">
        <v>0.188939826024108</v>
      </c>
      <c r="W1239">
        <v>9.558069918277276E-2</v>
      </c>
      <c r="X1239">
        <v>1.6265256400035368E-2</v>
      </c>
      <c r="Y1239">
        <v>4.0769264432529741E-3</v>
      </c>
    </row>
    <row r="1240" spans="1:25" x14ac:dyDescent="0.25">
      <c r="A1240" s="1096"/>
      <c r="B1240" s="1455">
        <v>990</v>
      </c>
      <c r="C1240" s="1100">
        <v>1.0314280963249907</v>
      </c>
      <c r="D1240" s="1100">
        <v>1.010929232676528</v>
      </c>
      <c r="E1240" s="1100">
        <v>0.95707811273334475</v>
      </c>
      <c r="F1240" s="1100">
        <v>0.99829901696203982</v>
      </c>
      <c r="G1240" s="1100">
        <v>1.0315463192059975</v>
      </c>
      <c r="H1240" s="1100">
        <v>0.97190164140271418</v>
      </c>
      <c r="I1240" s="1100">
        <v>0.98800369058730064</v>
      </c>
      <c r="K1240">
        <v>2.1732847392511698</v>
      </c>
      <c r="L1240">
        <v>0</v>
      </c>
      <c r="M1240">
        <v>1.5888348025179754E-3</v>
      </c>
      <c r="N1240">
        <v>0.12682328575633622</v>
      </c>
      <c r="O1240">
        <v>1.9078766274879293E-2</v>
      </c>
      <c r="P1240">
        <v>2.5011411710616362E-2</v>
      </c>
      <c r="Q1240">
        <v>5.0933361353040964E-3</v>
      </c>
      <c r="R1240">
        <v>1.5658579569360924E-3</v>
      </c>
      <c r="S1240">
        <v>0.22763735154538625</v>
      </c>
      <c r="T1240">
        <v>1.3415297410342324</v>
      </c>
      <c r="U1240">
        <v>0.13832670515673437</v>
      </c>
      <c r="V1240">
        <v>0.18645007159600593</v>
      </c>
      <c r="W1240">
        <v>8.5504479499137642E-2</v>
      </c>
      <c r="X1240">
        <v>1.3590818214274145E-2</v>
      </c>
      <c r="Y1240">
        <v>4.2617491738432675E-3</v>
      </c>
    </row>
    <row r="1241" spans="1:25" x14ac:dyDescent="0.25">
      <c r="A1241" s="1096"/>
      <c r="B1241" s="1455">
        <v>991</v>
      </c>
      <c r="C1241" s="1100">
        <v>0.99409555974110042</v>
      </c>
      <c r="D1241" s="1100">
        <v>0.99645845232893493</v>
      </c>
      <c r="E1241" s="1100">
        <v>0.98390623375460062</v>
      </c>
      <c r="F1241" s="1100">
        <v>0.99765129533705155</v>
      </c>
      <c r="G1241" s="1100">
        <v>0.9937552211907954</v>
      </c>
      <c r="H1241" s="1100">
        <v>1.0105698777958918</v>
      </c>
      <c r="I1241" s="1100">
        <v>0.99384889686931999</v>
      </c>
      <c r="K1241">
        <v>2.2158837677650642</v>
      </c>
      <c r="L1241">
        <v>0</v>
      </c>
      <c r="M1241">
        <v>1.6268806402698422E-3</v>
      </c>
      <c r="N1241">
        <v>0.14092800197877992</v>
      </c>
      <c r="O1241">
        <v>1.9874934262036001E-2</v>
      </c>
      <c r="P1241">
        <v>2.5763742628798752E-2</v>
      </c>
      <c r="Q1241">
        <v>5.4533474943175625E-3</v>
      </c>
      <c r="R1241">
        <v>1.6042538308453406E-3</v>
      </c>
      <c r="S1241">
        <v>0.24260633043736232</v>
      </c>
      <c r="T1241">
        <v>1.3406845740069377</v>
      </c>
      <c r="U1241">
        <v>0.1435832988030171</v>
      </c>
      <c r="V1241">
        <v>0.18435874956873685</v>
      </c>
      <c r="W1241">
        <v>9.3475628590546214E-2</v>
      </c>
      <c r="X1241">
        <v>1.4811536718527391E-2</v>
      </c>
      <c r="Y1241">
        <v>4.3662500854278084E-3</v>
      </c>
    </row>
    <row r="1242" spans="1:25" x14ac:dyDescent="0.25">
      <c r="A1242" s="1096"/>
      <c r="B1242" s="1455">
        <v>992</v>
      </c>
      <c r="C1242" s="1100">
        <v>0.96359743384552021</v>
      </c>
      <c r="D1242" s="1100">
        <v>1.0000660269398394</v>
      </c>
      <c r="E1242" s="1100">
        <v>0.9889554871227012</v>
      </c>
      <c r="F1242" s="1100">
        <v>1.0221579558411609</v>
      </c>
      <c r="G1242" s="1100">
        <v>0.95911024368456177</v>
      </c>
      <c r="H1242" s="1100">
        <v>0.97284940230621886</v>
      </c>
      <c r="I1242" s="1100">
        <v>0.97105518886358699</v>
      </c>
      <c r="K1242">
        <v>2.2505592637666347</v>
      </c>
      <c r="L1242">
        <v>0</v>
      </c>
      <c r="M1242">
        <v>1.5976555999558319E-3</v>
      </c>
      <c r="N1242">
        <v>0.14044908815068569</v>
      </c>
      <c r="O1242">
        <v>2.0490952410674106E-2</v>
      </c>
      <c r="P1242">
        <v>2.6321695543527972E-2</v>
      </c>
      <c r="Q1242">
        <v>5.6511974820846215E-3</v>
      </c>
      <c r="R1242">
        <v>1.5745737014803973E-3</v>
      </c>
      <c r="S1242">
        <v>0.24109888792282813</v>
      </c>
      <c r="T1242">
        <v>1.3736243138372166</v>
      </c>
      <c r="U1242">
        <v>0.14813978805896183</v>
      </c>
      <c r="V1242">
        <v>0.18233530608450454</v>
      </c>
      <c r="W1242">
        <v>9.2875817308190764E-2</v>
      </c>
      <c r="X1242">
        <v>1.5309828309086573E-2</v>
      </c>
      <c r="Y1242">
        <v>4.2854705573484499E-3</v>
      </c>
    </row>
    <row r="1243" spans="1:25" x14ac:dyDescent="0.25">
      <c r="A1243" s="1096"/>
      <c r="B1243" s="1455">
        <v>993</v>
      </c>
      <c r="C1243" s="1100">
        <v>0.9944442122699757</v>
      </c>
      <c r="D1243" s="1100">
        <v>0.9707344906821499</v>
      </c>
      <c r="E1243" s="1100">
        <v>0.98174465403445388</v>
      </c>
      <c r="F1243" s="1100">
        <v>0.99385029770664812</v>
      </c>
      <c r="G1243" s="1100">
        <v>0.98839917834555002</v>
      </c>
      <c r="H1243" s="1100">
        <v>0.96729282689668505</v>
      </c>
      <c r="I1243" s="1100">
        <v>0.98765019589093783</v>
      </c>
      <c r="K1243">
        <v>2.1985937257061887</v>
      </c>
      <c r="L1243">
        <v>0</v>
      </c>
      <c r="M1243">
        <v>1.572664100779054E-3</v>
      </c>
      <c r="N1243">
        <v>0.13525821526323797</v>
      </c>
      <c r="O1243">
        <v>1.9981252538683585E-2</v>
      </c>
      <c r="P1243">
        <v>2.5617953468104849E-2</v>
      </c>
      <c r="Q1243">
        <v>5.4705063021300926E-3</v>
      </c>
      <c r="R1243">
        <v>1.5498127444252285E-3</v>
      </c>
      <c r="S1243">
        <v>0.24069856060245695</v>
      </c>
      <c r="T1243">
        <v>1.3355740243821332</v>
      </c>
      <c r="U1243">
        <v>0.14352796776147198</v>
      </c>
      <c r="V1243">
        <v>0.18373052468479947</v>
      </c>
      <c r="W1243">
        <v>8.983184740064705E-2</v>
      </c>
      <c r="X1243">
        <v>1.4707645264182513E-2</v>
      </c>
      <c r="Y1243">
        <v>4.2180793946915785E-3</v>
      </c>
    </row>
    <row r="1244" spans="1:25" x14ac:dyDescent="0.25">
      <c r="A1244" s="1096"/>
      <c r="B1244" s="1455">
        <v>994</v>
      </c>
      <c r="C1244" s="1100">
        <v>1.0038808707018072</v>
      </c>
      <c r="D1244" s="1100">
        <v>0.96493430545835179</v>
      </c>
      <c r="E1244" s="1100">
        <v>0.98486665171245802</v>
      </c>
      <c r="F1244" s="1100">
        <v>0.99874629545054827</v>
      </c>
      <c r="G1244" s="1100">
        <v>1.0118453827287337</v>
      </c>
      <c r="H1244" s="1100">
        <v>0.98851483563510489</v>
      </c>
      <c r="I1244" s="1100">
        <v>1.0103854419636658</v>
      </c>
      <c r="K1244">
        <v>2.2155182783336835</v>
      </c>
      <c r="L1244">
        <v>0</v>
      </c>
      <c r="M1244">
        <v>1.5838969525738512E-3</v>
      </c>
      <c r="N1244">
        <v>0.13756040577180426</v>
      </c>
      <c r="O1244">
        <v>1.9821491909547267E-2</v>
      </c>
      <c r="P1244">
        <v>2.5854596562143492E-2</v>
      </c>
      <c r="Q1244">
        <v>5.4439825195167031E-3</v>
      </c>
      <c r="R1244">
        <v>1.5613764691657047E-3</v>
      </c>
      <c r="S1244">
        <v>0.24641379541110642</v>
      </c>
      <c r="T1244">
        <v>1.3421572798571209</v>
      </c>
      <c r="U1244">
        <v>0.14218592028946059</v>
      </c>
      <c r="V1244">
        <v>0.18582294352851986</v>
      </c>
      <c r="W1244">
        <v>9.118923330968752E-2</v>
      </c>
      <c r="X1244">
        <v>1.4841597616729816E-2</v>
      </c>
      <c r="Y1244">
        <v>4.2495520414543185E-3</v>
      </c>
    </row>
    <row r="1245" spans="1:25" x14ac:dyDescent="0.25">
      <c r="A1245" s="1096"/>
      <c r="B1245" s="1455">
        <v>995</v>
      </c>
      <c r="C1245" s="1100">
        <v>1.0160116250456432</v>
      </c>
      <c r="D1245" s="1100">
        <v>1.0090662372622201</v>
      </c>
      <c r="E1245" s="1100">
        <v>1.0290450319049977</v>
      </c>
      <c r="F1245" s="1100">
        <v>1.0071106686101783</v>
      </c>
      <c r="G1245" s="1100">
        <v>0.98814589976914136</v>
      </c>
      <c r="H1245" s="1100">
        <v>1.012769837871017</v>
      </c>
      <c r="I1245" s="1100">
        <v>1.0158961269329125</v>
      </c>
      <c r="K1245">
        <v>2.2267829469476137</v>
      </c>
      <c r="L1245">
        <v>0</v>
      </c>
      <c r="M1245">
        <v>1.4485200343759622E-3</v>
      </c>
      <c r="N1245">
        <v>0.14380626363354615</v>
      </c>
      <c r="O1245">
        <v>1.9420226829728882E-2</v>
      </c>
      <c r="P1245">
        <v>2.6737386349836804E-2</v>
      </c>
      <c r="Q1245">
        <v>5.5750293311449687E-3</v>
      </c>
      <c r="R1245">
        <v>1.4284176429852739E-3</v>
      </c>
      <c r="S1245">
        <v>0.24164715747428475</v>
      </c>
      <c r="T1245">
        <v>1.3534751505640539</v>
      </c>
      <c r="U1245">
        <v>0.1405884944195864</v>
      </c>
      <c r="V1245">
        <v>0.1824773823546306</v>
      </c>
      <c r="W1245">
        <v>9.2872309111177859E-2</v>
      </c>
      <c r="X1245">
        <v>1.631596732455548E-2</v>
      </c>
      <c r="Y1245">
        <v>3.8876819464564562E-3</v>
      </c>
    </row>
    <row r="1246" spans="1:25" x14ac:dyDescent="0.25">
      <c r="A1246" s="1096"/>
      <c r="B1246" s="1455">
        <v>996</v>
      </c>
      <c r="C1246" s="1100">
        <v>0.99929041479209624</v>
      </c>
      <c r="D1246" s="1100">
        <v>0.98495293520355398</v>
      </c>
      <c r="E1246" s="1100">
        <v>1.0081771127690728</v>
      </c>
      <c r="F1246" s="1100">
        <v>0.98896515662921214</v>
      </c>
      <c r="G1246" s="1100">
        <v>0.98455139907215738</v>
      </c>
      <c r="H1246" s="1100">
        <v>0.99908864127856334</v>
      </c>
      <c r="I1246" s="1100">
        <v>0.95647871041113419</v>
      </c>
      <c r="K1246">
        <v>2.1939502445685748</v>
      </c>
      <c r="L1246">
        <v>0</v>
      </c>
      <c r="M1246">
        <v>1.5254160299079801E-3</v>
      </c>
      <c r="N1246">
        <v>0.1421721509897978</v>
      </c>
      <c r="O1246">
        <v>1.9837407568964439E-2</v>
      </c>
      <c r="P1246">
        <v>2.5915377815401257E-2</v>
      </c>
      <c r="Q1246">
        <v>5.5777758550281231E-3</v>
      </c>
      <c r="R1246">
        <v>1.5039565959972857E-3</v>
      </c>
      <c r="S1246">
        <v>0.23291543561624339</v>
      </c>
      <c r="T1246">
        <v>1.3290479244105229</v>
      </c>
      <c r="U1246">
        <v>0.14289275825264647</v>
      </c>
      <c r="V1246">
        <v>0.18302949370744023</v>
      </c>
      <c r="W1246">
        <v>9.2946079688616012E-2</v>
      </c>
      <c r="X1246">
        <v>1.5544026022676408E-2</v>
      </c>
      <c r="Y1246">
        <v>4.093274075145985E-3</v>
      </c>
    </row>
    <row r="1247" spans="1:25" x14ac:dyDescent="0.25">
      <c r="A1247" s="1096"/>
      <c r="B1247" s="1455">
        <v>997</v>
      </c>
      <c r="C1247" s="1100">
        <v>0.9708619594865896</v>
      </c>
      <c r="D1247" s="1100">
        <v>0.96298602201235683</v>
      </c>
      <c r="E1247" s="1100">
        <v>1.0194697574403653</v>
      </c>
      <c r="F1247" s="1100">
        <v>1.0154396931166834</v>
      </c>
      <c r="G1247" s="1100">
        <v>1.0347991936723628</v>
      </c>
      <c r="H1247" s="1100">
        <v>0.9998989509874322</v>
      </c>
      <c r="I1247" s="1100">
        <v>0.98867435847842244</v>
      </c>
      <c r="K1247">
        <v>2.2723717860959005</v>
      </c>
      <c r="L1247">
        <v>0</v>
      </c>
      <c r="M1247">
        <v>1.5425346598924934E-3</v>
      </c>
      <c r="N1247">
        <v>0.14875384505686323</v>
      </c>
      <c r="O1247">
        <v>2.0527191108474657E-2</v>
      </c>
      <c r="P1247">
        <v>2.7033059712938057E-2</v>
      </c>
      <c r="Q1247">
        <v>5.8371104498444668E-3</v>
      </c>
      <c r="R1247">
        <v>1.5208519881346875E-3</v>
      </c>
      <c r="S1247">
        <v>0.25078428868950431</v>
      </c>
      <c r="T1247">
        <v>1.3646481338476502</v>
      </c>
      <c r="U1247">
        <v>0.14710373270221058</v>
      </c>
      <c r="V1247">
        <v>0.19045818205204323</v>
      </c>
      <c r="W1247">
        <v>9.660541226896395E-2</v>
      </c>
      <c r="X1247">
        <v>1.6503255116182648E-2</v>
      </c>
      <c r="Y1247">
        <v>4.1392577629794699E-3</v>
      </c>
    </row>
    <row r="1248" spans="1:25" x14ac:dyDescent="0.25">
      <c r="A1248" s="1096"/>
      <c r="B1248" s="1455">
        <v>998</v>
      </c>
      <c r="C1248" s="1100">
        <v>1.0185147942292698</v>
      </c>
      <c r="D1248" s="1100">
        <v>1.013422736784664</v>
      </c>
      <c r="E1248" s="1100">
        <v>1.0290824558745446</v>
      </c>
      <c r="F1248" s="1100">
        <v>0.99163403296021502</v>
      </c>
      <c r="G1248" s="1100">
        <v>1.0443577050537844</v>
      </c>
      <c r="H1248" s="1100">
        <v>0.99579358184650524</v>
      </c>
      <c r="I1248" s="1100">
        <v>1.0204619752285413</v>
      </c>
      <c r="K1248">
        <v>2.2051310331427953</v>
      </c>
      <c r="L1248">
        <v>0</v>
      </c>
      <c r="M1248">
        <v>1.419282767319415E-3</v>
      </c>
      <c r="N1248">
        <v>0.14088573342631117</v>
      </c>
      <c r="O1248">
        <v>1.9354169329511051E-2</v>
      </c>
      <c r="P1248">
        <v>2.6510608821562649E-2</v>
      </c>
      <c r="Q1248">
        <v>5.5562716728818438E-3</v>
      </c>
      <c r="R1248">
        <v>1.3992503396295687E-3</v>
      </c>
      <c r="S1248">
        <v>0.24025976640485566</v>
      </c>
      <c r="T1248">
        <v>1.3326758882744845</v>
      </c>
      <c r="U1248">
        <v>0.14024305982305313</v>
      </c>
      <c r="V1248">
        <v>0.18868739459689593</v>
      </c>
      <c r="W1248">
        <v>9.0984207547351176E-2</v>
      </c>
      <c r="X1248">
        <v>1.6185667511854834E-2</v>
      </c>
      <c r="Y1248">
        <v>3.8082981617211941E-3</v>
      </c>
    </row>
    <row r="1249" spans="1:25" x14ac:dyDescent="0.25">
      <c r="A1249" s="1096"/>
      <c r="B1249" s="1455">
        <v>999</v>
      </c>
      <c r="C1249" s="1100">
        <v>0.98598508810447372</v>
      </c>
      <c r="D1249" s="1100">
        <v>0.98391187759252619</v>
      </c>
      <c r="E1249" s="1100">
        <v>1.0156822619495469</v>
      </c>
      <c r="F1249" s="1100">
        <v>1.0348672748582053</v>
      </c>
      <c r="G1249" s="1100">
        <v>1.0240652039047962</v>
      </c>
      <c r="H1249" s="1100">
        <v>0.96296907107360163</v>
      </c>
      <c r="I1249" s="1100">
        <v>1.0302091719383197</v>
      </c>
      <c r="K1249">
        <v>2.2794037374153424</v>
      </c>
      <c r="L1249">
        <v>0</v>
      </c>
      <c r="M1249">
        <v>1.4673899204398482E-3</v>
      </c>
      <c r="N1249">
        <v>0.13982284318388447</v>
      </c>
      <c r="O1249">
        <v>2.0114561245127636E-2</v>
      </c>
      <c r="P1249">
        <v>2.7265948626332172E-2</v>
      </c>
      <c r="Q1249">
        <v>5.6982501286416617E-3</v>
      </c>
      <c r="R1249">
        <v>1.4459724996240531E-3</v>
      </c>
      <c r="S1249">
        <v>0.25141372186770522</v>
      </c>
      <c r="T1249">
        <v>1.3907491111287895</v>
      </c>
      <c r="U1249">
        <v>0.14483857454971305</v>
      </c>
      <c r="V1249">
        <v>0.18830391700006688</v>
      </c>
      <c r="W1249">
        <v>9.1007161829800107E-2</v>
      </c>
      <c r="X1249">
        <v>1.6275604796825698E-2</v>
      </c>
      <c r="Y1249">
        <v>3.9354604792702788E-3</v>
      </c>
    </row>
    <row r="1250" spans="1:25" x14ac:dyDescent="0.25">
      <c r="A1250" s="1096"/>
      <c r="B1250" s="1455">
        <v>1000</v>
      </c>
      <c r="C1250" s="1100">
        <v>1.0406315247182791</v>
      </c>
      <c r="D1250" s="1100">
        <v>1.0013035320961938</v>
      </c>
      <c r="E1250" s="1100">
        <v>0.98443567076989336</v>
      </c>
      <c r="F1250" s="1100">
        <v>0.9998520143114572</v>
      </c>
      <c r="G1250" s="1100">
        <v>0.9859862525785007</v>
      </c>
      <c r="H1250" s="1100">
        <v>1.026539110829342</v>
      </c>
      <c r="I1250" s="1100">
        <v>1.0211152815030704</v>
      </c>
      <c r="K1250">
        <v>2.1962996590619821</v>
      </c>
      <c r="L1250">
        <v>0</v>
      </c>
      <c r="M1250">
        <v>1.5752764910905183E-3</v>
      </c>
      <c r="N1250">
        <v>0.13670649713638749</v>
      </c>
      <c r="O1250">
        <v>1.8966215111348727E-2</v>
      </c>
      <c r="P1250">
        <v>2.5628186130640294E-2</v>
      </c>
      <c r="Q1250">
        <v>5.2068048889323268E-3</v>
      </c>
      <c r="R1250">
        <v>1.5537082232451528E-3</v>
      </c>
      <c r="S1250">
        <v>0.23879987525931159</v>
      </c>
      <c r="T1250">
        <v>1.343642649794075</v>
      </c>
      <c r="U1250">
        <v>0.13716357062980236</v>
      </c>
      <c r="V1250">
        <v>0.18081300010462165</v>
      </c>
      <c r="W1250">
        <v>9.064667428862358E-2</v>
      </c>
      <c r="X1250">
        <v>1.4519072382187101E-2</v>
      </c>
      <c r="Y1250">
        <v>4.2286816038951654E-3</v>
      </c>
    </row>
    <row r="1251" spans="1:25" x14ac:dyDescent="0.25">
      <c r="A1251" s="1096"/>
      <c r="B1251" s="1455">
        <v>1001</v>
      </c>
      <c r="C1251" s="1100">
        <v>0.95899483754902592</v>
      </c>
      <c r="D1251" s="1100">
        <v>0.99693646419729509</v>
      </c>
      <c r="E1251" s="1100">
        <v>1.0124664748660175</v>
      </c>
      <c r="F1251" s="1100">
        <v>0.9992694634955982</v>
      </c>
      <c r="G1251" s="1100">
        <v>0.97508081478393394</v>
      </c>
      <c r="H1251" s="1100">
        <v>0.98638526688271888</v>
      </c>
      <c r="I1251" s="1100">
        <v>1.0326044282632092</v>
      </c>
      <c r="K1251">
        <v>2.2509837682224965</v>
      </c>
      <c r="L1251">
        <v>0</v>
      </c>
      <c r="M1251">
        <v>1.5512457706356787E-3</v>
      </c>
      <c r="N1251">
        <v>0.14643699927235587</v>
      </c>
      <c r="O1251">
        <v>2.0618825169322685E-2</v>
      </c>
      <c r="P1251">
        <v>2.6655429504271896E-2</v>
      </c>
      <c r="Q1251">
        <v>5.8223981642288218E-3</v>
      </c>
      <c r="R1251">
        <v>1.5291419162693455E-3</v>
      </c>
      <c r="S1251">
        <v>0.25937745950754743</v>
      </c>
      <c r="T1251">
        <v>1.3429034301667799</v>
      </c>
      <c r="U1251">
        <v>0.14890721962480161</v>
      </c>
      <c r="V1251">
        <v>0.18445785467522194</v>
      </c>
      <c r="W1251">
        <v>9.5492478444555995E-2</v>
      </c>
      <c r="X1251">
        <v>1.617195733318641E-2</v>
      </c>
      <c r="Y1251">
        <v>4.1618202145879369E-3</v>
      </c>
    </row>
    <row r="1252" spans="1:25" x14ac:dyDescent="0.25">
      <c r="A1252" s="1096"/>
      <c r="B1252" s="1455">
        <v>1002</v>
      </c>
      <c r="C1252" s="1100">
        <v>0.98993094459078157</v>
      </c>
      <c r="D1252" s="1100">
        <v>1.0012329780858626</v>
      </c>
      <c r="E1252" s="1100">
        <v>1.0106157587239</v>
      </c>
      <c r="F1252" s="1100">
        <v>0.95622521906723779</v>
      </c>
      <c r="G1252" s="1100">
        <v>1.0034018602634107</v>
      </c>
      <c r="H1252" s="1100">
        <v>0.95791198318472337</v>
      </c>
      <c r="I1252" s="1100">
        <v>0.99455104720281751</v>
      </c>
      <c r="K1252">
        <v>2.1516447932867901</v>
      </c>
      <c r="L1252">
        <v>0</v>
      </c>
      <c r="M1252">
        <v>1.4636266976045843E-3</v>
      </c>
      <c r="N1252">
        <v>0.13733702274469334</v>
      </c>
      <c r="O1252">
        <v>1.9954412414152571E-2</v>
      </c>
      <c r="P1252">
        <v>2.5499144169680271E-2</v>
      </c>
      <c r="Q1252">
        <v>5.6243734116275101E-3</v>
      </c>
      <c r="R1252">
        <v>1.442151424603397E-3</v>
      </c>
      <c r="S1252">
        <v>0.23918532106603396</v>
      </c>
      <c r="T1252">
        <v>1.2850536487442132</v>
      </c>
      <c r="U1252">
        <v>0.14424944199151155</v>
      </c>
      <c r="V1252">
        <v>0.18572380025348539</v>
      </c>
      <c r="W1252">
        <v>8.9655998844109477E-2</v>
      </c>
      <c r="X1252">
        <v>1.5458044147603303E-2</v>
      </c>
      <c r="Y1252">
        <v>3.9250607726810946E-3</v>
      </c>
    </row>
    <row r="1253" spans="1:25" x14ac:dyDescent="0.25">
      <c r="A1253" s="1096"/>
      <c r="B1253" s="1455">
        <v>1003</v>
      </c>
      <c r="C1253" s="1100">
        <v>1.0067322029331895</v>
      </c>
      <c r="D1253" s="1100">
        <v>0.99855934765796972</v>
      </c>
      <c r="E1253" s="1100">
        <v>1.0105800155873057</v>
      </c>
      <c r="F1253" s="1100">
        <v>0.99472279213909742</v>
      </c>
      <c r="G1253" s="1100">
        <v>0.97177134630752426</v>
      </c>
      <c r="H1253" s="1100">
        <v>1.0121402205246723</v>
      </c>
      <c r="I1253" s="1100">
        <v>1.0459964943286622</v>
      </c>
      <c r="K1253">
        <v>2.2193666915707624</v>
      </c>
      <c r="L1253">
        <v>0</v>
      </c>
      <c r="M1253">
        <v>1.5216825818332583E-3</v>
      </c>
      <c r="N1253">
        <v>0.1428831018873451</v>
      </c>
      <c r="O1253">
        <v>1.9632918774362212E-2</v>
      </c>
      <c r="P1253">
        <v>2.6292992387010102E-2</v>
      </c>
      <c r="Q1253">
        <v>5.5335591945111983E-3</v>
      </c>
      <c r="R1253">
        <v>1.5005517125680789E-3</v>
      </c>
      <c r="S1253">
        <v>0.25220993638308081</v>
      </c>
      <c r="T1253">
        <v>1.3367897709874734</v>
      </c>
      <c r="U1253">
        <v>0.14184199484676446</v>
      </c>
      <c r="V1253">
        <v>0.18114817427025887</v>
      </c>
      <c r="W1253">
        <v>9.3278540913263042E-2</v>
      </c>
      <c r="X1253">
        <v>1.5692825691085766E-2</v>
      </c>
      <c r="Y1253">
        <v>4.0840071048712035E-3</v>
      </c>
    </row>
    <row r="1254" spans="1:25" x14ac:dyDescent="0.25">
      <c r="A1254" s="1096"/>
      <c r="B1254" s="1455">
        <v>1004</v>
      </c>
      <c r="C1254" s="1100">
        <v>1.0040755831240367</v>
      </c>
      <c r="D1254" s="1100">
        <v>0.99264201561417131</v>
      </c>
      <c r="E1254" s="1100">
        <v>0.99654085777791668</v>
      </c>
      <c r="F1254" s="1100">
        <v>1.0084539249925064</v>
      </c>
      <c r="G1254" s="1100">
        <v>1.010384085600657</v>
      </c>
      <c r="H1254" s="1100">
        <v>1.0203976592403563</v>
      </c>
      <c r="I1254" s="1100">
        <v>1.0194906774871726</v>
      </c>
      <c r="K1254">
        <v>2.2385062992414699</v>
      </c>
      <c r="L1254">
        <v>0</v>
      </c>
      <c r="M1254">
        <v>1.5857054914652292E-3</v>
      </c>
      <c r="N1254">
        <v>0.14272922050056916</v>
      </c>
      <c r="O1254">
        <v>1.9701867110309999E-2</v>
      </c>
      <c r="P1254">
        <v>2.6276353875449261E-2</v>
      </c>
      <c r="Q1254">
        <v>5.4753313332851486E-3</v>
      </c>
      <c r="R1254">
        <v>1.5638637604989355E-3</v>
      </c>
      <c r="S1254">
        <v>0.24776318603187902</v>
      </c>
      <c r="T1254">
        <v>1.3552191579698099</v>
      </c>
      <c r="U1254">
        <v>0.14218507640913222</v>
      </c>
      <c r="V1254">
        <v>0.18565630147521672</v>
      </c>
      <c r="W1254">
        <v>9.3956628103921067E-2</v>
      </c>
      <c r="X1254">
        <v>1.5308696534335422E-2</v>
      </c>
      <c r="Y1254">
        <v>4.2563216285280044E-3</v>
      </c>
    </row>
    <row r="1255" spans="1:25" x14ac:dyDescent="0.25">
      <c r="A1255" s="1096"/>
      <c r="B1255" s="1455">
        <v>1005</v>
      </c>
      <c r="C1255" s="1100">
        <v>1.000769338369099</v>
      </c>
      <c r="D1255" s="1100">
        <v>0.9761132824662403</v>
      </c>
      <c r="E1255" s="1100">
        <v>0.97303018575241884</v>
      </c>
      <c r="F1255" s="1100">
        <v>1.0194840266826568</v>
      </c>
      <c r="G1255" s="1100">
        <v>0.99090337054082733</v>
      </c>
      <c r="H1255" s="1100">
        <v>0.98981186092872497</v>
      </c>
      <c r="I1255" s="1100">
        <v>1.0078156718495999</v>
      </c>
      <c r="K1255">
        <v>2.2386761576359011</v>
      </c>
      <c r="L1255">
        <v>0</v>
      </c>
      <c r="M1255">
        <v>1.6261915679992929E-3</v>
      </c>
      <c r="N1255">
        <v>0.13626734436092738</v>
      </c>
      <c r="O1255">
        <v>1.9825395272338526E-2</v>
      </c>
      <c r="P1255">
        <v>2.5954626782277262E-2</v>
      </c>
      <c r="Q1255">
        <v>5.3799019353470666E-3</v>
      </c>
      <c r="R1255">
        <v>1.6031000210530995E-3</v>
      </c>
      <c r="S1255">
        <v>0.24513887347490612</v>
      </c>
      <c r="T1255">
        <v>1.3700118662183844</v>
      </c>
      <c r="U1255">
        <v>0.14260085824004859</v>
      </c>
      <c r="V1255">
        <v>0.18362932970730286</v>
      </c>
      <c r="W1255">
        <v>9.0980532065341693E-2</v>
      </c>
      <c r="X1255">
        <v>1.4547411330446887E-2</v>
      </c>
      <c r="Y1255">
        <v>4.3631097955266224E-3</v>
      </c>
    </row>
    <row r="1256" spans="1:25" x14ac:dyDescent="0.25">
      <c r="A1256" s="1096"/>
      <c r="B1256" s="1455">
        <v>1006</v>
      </c>
      <c r="C1256" s="1100">
        <v>1.0126122678825575</v>
      </c>
      <c r="D1256" s="1100">
        <v>1.0241392409663759</v>
      </c>
      <c r="E1256" s="1100">
        <v>0.96855951887249192</v>
      </c>
      <c r="F1256" s="1100">
        <v>1.0442807560977216</v>
      </c>
      <c r="G1256" s="1100">
        <v>0.98888155785296372</v>
      </c>
      <c r="H1256" s="1100">
        <v>0.97517138280595617</v>
      </c>
      <c r="I1256" s="1100">
        <v>1.0126506716979762</v>
      </c>
      <c r="K1256">
        <v>2.2509827795900859</v>
      </c>
      <c r="L1256">
        <v>0</v>
      </c>
      <c r="M1256">
        <v>1.581287069367229E-3</v>
      </c>
      <c r="N1256">
        <v>0.13069480306686873</v>
      </c>
      <c r="O1256">
        <v>1.9384855157630818E-2</v>
      </c>
      <c r="P1256">
        <v>2.6159496365998122E-2</v>
      </c>
      <c r="Q1256">
        <v>5.236384083036452E-3</v>
      </c>
      <c r="R1256">
        <v>1.5584960500921415E-3</v>
      </c>
      <c r="S1256">
        <v>0.23646234466259217</v>
      </c>
      <c r="T1256">
        <v>1.403329983921642</v>
      </c>
      <c r="U1256">
        <v>0.14092296436109047</v>
      </c>
      <c r="V1256">
        <v>0.1827041195976935</v>
      </c>
      <c r="W1256">
        <v>8.7497565104324243E-2</v>
      </c>
      <c r="X1256">
        <v>1.4371341798215066E-2</v>
      </c>
      <c r="Y1256">
        <v>4.2417124902659727E-3</v>
      </c>
    </row>
    <row r="1257" spans="1:25" x14ac:dyDescent="0.25">
      <c r="A1257" s="1096"/>
      <c r="B1257" s="1455">
        <v>1007</v>
      </c>
      <c r="C1257" s="1100">
        <v>0.9820453405562809</v>
      </c>
      <c r="D1257" s="1100">
        <v>1.0117415075381484</v>
      </c>
      <c r="E1257" s="1100">
        <v>1.0100521127676645</v>
      </c>
      <c r="F1257" s="1100">
        <v>0.9903714415026813</v>
      </c>
      <c r="G1257" s="1100">
        <v>1.0271984079395204</v>
      </c>
      <c r="H1257" s="1100">
        <v>1.0161643115897288</v>
      </c>
      <c r="I1257" s="1100">
        <v>1.0044985794075469</v>
      </c>
      <c r="K1257">
        <v>2.226537734988336</v>
      </c>
      <c r="L1257">
        <v>0</v>
      </c>
      <c r="M1257">
        <v>1.5633384796146469E-3</v>
      </c>
      <c r="N1257">
        <v>0.14656892445289291</v>
      </c>
      <c r="O1257">
        <v>2.0068133456685639E-2</v>
      </c>
      <c r="P1257">
        <v>2.6286267875677213E-2</v>
      </c>
      <c r="Q1257">
        <v>5.653241368382903E-3</v>
      </c>
      <c r="R1257">
        <v>1.5417151257080858E-3</v>
      </c>
      <c r="S1257">
        <v>0.24700468749339718</v>
      </c>
      <c r="T1257">
        <v>1.3309411214383484</v>
      </c>
      <c r="U1257">
        <v>0.14540640915965028</v>
      </c>
      <c r="V1257">
        <v>0.18889437608216453</v>
      </c>
      <c r="W1257">
        <v>9.571454381667277E-2</v>
      </c>
      <c r="X1257">
        <v>1.5825612852448788E-2</v>
      </c>
      <c r="Y1257">
        <v>4.1960403459228093E-3</v>
      </c>
    </row>
    <row r="1258" spans="1:25" x14ac:dyDescent="0.25">
      <c r="A1258" s="1096"/>
      <c r="B1258" s="1455">
        <v>1008</v>
      </c>
      <c r="C1258" s="1100">
        <v>1.0409885810356725</v>
      </c>
      <c r="D1258" s="1100">
        <v>1.0173707470769755</v>
      </c>
      <c r="E1258" s="1100">
        <v>1.0135901235141105</v>
      </c>
      <c r="F1258" s="1100">
        <v>0.98693860541209433</v>
      </c>
      <c r="G1258" s="1100">
        <v>1.0011701693985666</v>
      </c>
      <c r="H1258" s="1100">
        <v>1.002448294685091</v>
      </c>
      <c r="I1258" s="1100">
        <v>0.98689254274781968</v>
      </c>
      <c r="K1258">
        <v>2.1683543615490657</v>
      </c>
      <c r="L1258">
        <v>0</v>
      </c>
      <c r="M1258">
        <v>1.4424921246247761E-3</v>
      </c>
      <c r="N1258">
        <v>0.13666495725516187</v>
      </c>
      <c r="O1258">
        <v>1.8910851716152106E-2</v>
      </c>
      <c r="P1258">
        <v>2.5818687636504602E-2</v>
      </c>
      <c r="Q1258">
        <v>5.3460876912551948E-3</v>
      </c>
      <c r="R1258">
        <v>1.4222672682451512E-3</v>
      </c>
      <c r="S1258">
        <v>0.2272932528238551</v>
      </c>
      <c r="T1258">
        <v>1.3263342502925277</v>
      </c>
      <c r="U1258">
        <v>0.13718099284089916</v>
      </c>
      <c r="V1258">
        <v>0.18253432882940457</v>
      </c>
      <c r="W1258">
        <v>8.9061179224145734E-2</v>
      </c>
      <c r="X1258">
        <v>1.5359055441653086E-2</v>
      </c>
      <c r="Y1258">
        <v>3.87094265388433E-3</v>
      </c>
    </row>
    <row r="1259" spans="1:25" x14ac:dyDescent="0.25">
      <c r="A1259" s="1096"/>
      <c r="B1259" s="1455">
        <v>1009</v>
      </c>
      <c r="C1259" s="1100">
        <v>0.98217238100043947</v>
      </c>
      <c r="D1259" s="1100">
        <v>0.99853448354036312</v>
      </c>
      <c r="E1259" s="1100">
        <v>1.0222511159525851</v>
      </c>
      <c r="F1259" s="1100">
        <v>0.9948454889584587</v>
      </c>
      <c r="G1259" s="1100">
        <v>1.0210457230290702</v>
      </c>
      <c r="H1259" s="1100">
        <v>1.0041578402705249</v>
      </c>
      <c r="I1259" s="1100">
        <v>0.98481362619166402</v>
      </c>
      <c r="K1259">
        <v>2.2282916745226746</v>
      </c>
      <c r="L1259">
        <v>0</v>
      </c>
      <c r="M1259">
        <v>1.5103356465253107E-3</v>
      </c>
      <c r="N1259">
        <v>0.14688479155096001</v>
      </c>
      <c r="O1259">
        <v>2.0131406205635072E-2</v>
      </c>
      <c r="P1259">
        <v>2.6539545471399906E-2</v>
      </c>
      <c r="Q1259">
        <v>5.7404083053511313E-3</v>
      </c>
      <c r="R1259">
        <v>1.4891956230124886E-3</v>
      </c>
      <c r="S1259">
        <v>0.2428463416563745</v>
      </c>
      <c r="T1259">
        <v>1.336977256804841</v>
      </c>
      <c r="U1259">
        <v>0.14541626794466436</v>
      </c>
      <c r="V1259">
        <v>0.18820230752279662</v>
      </c>
      <c r="W1259">
        <v>9.5236596059513332E-2</v>
      </c>
      <c r="X1259">
        <v>1.6284793452015049E-2</v>
      </c>
      <c r="Y1259">
        <v>4.0530995726348043E-3</v>
      </c>
    </row>
    <row r="1260" spans="1:25" x14ac:dyDescent="0.25">
      <c r="A1260" s="1096"/>
      <c r="B1260" s="1455">
        <v>1010</v>
      </c>
      <c r="C1260" s="1100">
        <v>1.0007631144899378</v>
      </c>
      <c r="D1260" s="1100">
        <v>0.97311328917879403</v>
      </c>
      <c r="E1260" s="1100">
        <v>0.96913768234271269</v>
      </c>
      <c r="F1260" s="1100">
        <v>0.99465189145176103</v>
      </c>
      <c r="G1260" s="1100">
        <v>1.0127611868778044</v>
      </c>
      <c r="H1260" s="1100">
        <v>0.99575770209215453</v>
      </c>
      <c r="I1260" s="1100">
        <v>0.9939237978485419</v>
      </c>
      <c r="K1260">
        <v>2.2053561045407819</v>
      </c>
      <c r="L1260">
        <v>0</v>
      </c>
      <c r="M1260">
        <v>1.6502893515486685E-3</v>
      </c>
      <c r="N1260">
        <v>0.13667822302775007</v>
      </c>
      <c r="O1260">
        <v>1.9836515961175621E-2</v>
      </c>
      <c r="P1260">
        <v>2.5431298165676068E-2</v>
      </c>
      <c r="Q1260">
        <v>5.3615595159706882E-3</v>
      </c>
      <c r="R1260">
        <v>1.6269955484555874E-3</v>
      </c>
      <c r="S1260">
        <v>0.24258181586464356</v>
      </c>
      <c r="T1260">
        <v>1.3366380253800076</v>
      </c>
      <c r="U1260">
        <v>0.14259283223905664</v>
      </c>
      <c r="V1260">
        <v>0.18609738395542752</v>
      </c>
      <c r="W1260">
        <v>9.1471122628520654E-2</v>
      </c>
      <c r="X1260">
        <v>1.4262476061685554E-2</v>
      </c>
      <c r="Y1260">
        <v>4.4281455439577058E-3</v>
      </c>
    </row>
    <row r="1261" spans="1:25" x14ac:dyDescent="0.25">
      <c r="A1261" s="1096"/>
      <c r="B1261" s="1455">
        <v>1011</v>
      </c>
      <c r="C1261" s="1100">
        <v>0.98103329129831818</v>
      </c>
      <c r="D1261" s="1100">
        <v>1.019572915915071</v>
      </c>
      <c r="E1261" s="1100">
        <v>1.0042061925123935</v>
      </c>
      <c r="F1261" s="1100">
        <v>0.96421175501297174</v>
      </c>
      <c r="G1261" s="1100">
        <v>0.95588062999772994</v>
      </c>
      <c r="H1261" s="1100">
        <v>0.99767424719637443</v>
      </c>
      <c r="I1261" s="1100">
        <v>1.0272060767100764</v>
      </c>
      <c r="K1261">
        <v>2.1800103975161895</v>
      </c>
      <c r="L1261">
        <v>0</v>
      </c>
      <c r="M1261">
        <v>1.5526053206802479E-3</v>
      </c>
      <c r="N1261">
        <v>0.1429784709364911</v>
      </c>
      <c r="O1261">
        <v>2.0051076433788409E-2</v>
      </c>
      <c r="P1261">
        <v>2.5628754199874728E-2</v>
      </c>
      <c r="Q1261">
        <v>5.6154721602790555E-3</v>
      </c>
      <c r="R1261">
        <v>1.5307324248296692E-3</v>
      </c>
      <c r="S1261">
        <v>0.25029372027450558</v>
      </c>
      <c r="T1261">
        <v>1.2957757781829156</v>
      </c>
      <c r="U1261">
        <v>0.1455426781314321</v>
      </c>
      <c r="V1261">
        <v>0.18089002690287223</v>
      </c>
      <c r="W1261">
        <v>9.3693006172270984E-2</v>
      </c>
      <c r="X1261">
        <v>1.5397137963030197E-2</v>
      </c>
      <c r="Y1261">
        <v>4.1661490545781303E-3</v>
      </c>
    </row>
    <row r="1262" spans="1:25" x14ac:dyDescent="0.25">
      <c r="A1262" s="1096"/>
      <c r="B1262" s="1455">
        <v>1012</v>
      </c>
      <c r="C1262" s="1100">
        <v>0.96513970289677897</v>
      </c>
      <c r="D1262" s="1100">
        <v>1.0184189369587537</v>
      </c>
      <c r="E1262" s="1100">
        <v>1.0153927903800324</v>
      </c>
      <c r="F1262" s="1100">
        <v>1.0230185102538172</v>
      </c>
      <c r="G1262" s="1100">
        <v>1.0162024017784699</v>
      </c>
      <c r="H1262" s="1100">
        <v>0.98998917029673827</v>
      </c>
      <c r="I1262" s="1100">
        <v>0.98984250790278605</v>
      </c>
      <c r="K1262">
        <v>2.2704695670169279</v>
      </c>
      <c r="L1262">
        <v>0</v>
      </c>
      <c r="M1262">
        <v>1.530423902980155E-3</v>
      </c>
      <c r="N1262">
        <v>0.14576071472417113</v>
      </c>
      <c r="O1262">
        <v>2.039357140706281E-2</v>
      </c>
      <c r="P1262">
        <v>2.699735366474712E-2</v>
      </c>
      <c r="Q1262">
        <v>5.775624443968938E-3</v>
      </c>
      <c r="R1262">
        <v>1.5086961270845789E-3</v>
      </c>
      <c r="S1262">
        <v>0.24475676616495942</v>
      </c>
      <c r="T1262">
        <v>1.3748250888897688</v>
      </c>
      <c r="U1262">
        <v>0.1479661506142429</v>
      </c>
      <c r="V1262">
        <v>0.18871473793585367</v>
      </c>
      <c r="W1262">
        <v>9.4888097672949964E-2</v>
      </c>
      <c r="X1262">
        <v>1.6307015758718891E-2</v>
      </c>
      <c r="Y1262">
        <v>4.1061735163795939E-3</v>
      </c>
    </row>
    <row r="1263" spans="1:25" x14ac:dyDescent="0.25">
      <c r="A1263" s="1096"/>
      <c r="B1263" s="1455">
        <v>1013</v>
      </c>
      <c r="C1263" s="1100">
        <v>1.0404975601112991</v>
      </c>
      <c r="D1263" s="1100">
        <v>1.0302967096140261</v>
      </c>
      <c r="E1263" s="1100">
        <v>1.0144177219391053</v>
      </c>
      <c r="F1263" s="1100">
        <v>0.96809404389047138</v>
      </c>
      <c r="G1263" s="1100">
        <v>0.96610067658838261</v>
      </c>
      <c r="H1263" s="1100">
        <v>1.0012126580057856</v>
      </c>
      <c r="I1263" s="1100">
        <v>0.98905510417464937</v>
      </c>
      <c r="K1263">
        <v>2.1369865335917497</v>
      </c>
      <c r="L1263">
        <v>0</v>
      </c>
      <c r="M1263">
        <v>1.434925223141864E-3</v>
      </c>
      <c r="N1263">
        <v>0.13628565343151755</v>
      </c>
      <c r="O1263">
        <v>1.8867792886779328E-2</v>
      </c>
      <c r="P1263">
        <v>2.5419405773364087E-2</v>
      </c>
      <c r="Q1263">
        <v>5.3383198100855752E-3</v>
      </c>
      <c r="R1263">
        <v>1.4147816312079751E-3</v>
      </c>
      <c r="S1263">
        <v>0.22639019768639493</v>
      </c>
      <c r="T1263">
        <v>1.3010108013499533</v>
      </c>
      <c r="U1263">
        <v>0.13724756506624822</v>
      </c>
      <c r="V1263">
        <v>0.17859795992215879</v>
      </c>
      <c r="W1263">
        <v>8.8770800687120552E-2</v>
      </c>
      <c r="X1263">
        <v>1.5227611352552755E-2</v>
      </c>
      <c r="Y1263">
        <v>3.8505692175087227E-3</v>
      </c>
    </row>
    <row r="1264" spans="1:25" x14ac:dyDescent="0.25">
      <c r="A1264" s="1096"/>
      <c r="B1264" s="1455">
        <v>1014</v>
      </c>
      <c r="C1264" s="1100">
        <v>0.97931558740781144</v>
      </c>
      <c r="D1264" s="1100">
        <v>1.0119096355947765</v>
      </c>
      <c r="E1264" s="1100">
        <v>0.99656661032786376</v>
      </c>
      <c r="F1264" s="1100">
        <v>0.99824908844276139</v>
      </c>
      <c r="G1264" s="1100">
        <v>0.96245916536418485</v>
      </c>
      <c r="H1264" s="1100">
        <v>0.98346110957249555</v>
      </c>
      <c r="I1264" s="1100">
        <v>1.0209249475030264</v>
      </c>
      <c r="K1264">
        <v>2.2220046516122194</v>
      </c>
      <c r="L1264">
        <v>0</v>
      </c>
      <c r="M1264">
        <v>1.5602493924743532E-3</v>
      </c>
      <c r="N1264">
        <v>0.14037517644550071</v>
      </c>
      <c r="O1264">
        <v>2.0114751931766865E-2</v>
      </c>
      <c r="P1264">
        <v>2.6101137869881452E-2</v>
      </c>
      <c r="Q1264">
        <v>5.5902208315640588E-3</v>
      </c>
      <c r="R1264">
        <v>1.5379511410326771E-3</v>
      </c>
      <c r="S1264">
        <v>0.24889093630975759</v>
      </c>
      <c r="T1264">
        <v>1.3415053428697008</v>
      </c>
      <c r="U1264">
        <v>0.14577999635776179</v>
      </c>
      <c r="V1264">
        <v>0.18173274742489609</v>
      </c>
      <c r="W1264">
        <v>9.2405575964815495E-2</v>
      </c>
      <c r="X1264">
        <v>1.5345267837581038E-2</v>
      </c>
      <c r="Y1264">
        <v>4.1857960204335614E-3</v>
      </c>
    </row>
    <row r="1265" spans="1:25" x14ac:dyDescent="0.25">
      <c r="A1265" s="1096"/>
      <c r="B1265" s="1455">
        <v>1015</v>
      </c>
      <c r="C1265" s="1100">
        <v>1.0081826217601901</v>
      </c>
      <c r="D1265" s="1100">
        <v>1.0100452713872838</v>
      </c>
      <c r="E1265" s="1100">
        <v>1.0142904316574062</v>
      </c>
      <c r="F1265" s="1100">
        <v>1.0213236810280117</v>
      </c>
      <c r="G1265" s="1100">
        <v>0.99239004703337141</v>
      </c>
      <c r="H1265" s="1100">
        <v>1.0304655791439374</v>
      </c>
      <c r="I1265" s="1100">
        <v>0.97314367789106559</v>
      </c>
      <c r="K1265">
        <v>2.2439298892574904</v>
      </c>
      <c r="L1265">
        <v>0</v>
      </c>
      <c r="M1265">
        <v>1.5312635138826796E-3</v>
      </c>
      <c r="N1265">
        <v>0.14543852632482551</v>
      </c>
      <c r="O1265">
        <v>1.9557706842006847E-2</v>
      </c>
      <c r="P1265">
        <v>2.6640969817293747E-2</v>
      </c>
      <c r="Q1265">
        <v>5.5328168076281417E-3</v>
      </c>
      <c r="R1265">
        <v>1.5103777472126889E-3</v>
      </c>
      <c r="S1265">
        <v>0.23442041046610992</v>
      </c>
      <c r="T1265">
        <v>1.3725452704749819</v>
      </c>
      <c r="U1265">
        <v>0.14164642376365955</v>
      </c>
      <c r="V1265">
        <v>0.18339730170329183</v>
      </c>
      <c r="W1265">
        <v>9.473968758678418E-2</v>
      </c>
      <c r="X1265">
        <v>1.5920910905557528E-2</v>
      </c>
      <c r="Y1265">
        <v>4.1107503320223842E-3</v>
      </c>
    </row>
    <row r="1266" spans="1:25" x14ac:dyDescent="0.25">
      <c r="A1266" s="1096"/>
      <c r="B1266" s="1455">
        <v>1016</v>
      </c>
      <c r="C1266" s="1100">
        <v>0.95793856067229632</v>
      </c>
      <c r="D1266" s="1100">
        <v>1.007366668040782</v>
      </c>
      <c r="E1266" s="1100">
        <v>1.0229201671129804</v>
      </c>
      <c r="F1266" s="1100">
        <v>0.98348259989107301</v>
      </c>
      <c r="G1266" s="1100">
        <v>1.0241481254082492</v>
      </c>
      <c r="H1266" s="1100">
        <v>1.0243511585234684</v>
      </c>
      <c r="I1266" s="1100">
        <v>0.99269166324215252</v>
      </c>
      <c r="K1266">
        <v>2.2391161485504929</v>
      </c>
      <c r="L1266">
        <v>0</v>
      </c>
      <c r="M1266">
        <v>1.5744331243772909E-3</v>
      </c>
      <c r="N1266">
        <v>0.15347070916668637</v>
      </c>
      <c r="O1266">
        <v>2.0601175225466312E-2</v>
      </c>
      <c r="P1266">
        <v>2.6538832175170841E-2</v>
      </c>
      <c r="Q1266">
        <v>5.8782644643823002E-3</v>
      </c>
      <c r="R1266">
        <v>1.5528303598297238E-3</v>
      </c>
      <c r="S1266">
        <v>0.25156422754039387</v>
      </c>
      <c r="T1266">
        <v>1.3217079872478628</v>
      </c>
      <c r="U1266">
        <v>0.14909660561741817</v>
      </c>
      <c r="V1266">
        <v>0.19008217279937786</v>
      </c>
      <c r="W1266">
        <v>9.9467884692868075E-2</v>
      </c>
      <c r="X1266">
        <v>1.6503600036346652E-2</v>
      </c>
      <c r="Y1266">
        <v>4.2262923490659641E-3</v>
      </c>
    </row>
    <row r="1267" spans="1:25" x14ac:dyDescent="0.25">
      <c r="A1267" s="1096"/>
      <c r="B1267" s="1455">
        <v>1017</v>
      </c>
      <c r="C1267" s="1100">
        <v>0.99062224494794449</v>
      </c>
      <c r="D1267" s="1100">
        <v>0.98412684685219276</v>
      </c>
      <c r="E1267" s="1100">
        <v>1.0032142942725975</v>
      </c>
      <c r="F1267" s="1100">
        <v>1.0388514950579113</v>
      </c>
      <c r="G1267" s="1100">
        <v>0.99680317876539171</v>
      </c>
      <c r="H1267" s="1100">
        <v>1.0104463284674381</v>
      </c>
      <c r="I1267" s="1100">
        <v>0.98906230761009695</v>
      </c>
      <c r="K1267">
        <v>2.2807454929489315</v>
      </c>
      <c r="L1267">
        <v>0</v>
      </c>
      <c r="M1267">
        <v>1.5726645185251162E-3</v>
      </c>
      <c r="N1267">
        <v>0.14441855249142876</v>
      </c>
      <c r="O1267">
        <v>2.001154032769524E-2</v>
      </c>
      <c r="P1267">
        <v>2.6930527876072797E-2</v>
      </c>
      <c r="Q1267">
        <v>5.598826186806698E-3</v>
      </c>
      <c r="R1267">
        <v>1.5507890776089181E-3</v>
      </c>
      <c r="S1267">
        <v>0.24393342182688207</v>
      </c>
      <c r="T1267">
        <v>1.3960802030062811</v>
      </c>
      <c r="U1267">
        <v>0.14413155801268138</v>
      </c>
      <c r="V1267">
        <v>0.18492943482886062</v>
      </c>
      <c r="W1267">
        <v>9.4692328094036576E-2</v>
      </c>
      <c r="X1267">
        <v>1.5820239087330046E-2</v>
      </c>
      <c r="Y1267">
        <v>4.2207366517694328E-3</v>
      </c>
    </row>
    <row r="1268" spans="1:25" x14ac:dyDescent="0.25">
      <c r="A1268" s="1096"/>
      <c r="B1268" s="1455">
        <v>1018</v>
      </c>
      <c r="C1268" s="1100">
        <v>0.97480226091502409</v>
      </c>
      <c r="D1268" s="1100">
        <v>1.0154231115624031</v>
      </c>
      <c r="E1268" s="1100">
        <v>0.98617831938859746</v>
      </c>
      <c r="F1268" s="1100">
        <v>1.0309164405374385</v>
      </c>
      <c r="G1268" s="1100">
        <v>0.96679316592880171</v>
      </c>
      <c r="H1268" s="1100">
        <v>1.0070746298752269</v>
      </c>
      <c r="I1268" s="1100">
        <v>1.0107205057304449</v>
      </c>
      <c r="K1268">
        <v>2.2727596345148844</v>
      </c>
      <c r="L1268">
        <v>0</v>
      </c>
      <c r="M1268">
        <v>1.6387746730522519E-3</v>
      </c>
      <c r="N1268">
        <v>0.14293022030190888</v>
      </c>
      <c r="O1268">
        <v>2.0185853968342202E-2</v>
      </c>
      <c r="P1268">
        <v>2.6511149963998653E-2</v>
      </c>
      <c r="Q1268">
        <v>5.5514281790041099E-3</v>
      </c>
      <c r="R1268">
        <v>1.6159033354312409E-3</v>
      </c>
      <c r="S1268">
        <v>0.24899017887046035</v>
      </c>
      <c r="T1268">
        <v>1.3853905992741253</v>
      </c>
      <c r="U1268">
        <v>0.14643045475177643</v>
      </c>
      <c r="V1268">
        <v>0.18249376655500554</v>
      </c>
      <c r="W1268">
        <v>9.4674214981487509E-2</v>
      </c>
      <c r="X1268">
        <v>1.5226682809741106E-2</v>
      </c>
      <c r="Y1268">
        <v>4.3979561966524736E-3</v>
      </c>
    </row>
    <row r="1269" spans="1:25" x14ac:dyDescent="0.25">
      <c r="A1269" s="1096"/>
      <c r="B1269" s="1455">
        <v>1019</v>
      </c>
      <c r="C1269" s="1100">
        <v>0.99059534219504486</v>
      </c>
      <c r="D1269" s="1100">
        <v>0.98989124339475787</v>
      </c>
      <c r="E1269" s="1100">
        <v>0.99871661795697553</v>
      </c>
      <c r="F1269" s="1100">
        <v>0.99083104443852721</v>
      </c>
      <c r="G1269" s="1100">
        <v>1.0183391272831079</v>
      </c>
      <c r="H1269" s="1100">
        <v>0.99046679284241124</v>
      </c>
      <c r="I1269" s="1100">
        <v>0.98926605771351961</v>
      </c>
      <c r="K1269">
        <v>2.2089273151041731</v>
      </c>
      <c r="L1269">
        <v>0</v>
      </c>
      <c r="M1269">
        <v>1.5540640922404099E-3</v>
      </c>
      <c r="N1269">
        <v>0.14074444457578852</v>
      </c>
      <c r="O1269">
        <v>1.9983544515544401E-2</v>
      </c>
      <c r="P1269">
        <v>2.5962596780370828E-2</v>
      </c>
      <c r="Q1269">
        <v>5.5657872864253105E-3</v>
      </c>
      <c r="R1269">
        <v>1.5320113306117741E-3</v>
      </c>
      <c r="S1269">
        <v>0.24164265624087877</v>
      </c>
      <c r="T1269">
        <v>1.3315398251243606</v>
      </c>
      <c r="U1269">
        <v>0.144125017399065</v>
      </c>
      <c r="V1269">
        <v>0.18736140152335842</v>
      </c>
      <c r="W1269">
        <v>9.253012062072366E-2</v>
      </c>
      <c r="X1269">
        <v>1.53243439847583E-2</v>
      </c>
      <c r="Y1269">
        <v>4.169629814525842E-3</v>
      </c>
    </row>
    <row r="1270" spans="1:25" x14ac:dyDescent="0.25">
      <c r="A1270" s="1096"/>
      <c r="B1270" s="1455">
        <v>1020</v>
      </c>
      <c r="C1270" s="1100">
        <v>0.9844444286481504</v>
      </c>
      <c r="D1270" s="1100">
        <v>1.0072767456416822</v>
      </c>
      <c r="E1270" s="1100">
        <v>0.9953126056869428</v>
      </c>
      <c r="F1270" s="1100">
        <v>0.97422358520207553</v>
      </c>
      <c r="G1270" s="1100">
        <v>0.96329079174915322</v>
      </c>
      <c r="H1270" s="1100">
        <v>1.0090301527847652</v>
      </c>
      <c r="I1270" s="1100">
        <v>0.98536432028200438</v>
      </c>
      <c r="K1270">
        <v>2.1854888152352392</v>
      </c>
      <c r="L1270">
        <v>0</v>
      </c>
      <c r="M1270">
        <v>1.5982321010301311E-3</v>
      </c>
      <c r="N1270">
        <v>0.14330119296689833</v>
      </c>
      <c r="O1270">
        <v>2.0029373770878985E-2</v>
      </c>
      <c r="P1270">
        <v>2.5524526282541961E-2</v>
      </c>
      <c r="Q1270">
        <v>5.559464919161288E-3</v>
      </c>
      <c r="R1270">
        <v>1.5759698189220456E-3</v>
      </c>
      <c r="S1270">
        <v>0.24155575334156223</v>
      </c>
      <c r="T1270">
        <v>1.3092166333137714</v>
      </c>
      <c r="U1270">
        <v>0.14501756863182266</v>
      </c>
      <c r="V1270">
        <v>0.18151004433433232</v>
      </c>
      <c r="W1270">
        <v>9.4402260442359234E-2</v>
      </c>
      <c r="X1270">
        <v>1.5104989185222092E-2</v>
      </c>
      <c r="Y1270">
        <v>4.2892703287946247E-3</v>
      </c>
    </row>
    <row r="1271" spans="1:25" x14ac:dyDescent="0.25">
      <c r="A1271" s="1096"/>
      <c r="B1271" s="1455">
        <v>1021</v>
      </c>
      <c r="C1271" s="1100">
        <v>0.98879086163363283</v>
      </c>
      <c r="D1271" s="1100">
        <v>0.96497438015721726</v>
      </c>
      <c r="E1271" s="1100">
        <v>1.002433295868443</v>
      </c>
      <c r="F1271" s="1100">
        <v>0.98532361198647811</v>
      </c>
      <c r="G1271" s="1100">
        <v>0.98493372145113522</v>
      </c>
      <c r="H1271" s="1100">
        <v>1.0058247640646261</v>
      </c>
      <c r="I1271" s="1100">
        <v>0.97648199883629672</v>
      </c>
      <c r="K1271">
        <v>2.2062357327695179</v>
      </c>
      <c r="L1271">
        <v>0</v>
      </c>
      <c r="M1271">
        <v>1.5777218406082562E-3</v>
      </c>
      <c r="N1271">
        <v>0.14453221352490161</v>
      </c>
      <c r="O1271">
        <v>2.0134979188919579E-2</v>
      </c>
      <c r="P1271">
        <v>2.5909684701603427E-2</v>
      </c>
      <c r="Q1271">
        <v>5.6289480958954686E-3</v>
      </c>
      <c r="R1271">
        <v>1.555675216858972E-3</v>
      </c>
      <c r="S1271">
        <v>0.24328968750533317</v>
      </c>
      <c r="T1271">
        <v>1.3241444740369399</v>
      </c>
      <c r="U1271">
        <v>0.14439669115874626</v>
      </c>
      <c r="V1271">
        <v>0.18369798853422392</v>
      </c>
      <c r="W1271">
        <v>9.4810754705693806E-2</v>
      </c>
      <c r="X1271">
        <v>1.547832282891588E-2</v>
      </c>
      <c r="Y1271">
        <v>4.2340351120927107E-3</v>
      </c>
    </row>
    <row r="1272" spans="1:25" x14ac:dyDescent="0.25">
      <c r="A1272" s="1096"/>
      <c r="B1272" s="1455">
        <v>1022</v>
      </c>
      <c r="C1272" s="1100">
        <v>0.96033252800364199</v>
      </c>
      <c r="D1272" s="1100">
        <v>1.0122173843117395</v>
      </c>
      <c r="E1272" s="1100">
        <v>0.99457083580018146</v>
      </c>
      <c r="F1272" s="1100">
        <v>1.0232011861496459</v>
      </c>
      <c r="G1272" s="1100">
        <v>1.0113762697312536</v>
      </c>
      <c r="H1272" s="1100">
        <v>0.98369938011960256</v>
      </c>
      <c r="I1272" s="1100">
        <v>0.97592796148811611</v>
      </c>
      <c r="K1272">
        <v>2.2644233422081927</v>
      </c>
      <c r="L1272">
        <v>0</v>
      </c>
      <c r="M1272">
        <v>1.5979672588867966E-3</v>
      </c>
      <c r="N1272">
        <v>0.14290459458295243</v>
      </c>
      <c r="O1272">
        <v>2.0509697697928885E-2</v>
      </c>
      <c r="P1272">
        <v>2.6562617826754863E-2</v>
      </c>
      <c r="Q1272">
        <v>5.6885313877290148E-3</v>
      </c>
      <c r="R1272">
        <v>1.5751354954561818E-3</v>
      </c>
      <c r="S1272">
        <v>0.24259142312126536</v>
      </c>
      <c r="T1272">
        <v>1.3750343726455196</v>
      </c>
      <c r="U1272">
        <v>0.14865687343256725</v>
      </c>
      <c r="V1272">
        <v>0.18845775037470788</v>
      </c>
      <c r="W1272">
        <v>9.4182673140216513E-2</v>
      </c>
      <c r="X1272">
        <v>1.5570640186624631E-2</v>
      </c>
      <c r="Y1272">
        <v>4.2869995753552007E-3</v>
      </c>
    </row>
    <row r="1273" spans="1:25" x14ac:dyDescent="0.25">
      <c r="A1273" s="1096"/>
      <c r="B1273" s="1455">
        <v>1023</v>
      </c>
      <c r="C1273" s="1100">
        <v>0.98165074318823509</v>
      </c>
      <c r="D1273" s="1100">
        <v>1.004238291022018</v>
      </c>
      <c r="E1273" s="1100">
        <v>0.98555420553122575</v>
      </c>
      <c r="F1273" s="1100">
        <v>1.0086355714810029</v>
      </c>
      <c r="G1273" s="1100">
        <v>0.99496162026885382</v>
      </c>
      <c r="H1273" s="1100">
        <v>0.98757952932073845</v>
      </c>
      <c r="I1273" s="1100">
        <v>0.98389963914363365</v>
      </c>
      <c r="K1273">
        <v>2.2292212959452788</v>
      </c>
      <c r="L1273">
        <v>0</v>
      </c>
      <c r="M1273">
        <v>1.6018005880554826E-3</v>
      </c>
      <c r="N1273">
        <v>0.13940301274059375</v>
      </c>
      <c r="O1273">
        <v>2.0093535449070502E-2</v>
      </c>
      <c r="P1273">
        <v>2.6002702433357738E-2</v>
      </c>
      <c r="Q1273">
        <v>5.5225462175106021E-3</v>
      </c>
      <c r="R1273">
        <v>1.5790039740160983E-3</v>
      </c>
      <c r="S1273">
        <v>0.24045150433931814</v>
      </c>
      <c r="T1273">
        <v>1.3554477850366553</v>
      </c>
      <c r="U1273">
        <v>0.14540742283464511</v>
      </c>
      <c r="V1273">
        <v>0.18525290725345278</v>
      </c>
      <c r="W1273">
        <v>9.2372503979198564E-2</v>
      </c>
      <c r="X1273">
        <v>1.4992643976759918E-2</v>
      </c>
      <c r="Y1273">
        <v>4.297528298751678E-3</v>
      </c>
    </row>
    <row r="1274" spans="1:25" x14ac:dyDescent="0.25">
      <c r="A1274" s="1096"/>
      <c r="B1274" s="1455">
        <v>1024</v>
      </c>
      <c r="C1274" s="1100">
        <v>0.97529319164317918</v>
      </c>
      <c r="D1274" s="1100">
        <v>1.0078697166009543</v>
      </c>
      <c r="E1274" s="1100">
        <v>1.0105570950219498</v>
      </c>
      <c r="F1274" s="1100">
        <v>0.99646606904192736</v>
      </c>
      <c r="G1274" s="1100">
        <v>1.0043514623105441</v>
      </c>
      <c r="H1274" s="1100">
        <v>1.0433407913880988</v>
      </c>
      <c r="I1274" s="1100">
        <v>1.0080441511808023</v>
      </c>
      <c r="K1274">
        <v>2.2481726941679221</v>
      </c>
      <c r="L1274">
        <v>0</v>
      </c>
      <c r="M1274">
        <v>1.6159291319677014E-3</v>
      </c>
      <c r="N1274">
        <v>0.15178606791081323</v>
      </c>
      <c r="O1274">
        <v>2.0224444870950247E-2</v>
      </c>
      <c r="P1274">
        <v>2.6465925925893915E-2</v>
      </c>
      <c r="Q1274">
        <v>5.7001508946870087E-3</v>
      </c>
      <c r="R1274">
        <v>1.5941605519744261E-3</v>
      </c>
      <c r="S1274">
        <v>0.25231950083513172</v>
      </c>
      <c r="T1274">
        <v>1.3391324873584172</v>
      </c>
      <c r="U1274">
        <v>0.14641428065679893</v>
      </c>
      <c r="V1274">
        <v>0.18673066155960527</v>
      </c>
      <c r="W1274">
        <v>9.9092013225163381E-2</v>
      </c>
      <c r="X1274">
        <v>1.5990150002865508E-2</v>
      </c>
      <c r="Y1274">
        <v>4.338779507589664E-3</v>
      </c>
    </row>
    <row r="1275" spans="1:25" x14ac:dyDescent="0.25">
      <c r="A1275" s="1096"/>
      <c r="B1275" s="1455">
        <v>1025</v>
      </c>
      <c r="C1275" s="1100">
        <v>1.0095772354392833</v>
      </c>
      <c r="D1275" s="1100">
        <v>0.9966045007126012</v>
      </c>
      <c r="E1275" s="1100">
        <v>0.98196830722472439</v>
      </c>
      <c r="F1275" s="1100">
        <v>0.98751943667210262</v>
      </c>
      <c r="G1275" s="1100">
        <v>0.98142372925777921</v>
      </c>
      <c r="H1275" s="1100">
        <v>1.025160081040593</v>
      </c>
      <c r="I1275" s="1100">
        <v>0.97300909265119129</v>
      </c>
      <c r="K1275">
        <v>2.1885243265161178</v>
      </c>
      <c r="L1275">
        <v>0</v>
      </c>
      <c r="M1275">
        <v>1.6315362869730237E-3</v>
      </c>
      <c r="N1275">
        <v>0.14053340567003755</v>
      </c>
      <c r="O1275">
        <v>1.9568328223750202E-2</v>
      </c>
      <c r="P1275">
        <v>2.5379091454456538E-2</v>
      </c>
      <c r="Q1275">
        <v>5.3586718187442909E-3</v>
      </c>
      <c r="R1275">
        <v>1.6091676754315897E-3</v>
      </c>
      <c r="S1275">
        <v>0.2349725232562396</v>
      </c>
      <c r="T1275">
        <v>1.3270666352987412</v>
      </c>
      <c r="U1275">
        <v>0.14137706878835618</v>
      </c>
      <c r="V1275">
        <v>0.18204825891449408</v>
      </c>
      <c r="W1275">
        <v>9.3322783870963627E-2</v>
      </c>
      <c r="X1275">
        <v>1.4540303881329295E-2</v>
      </c>
      <c r="Y1275">
        <v>4.3796239505431442E-3</v>
      </c>
    </row>
    <row r="1276" spans="1:25" x14ac:dyDescent="0.25">
      <c r="A1276" s="1096"/>
      <c r="B1276" s="1455">
        <v>1026</v>
      </c>
      <c r="C1276" s="1100">
        <v>0.99923491588264768</v>
      </c>
      <c r="D1276" s="1100">
        <v>1.0129636228452297</v>
      </c>
      <c r="E1276" s="1100">
        <v>1.0020916890527805</v>
      </c>
      <c r="F1276" s="1100">
        <v>0.98506161159587735</v>
      </c>
      <c r="G1276" s="1100">
        <v>1.0100538211170884</v>
      </c>
      <c r="H1276" s="1100">
        <v>0.98313740794375737</v>
      </c>
      <c r="I1276" s="1100">
        <v>1.0104707874132632</v>
      </c>
      <c r="K1276">
        <v>2.1932541534539713</v>
      </c>
      <c r="L1276">
        <v>0</v>
      </c>
      <c r="M1276">
        <v>1.5108795773273818E-3</v>
      </c>
      <c r="N1276">
        <v>0.13822094827127748</v>
      </c>
      <c r="O1276">
        <v>1.9712702163826569E-2</v>
      </c>
      <c r="P1276">
        <v>2.5880975143434883E-2</v>
      </c>
      <c r="Q1276">
        <v>5.5090064331224835E-3</v>
      </c>
      <c r="R1276">
        <v>1.4892797834585002E-3</v>
      </c>
      <c r="S1276">
        <v>0.24132230133981697</v>
      </c>
      <c r="T1276">
        <v>1.3237918279447578</v>
      </c>
      <c r="U1276">
        <v>0.1428866622186159</v>
      </c>
      <c r="V1276">
        <v>0.18591003755036836</v>
      </c>
      <c r="W1276">
        <v>9.0689046609710638E-2</v>
      </c>
      <c r="X1276">
        <v>1.5298916943281341E-2</v>
      </c>
      <c r="Y1276">
        <v>4.0533286296253633E-3</v>
      </c>
    </row>
    <row r="1277" spans="1:25" x14ac:dyDescent="0.25">
      <c r="A1277" s="1096"/>
      <c r="B1277" s="1455">
        <v>1027</v>
      </c>
      <c r="C1277" s="1100">
        <v>1.0051235117524382</v>
      </c>
      <c r="D1277" s="1100">
        <v>1.0064285538637658</v>
      </c>
      <c r="E1277" s="1100">
        <v>0.98468974515619356</v>
      </c>
      <c r="F1277" s="1100">
        <v>0.96778473262314846</v>
      </c>
      <c r="G1277" s="1100">
        <v>1.0138684946619814</v>
      </c>
      <c r="H1277" s="1100">
        <v>1.0163536393304675</v>
      </c>
      <c r="I1277" s="1100">
        <v>0.98039213709989625</v>
      </c>
      <c r="K1277">
        <v>2.1663195742988188</v>
      </c>
      <c r="L1277">
        <v>0</v>
      </c>
      <c r="M1277">
        <v>1.6120836303260297E-3</v>
      </c>
      <c r="N1277">
        <v>0.13998878949660523</v>
      </c>
      <c r="O1277">
        <v>1.9614349810813093E-2</v>
      </c>
      <c r="P1277">
        <v>2.5148965170519684E-2</v>
      </c>
      <c r="Q1277">
        <v>5.3861248578799181E-3</v>
      </c>
      <c r="R1277">
        <v>1.5897902103135064E-3</v>
      </c>
      <c r="S1277">
        <v>0.2359831599202637</v>
      </c>
      <c r="T1277">
        <v>1.3005496138116146</v>
      </c>
      <c r="U1277">
        <v>0.14200973063327882</v>
      </c>
      <c r="V1277">
        <v>0.18597844631826782</v>
      </c>
      <c r="W1277">
        <v>9.2808892544298804E-2</v>
      </c>
      <c r="X1277">
        <v>1.4546910277017785E-2</v>
      </c>
      <c r="Y1277">
        <v>4.3268848782713823E-3</v>
      </c>
    </row>
    <row r="1278" spans="1:25" x14ac:dyDescent="0.25">
      <c r="A1278" s="1096"/>
      <c r="B1278" s="1455">
        <v>1028</v>
      </c>
      <c r="C1278" s="1100">
        <v>0.97866450801798099</v>
      </c>
      <c r="D1278" s="1100">
        <v>0.95859777383966027</v>
      </c>
      <c r="E1278" s="1100">
        <v>0.98900624112497548</v>
      </c>
      <c r="F1278" s="1100">
        <v>0.99505819960393116</v>
      </c>
      <c r="G1278" s="1100">
        <v>0.99057155455370238</v>
      </c>
      <c r="H1278" s="1100">
        <v>1.0307358749299662</v>
      </c>
      <c r="I1278" s="1100">
        <v>1.0027959630834324</v>
      </c>
      <c r="K1278">
        <v>2.2408437099105405</v>
      </c>
      <c r="L1278">
        <v>0</v>
      </c>
      <c r="M1278">
        <v>1.682082881417855E-3</v>
      </c>
      <c r="N1278">
        <v>0.14801549717638221</v>
      </c>
      <c r="O1278">
        <v>2.03643678721772E-2</v>
      </c>
      <c r="P1278">
        <v>2.6025650680208331E-2</v>
      </c>
      <c r="Q1278">
        <v>5.6165750344624472E-3</v>
      </c>
      <c r="R1278">
        <v>1.659146020777109E-3</v>
      </c>
      <c r="S1278">
        <v>0.25523082811423081</v>
      </c>
      <c r="T1278">
        <v>1.3372064450805956</v>
      </c>
      <c r="U1278">
        <v>0.14585921436993235</v>
      </c>
      <c r="V1278">
        <v>0.184944053685002</v>
      </c>
      <c r="W1278">
        <v>9.7876334756140423E-2</v>
      </c>
      <c r="X1278">
        <v>1.521203147083134E-2</v>
      </c>
      <c r="Y1278">
        <v>4.515648531216534E-3</v>
      </c>
    </row>
    <row r="1279" spans="1:25" x14ac:dyDescent="0.25">
      <c r="A1279" s="1096"/>
      <c r="B1279" s="1455">
        <v>1029</v>
      </c>
      <c r="C1279" s="1100">
        <v>1.0307363424611111</v>
      </c>
      <c r="D1279" s="1100">
        <v>0.97922879547991282</v>
      </c>
      <c r="E1279" s="1100">
        <v>0.98276440372907292</v>
      </c>
      <c r="F1279" s="1100">
        <v>0.98187748236196559</v>
      </c>
      <c r="G1279" s="1100">
        <v>0.97057883849515691</v>
      </c>
      <c r="H1279" s="1100">
        <v>0.98932889482604591</v>
      </c>
      <c r="I1279" s="1100">
        <v>1.0146444873852483</v>
      </c>
      <c r="K1279">
        <v>2.1671084296842826</v>
      </c>
      <c r="L1279">
        <v>0</v>
      </c>
      <c r="M1279">
        <v>1.5456210537473172E-3</v>
      </c>
      <c r="N1279">
        <v>0.13338686567073163</v>
      </c>
      <c r="O1279">
        <v>1.9241419179877726E-2</v>
      </c>
      <c r="P1279">
        <v>2.5278468817190196E-2</v>
      </c>
      <c r="Q1279">
        <v>5.2734093453307603E-3</v>
      </c>
      <c r="R1279">
        <v>1.5236628753934759E-3</v>
      </c>
      <c r="S1279">
        <v>0.23927635183487847</v>
      </c>
      <c r="T1279">
        <v>1.319485703017762</v>
      </c>
      <c r="U1279">
        <v>0.13847663274271549</v>
      </c>
      <c r="V1279">
        <v>0.17961708965550699</v>
      </c>
      <c r="W1279">
        <v>8.8534554679676039E-2</v>
      </c>
      <c r="X1279">
        <v>1.4412984847474065E-2</v>
      </c>
      <c r="Y1279">
        <v>4.146908071489157E-3</v>
      </c>
    </row>
    <row r="1280" spans="1:25" x14ac:dyDescent="0.25">
      <c r="A1280" s="1096"/>
      <c r="B1280" s="1455">
        <v>1030</v>
      </c>
      <c r="C1280" s="1100">
        <v>1.0302465009209469</v>
      </c>
      <c r="D1280" s="1100">
        <v>1.0156688058079577</v>
      </c>
      <c r="E1280" s="1100">
        <v>0.99710655943945736</v>
      </c>
      <c r="F1280" s="1100">
        <v>1.0343445678216887</v>
      </c>
      <c r="G1280" s="1100">
        <v>0.99166307358051797</v>
      </c>
      <c r="H1280" s="1100">
        <v>0.99575056074164647</v>
      </c>
      <c r="I1280" s="1100">
        <v>1.0251394824529734</v>
      </c>
      <c r="K1280">
        <v>2.2428675690763495</v>
      </c>
      <c r="L1280">
        <v>0</v>
      </c>
      <c r="M1280">
        <v>1.4987474135291215E-3</v>
      </c>
      <c r="N1280">
        <v>0.13508622834086828</v>
      </c>
      <c r="O1280">
        <v>1.9105100594340139E-2</v>
      </c>
      <c r="P1280">
        <v>2.6531210791106895E-2</v>
      </c>
      <c r="Q1280">
        <v>5.3125097081266545E-3</v>
      </c>
      <c r="R1280">
        <v>1.4775924703164822E-3</v>
      </c>
      <c r="S1280">
        <v>0.23810537930762171</v>
      </c>
      <c r="T1280">
        <v>1.3900134039031573</v>
      </c>
      <c r="U1280">
        <v>0.13857447237442352</v>
      </c>
      <c r="V1280">
        <v>0.18203983107028154</v>
      </c>
      <c r="W1280">
        <v>8.8895385703100016E-2</v>
      </c>
      <c r="X1280">
        <v>1.5203682610558983E-2</v>
      </c>
      <c r="Y1280">
        <v>4.0215196159745321E-3</v>
      </c>
    </row>
    <row r="1281" spans="1:25" x14ac:dyDescent="0.25">
      <c r="A1281" s="1096"/>
      <c r="B1281" s="1455">
        <v>1031</v>
      </c>
      <c r="C1281" s="1100">
        <v>0.96135609391504095</v>
      </c>
      <c r="D1281" s="1100">
        <v>0.9879714764421238</v>
      </c>
      <c r="E1281" s="1100">
        <v>1.0124915798845269</v>
      </c>
      <c r="F1281" s="1100">
        <v>0.98445578575344406</v>
      </c>
      <c r="G1281" s="1100">
        <v>1.0060108470697808</v>
      </c>
      <c r="H1281" s="1100">
        <v>1.0219631711124098</v>
      </c>
      <c r="I1281" s="1100">
        <v>0.99566805546277937</v>
      </c>
      <c r="K1281">
        <v>2.2367566883714294</v>
      </c>
      <c r="L1281">
        <v>0</v>
      </c>
      <c r="M1281">
        <v>1.6063555623932479E-3</v>
      </c>
      <c r="N1281">
        <v>0.15172714867967349</v>
      </c>
      <c r="O1281">
        <v>2.0609114100798541E-2</v>
      </c>
      <c r="P1281">
        <v>2.6342930914391927E-2</v>
      </c>
      <c r="Q1281">
        <v>5.8198017791030593E-3</v>
      </c>
      <c r="R1281">
        <v>1.5842632887902621E-3</v>
      </c>
      <c r="S1281">
        <v>0.25357874796259522</v>
      </c>
      <c r="T1281">
        <v>1.3229955940900959</v>
      </c>
      <c r="U1281">
        <v>0.14854153805105044</v>
      </c>
      <c r="V1281">
        <v>0.1878020143450673</v>
      </c>
      <c r="W1281">
        <v>9.8940755936001448E-2</v>
      </c>
      <c r="X1281">
        <v>1.610929236641848E-2</v>
      </c>
      <c r="Y1281">
        <v>4.3118424198343025E-3</v>
      </c>
    </row>
    <row r="1282" spans="1:25" x14ac:dyDescent="0.25">
      <c r="A1282" s="1096"/>
      <c r="B1282" s="1455">
        <v>1032</v>
      </c>
      <c r="C1282" s="1100">
        <v>1.0414996611545091</v>
      </c>
      <c r="D1282" s="1100">
        <v>0.97665646567644604</v>
      </c>
      <c r="E1282" s="1100">
        <v>1.0048610889793865</v>
      </c>
      <c r="F1282" s="1100">
        <v>1.0102731012021877</v>
      </c>
      <c r="G1282" s="1100">
        <v>0.9946499642637161</v>
      </c>
      <c r="H1282" s="1100">
        <v>1.0189524101615999</v>
      </c>
      <c r="I1282" s="1100">
        <v>0.98787082696118544</v>
      </c>
      <c r="K1282">
        <v>2.2097270000421974</v>
      </c>
      <c r="L1282">
        <v>0</v>
      </c>
      <c r="M1282">
        <v>1.5058068171751318E-3</v>
      </c>
      <c r="N1282">
        <v>0.13898483298783562</v>
      </c>
      <c r="O1282">
        <v>1.9066901639427029E-2</v>
      </c>
      <c r="P1282">
        <v>2.6152043891670074E-2</v>
      </c>
      <c r="Q1282">
        <v>5.3433532587564394E-3</v>
      </c>
      <c r="R1282">
        <v>1.4850362031719471E-3</v>
      </c>
      <c r="S1282">
        <v>0.2332849258700391</v>
      </c>
      <c r="T1282">
        <v>1.3576773830307587</v>
      </c>
      <c r="U1282">
        <v>0.13709435223184349</v>
      </c>
      <c r="V1282">
        <v>0.18176187258300366</v>
      </c>
      <c r="W1282">
        <v>9.1040680694292594E-2</v>
      </c>
      <c r="X1282">
        <v>1.5299645465592978E-2</v>
      </c>
      <c r="Y1282">
        <v>4.0417790029812313E-3</v>
      </c>
    </row>
    <row r="1283" spans="1:25" x14ac:dyDescent="0.25">
      <c r="A1283" s="1096"/>
      <c r="B1283" s="1455">
        <v>1033</v>
      </c>
      <c r="C1283" s="1100">
        <v>0.95685314255644838</v>
      </c>
      <c r="D1283" s="1100">
        <v>0.99382642689902156</v>
      </c>
      <c r="E1283" s="1100">
        <v>0.99585070606491233</v>
      </c>
      <c r="F1283" s="1100">
        <v>1.0399971328581381</v>
      </c>
      <c r="G1283" s="1100">
        <v>0.9952930227500647</v>
      </c>
      <c r="H1283" s="1100">
        <v>1.0099209915774632</v>
      </c>
      <c r="I1283" s="1100">
        <v>0.99537119083532</v>
      </c>
      <c r="K1283">
        <v>2.3057489533133158</v>
      </c>
      <c r="L1283">
        <v>0</v>
      </c>
      <c r="M1283">
        <v>1.6488039574861692E-3</v>
      </c>
      <c r="N1283">
        <v>0.14807804033418212</v>
      </c>
      <c r="O1283">
        <v>2.0668316065391892E-2</v>
      </c>
      <c r="P1283">
        <v>2.7019860189739928E-2</v>
      </c>
      <c r="Q1283">
        <v>5.739924728009744E-3</v>
      </c>
      <c r="R1283">
        <v>1.6258575025947923E-3</v>
      </c>
      <c r="S1283">
        <v>0.25280923031644886</v>
      </c>
      <c r="T1283">
        <v>1.3976076757152265</v>
      </c>
      <c r="U1283">
        <v>0.14920050858523054</v>
      </c>
      <c r="V1283">
        <v>0.1868655197582007</v>
      </c>
      <c r="W1283">
        <v>9.751779336237916E-2</v>
      </c>
      <c r="X1283">
        <v>1.5839982555115675E-2</v>
      </c>
      <c r="Y1283">
        <v>4.4250481582813377E-3</v>
      </c>
    </row>
    <row r="1284" spans="1:25" x14ac:dyDescent="0.25">
      <c r="A1284" s="1096"/>
      <c r="B1284" s="1455">
        <v>1034</v>
      </c>
      <c r="C1284" s="1100">
        <v>0.99399073356666834</v>
      </c>
      <c r="D1284" s="1100">
        <v>1.0096255441430193</v>
      </c>
      <c r="E1284" s="1100">
        <v>1.0009106012827644</v>
      </c>
      <c r="F1284" s="1100">
        <v>0.98806329905945278</v>
      </c>
      <c r="G1284" s="1100">
        <v>0.96839567399085769</v>
      </c>
      <c r="H1284" s="1100">
        <v>1.0025618720508995</v>
      </c>
      <c r="I1284" s="1100">
        <v>1.0190080146680081</v>
      </c>
      <c r="K1284">
        <v>2.2051011981057909</v>
      </c>
      <c r="L1284">
        <v>0</v>
      </c>
      <c r="M1284">
        <v>1.5537877587398882E-3</v>
      </c>
      <c r="N1284">
        <v>0.14167988732488709</v>
      </c>
      <c r="O1284">
        <v>1.9830358922045682E-2</v>
      </c>
      <c r="P1284">
        <v>2.5936011393178724E-2</v>
      </c>
      <c r="Q1284">
        <v>5.5353173605711117E-3</v>
      </c>
      <c r="R1284">
        <v>1.5320049193988661E-3</v>
      </c>
      <c r="S1284">
        <v>0.246631544674904</v>
      </c>
      <c r="T1284">
        <v>1.327823800823779</v>
      </c>
      <c r="U1284">
        <v>0.14363777971438202</v>
      </c>
      <c r="V1284">
        <v>0.18151336547255806</v>
      </c>
      <c r="W1284">
        <v>9.3023713668288696E-2</v>
      </c>
      <c r="X1284">
        <v>1.5341589225219191E-2</v>
      </c>
      <c r="Y1284">
        <v>4.1696123653177635E-3</v>
      </c>
    </row>
    <row r="1285" spans="1:25" x14ac:dyDescent="0.25">
      <c r="A1285" s="1096"/>
      <c r="B1285" s="1455">
        <v>1035</v>
      </c>
      <c r="C1285" s="1100">
        <v>0.9800393279638534</v>
      </c>
      <c r="D1285" s="1100">
        <v>0.99075805359707991</v>
      </c>
      <c r="E1285" s="1100">
        <v>1.0049142548132541</v>
      </c>
      <c r="F1285" s="1100">
        <v>0.99328560156372214</v>
      </c>
      <c r="G1285" s="1100">
        <v>1.0124011560096895</v>
      </c>
      <c r="H1285" s="1100">
        <v>1.0227768940085558</v>
      </c>
      <c r="I1285" s="1100">
        <v>1.0218848029907726</v>
      </c>
      <c r="K1285">
        <v>2.2396468077874481</v>
      </c>
      <c r="L1285">
        <v>0</v>
      </c>
      <c r="M1285">
        <v>1.6010109129253403E-3</v>
      </c>
      <c r="N1285">
        <v>0.14780355829893271</v>
      </c>
      <c r="O1285">
        <v>2.0198857904591409E-2</v>
      </c>
      <c r="P1285">
        <v>2.6331321588678083E-2</v>
      </c>
      <c r="Q1285">
        <v>5.6608770380512105E-3</v>
      </c>
      <c r="R1285">
        <v>1.5790096626711802E-3</v>
      </c>
      <c r="S1285">
        <v>0.25494335307694438</v>
      </c>
      <c r="T1285">
        <v>1.3348484534716514</v>
      </c>
      <c r="U1285">
        <v>0.14569195318933006</v>
      </c>
      <c r="V1285">
        <v>0.18734079524851158</v>
      </c>
      <c r="W1285">
        <v>9.6814254564168992E-2</v>
      </c>
      <c r="X1285">
        <v>1.5737840875446191E-2</v>
      </c>
      <c r="Y1285">
        <v>4.2975437813955472E-3</v>
      </c>
    </row>
    <row r="1286" spans="1:25" x14ac:dyDescent="0.25">
      <c r="A1286" s="1096"/>
      <c r="B1286" s="1455">
        <v>1036</v>
      </c>
      <c r="C1286" s="1100">
        <v>1.0172801481646709</v>
      </c>
      <c r="D1286" s="1100">
        <v>0.97895306128630644</v>
      </c>
      <c r="E1286" s="1100">
        <v>0.96373750718392348</v>
      </c>
      <c r="F1286" s="1100">
        <v>1.0389409645602026</v>
      </c>
      <c r="G1286" s="1100">
        <v>1.0192814190827193</v>
      </c>
      <c r="H1286" s="1100">
        <v>1.0045384081293889</v>
      </c>
      <c r="I1286" s="1100">
        <v>0.99633800374980719</v>
      </c>
      <c r="K1286">
        <v>2.2561206530641686</v>
      </c>
      <c r="L1286">
        <v>0</v>
      </c>
      <c r="M1286">
        <v>1.6539826176148072E-3</v>
      </c>
      <c r="N1286">
        <v>0.13477875780764467</v>
      </c>
      <c r="O1286">
        <v>1.9485457761682142E-2</v>
      </c>
      <c r="P1286">
        <v>2.603642826455942E-2</v>
      </c>
      <c r="Q1286">
        <v>5.237626604264742E-3</v>
      </c>
      <c r="R1286">
        <v>1.6308407517775902E-3</v>
      </c>
      <c r="S1286">
        <v>0.23915612649299228</v>
      </c>
      <c r="T1286">
        <v>1.3961499969603248</v>
      </c>
      <c r="U1286">
        <v>0.14026547403086523</v>
      </c>
      <c r="V1286">
        <v>0.18586814927281886</v>
      </c>
      <c r="W1286">
        <v>9.0497709789475592E-2</v>
      </c>
      <c r="X1286">
        <v>1.422945702554638E-2</v>
      </c>
      <c r="Y1286">
        <v>4.4386109198292622E-3</v>
      </c>
    </row>
    <row r="1287" spans="1:25" x14ac:dyDescent="0.25">
      <c r="A1287" s="1096"/>
      <c r="B1287" s="1455">
        <v>1037</v>
      </c>
      <c r="C1287" s="1100">
        <v>1.0425723981852884</v>
      </c>
      <c r="D1287" s="1100">
        <v>0.99314605715976645</v>
      </c>
      <c r="E1287" s="1100">
        <v>1.0098576299235733</v>
      </c>
      <c r="F1287" s="1100">
        <v>0.96452789046220178</v>
      </c>
      <c r="G1287" s="1100">
        <v>1.0194612145774995</v>
      </c>
      <c r="H1287" s="1100">
        <v>0.98430377503998157</v>
      </c>
      <c r="I1287" s="1100">
        <v>0.98218193373623186</v>
      </c>
      <c r="K1287">
        <v>2.1353148117448528</v>
      </c>
      <c r="L1287">
        <v>0</v>
      </c>
      <c r="M1287">
        <v>1.4328193414478321E-3</v>
      </c>
      <c r="N1287">
        <v>0.13419246054598402</v>
      </c>
      <c r="O1287">
        <v>1.8980254892613298E-2</v>
      </c>
      <c r="P1287">
        <v>2.5356485134509357E-2</v>
      </c>
      <c r="Q1287">
        <v>5.3457439585593057E-3</v>
      </c>
      <c r="R1287">
        <v>1.4123597827706584E-3</v>
      </c>
      <c r="S1287">
        <v>0.22719130257309389</v>
      </c>
      <c r="T1287">
        <v>1.2962101314963619</v>
      </c>
      <c r="U1287">
        <v>0.13696433782452822</v>
      </c>
      <c r="V1287">
        <v>0.18451202800142197</v>
      </c>
      <c r="W1287">
        <v>8.7642338396588151E-2</v>
      </c>
      <c r="X1287">
        <v>1.5096210735443424E-2</v>
      </c>
      <c r="Y1287">
        <v>3.8439777444244706E-3</v>
      </c>
    </row>
    <row r="1288" spans="1:25" x14ac:dyDescent="0.25">
      <c r="A1288" s="1096"/>
      <c r="B1288" s="1455">
        <v>1038</v>
      </c>
      <c r="C1288" s="1100">
        <v>1.021299614778105</v>
      </c>
      <c r="D1288" s="1100">
        <v>1.009713408665502</v>
      </c>
      <c r="E1288" s="1100">
        <v>0.97010043026911563</v>
      </c>
      <c r="F1288" s="1100">
        <v>0.9934363386589008</v>
      </c>
      <c r="G1288" s="1100">
        <v>1.0122427524598077</v>
      </c>
      <c r="H1288" s="1100">
        <v>0.98356062857926763</v>
      </c>
      <c r="I1288" s="1100">
        <v>0.99805340343311799</v>
      </c>
      <c r="K1288">
        <v>2.1801477960191677</v>
      </c>
      <c r="L1288">
        <v>0</v>
      </c>
      <c r="M1288">
        <v>1.5812295092563233E-3</v>
      </c>
      <c r="N1288">
        <v>0.13131763948177663</v>
      </c>
      <c r="O1288">
        <v>1.9280977591390785E-2</v>
      </c>
      <c r="P1288">
        <v>2.5250599099999417E-2</v>
      </c>
      <c r="Q1288">
        <v>5.2165361655892063E-3</v>
      </c>
      <c r="R1288">
        <v>1.5586337077133487E-3</v>
      </c>
      <c r="S1288">
        <v>0.23337857747763416</v>
      </c>
      <c r="T1288">
        <v>1.3350054194736285</v>
      </c>
      <c r="U1288">
        <v>0.13972770616605149</v>
      </c>
      <c r="V1288">
        <v>0.18484815328437068</v>
      </c>
      <c r="W1288">
        <v>8.7832085819528394E-2</v>
      </c>
      <c r="X1288">
        <v>1.4070610111806891E-2</v>
      </c>
      <c r="Y1288">
        <v>4.2420871489320762E-3</v>
      </c>
    </row>
    <row r="1289" spans="1:25" x14ac:dyDescent="0.25">
      <c r="A1289" s="1096"/>
      <c r="B1289" s="1455">
        <v>1039</v>
      </c>
      <c r="C1289" s="1100">
        <v>0.99715741256479451</v>
      </c>
      <c r="D1289" s="1100">
        <v>0.97832986081794082</v>
      </c>
      <c r="E1289" s="1100">
        <v>1.0056685921523947</v>
      </c>
      <c r="F1289" s="1100">
        <v>1.0229606742491502</v>
      </c>
      <c r="G1289" s="1100">
        <v>1.0279996442651373</v>
      </c>
      <c r="H1289" s="1100">
        <v>0.9968448860450182</v>
      </c>
      <c r="I1289" s="1100">
        <v>0.98737485338075281</v>
      </c>
      <c r="K1289">
        <v>2.2546066894089383</v>
      </c>
      <c r="L1289">
        <v>0</v>
      </c>
      <c r="M1289">
        <v>1.5354891398904388E-3</v>
      </c>
      <c r="N1289">
        <v>0.14202646542186073</v>
      </c>
      <c r="O1289">
        <v>1.9907790862262541E-2</v>
      </c>
      <c r="P1289">
        <v>2.668485880811617E-2</v>
      </c>
      <c r="Q1289">
        <v>5.5835230865331079E-3</v>
      </c>
      <c r="R1289">
        <v>1.5138393771733504E-3</v>
      </c>
      <c r="S1289">
        <v>0.2415713655237694</v>
      </c>
      <c r="T1289">
        <v>1.3747292621598024</v>
      </c>
      <c r="U1289">
        <v>0.14319261958837928</v>
      </c>
      <c r="V1289">
        <v>0.18806540024395332</v>
      </c>
      <c r="W1289">
        <v>9.2988618662482814E-2</v>
      </c>
      <c r="X1289">
        <v>1.5758263066844323E-2</v>
      </c>
      <c r="Y1289">
        <v>4.1201717476492938E-3</v>
      </c>
    </row>
    <row r="1290" spans="1:25" x14ac:dyDescent="0.25">
      <c r="A1290" s="1096"/>
      <c r="B1290" s="1455">
        <v>1040</v>
      </c>
      <c r="C1290" s="1100">
        <v>0.98584050739739781</v>
      </c>
      <c r="D1290" s="1100">
        <v>1.0103212570917079</v>
      </c>
      <c r="E1290" s="1100">
        <v>0.99779990675353303</v>
      </c>
      <c r="F1290" s="1100">
        <v>1.0182157646973971</v>
      </c>
      <c r="G1290" s="1100">
        <v>0.97394707094668775</v>
      </c>
      <c r="H1290" s="1100">
        <v>1.0220608950808781</v>
      </c>
      <c r="I1290" s="1100">
        <v>0.98839959796947396</v>
      </c>
      <c r="K1290">
        <v>2.2509198602542488</v>
      </c>
      <c r="L1290">
        <v>0</v>
      </c>
      <c r="M1290">
        <v>1.6071971884377755E-3</v>
      </c>
      <c r="N1290">
        <v>0.14521842974298632</v>
      </c>
      <c r="O1290">
        <v>1.9989305940972681E-2</v>
      </c>
      <c r="P1290">
        <v>2.6404912291763775E-2</v>
      </c>
      <c r="Q1290">
        <v>5.5622592448984071E-3</v>
      </c>
      <c r="R1290">
        <v>1.5850954533686245E-3</v>
      </c>
      <c r="S1290">
        <v>0.24265774695228137</v>
      </c>
      <c r="T1290">
        <v>1.3683396492629472</v>
      </c>
      <c r="U1290">
        <v>0.14481801049521775</v>
      </c>
      <c r="V1290">
        <v>0.18263149602967452</v>
      </c>
      <c r="W1290">
        <v>9.5523571353998429E-2</v>
      </c>
      <c r="X1290">
        <v>1.5482473377081475E-2</v>
      </c>
      <c r="Y1290">
        <v>4.3141072974936254E-3</v>
      </c>
    </row>
    <row r="1291" spans="1:25" x14ac:dyDescent="0.25">
      <c r="A1291" s="1096"/>
      <c r="B1291" s="1455">
        <v>1041</v>
      </c>
      <c r="C1291" s="1100">
        <v>1.0231483094819729</v>
      </c>
      <c r="D1291" s="1100">
        <v>0.95586784716639139</v>
      </c>
      <c r="E1291" s="1100">
        <v>1.0006536730392988</v>
      </c>
      <c r="F1291" s="1100">
        <v>0.98837404453641642</v>
      </c>
      <c r="G1291" s="1100">
        <v>1.0114119267342407</v>
      </c>
      <c r="H1291" s="1100">
        <v>1.0328518647296372</v>
      </c>
      <c r="I1291" s="1100">
        <v>1.0144967866247268</v>
      </c>
      <c r="K1291">
        <v>2.2082019462714189</v>
      </c>
      <c r="L1291">
        <v>0</v>
      </c>
      <c r="M1291">
        <v>1.5747859208118118E-3</v>
      </c>
      <c r="N1291">
        <v>0.14354299040680665</v>
      </c>
      <c r="O1291">
        <v>1.9498380233373427E-2</v>
      </c>
      <c r="P1291">
        <v>2.5937175021886395E-2</v>
      </c>
      <c r="Q1291">
        <v>5.4412461658796306E-3</v>
      </c>
      <c r="R1291">
        <v>1.5533561531587395E-3</v>
      </c>
      <c r="S1291">
        <v>0.24759698968789395</v>
      </c>
      <c r="T1291">
        <v>1.3282409922243283</v>
      </c>
      <c r="U1291">
        <v>0.13954382673595503</v>
      </c>
      <c r="V1291">
        <v>0.18467466901964935</v>
      </c>
      <c r="W1291">
        <v>9.4261367864660259E-2</v>
      </c>
      <c r="X1291">
        <v>1.5258015293460629E-2</v>
      </c>
      <c r="Y1291">
        <v>4.2277233851798195E-3</v>
      </c>
    </row>
    <row r="1292" spans="1:25" x14ac:dyDescent="0.25">
      <c r="A1292" s="1096"/>
      <c r="B1292" s="1455">
        <v>1042</v>
      </c>
      <c r="C1292" s="1100">
        <v>1.0060402618013202</v>
      </c>
      <c r="D1292" s="1100">
        <v>1.0245356424988277</v>
      </c>
      <c r="E1292" s="1100">
        <v>0.9582906727735242</v>
      </c>
      <c r="F1292" s="1100">
        <v>0.99022089057566032</v>
      </c>
      <c r="G1292" s="1100">
        <v>1.0328645901585367</v>
      </c>
      <c r="H1292" s="1100">
        <v>0.99030135878257086</v>
      </c>
      <c r="I1292" s="1100">
        <v>1.0454547880252623</v>
      </c>
      <c r="K1292">
        <v>2.1969338314461302</v>
      </c>
      <c r="L1292">
        <v>0</v>
      </c>
      <c r="M1292">
        <v>1.6507641643487474E-3</v>
      </c>
      <c r="N1292">
        <v>0.13228775118288963</v>
      </c>
      <c r="O1292">
        <v>1.9503522416992519E-2</v>
      </c>
      <c r="P1292">
        <v>2.5212733393015337E-2</v>
      </c>
      <c r="Q1292">
        <v>5.2132320335222925E-3</v>
      </c>
      <c r="R1292">
        <v>1.6273352786089245E-3</v>
      </c>
      <c r="S1292">
        <v>0.2468419937355385</v>
      </c>
      <c r="T1292">
        <v>1.3306750193094727</v>
      </c>
      <c r="U1292">
        <v>0.14182019125886727</v>
      </c>
      <c r="V1292">
        <v>0.18805050681003896</v>
      </c>
      <c r="W1292">
        <v>8.9122187009611026E-2</v>
      </c>
      <c r="X1292">
        <v>1.380105300447477E-2</v>
      </c>
      <c r="Y1292">
        <v>4.4290701774430735E-3</v>
      </c>
    </row>
    <row r="1293" spans="1:25" x14ac:dyDescent="0.25">
      <c r="A1293" s="1096"/>
      <c r="B1293" s="1455">
        <v>1043</v>
      </c>
      <c r="C1293" s="1100">
        <v>1.0268967104102544</v>
      </c>
      <c r="D1293" s="1100">
        <v>1.015207892839896</v>
      </c>
      <c r="E1293" s="1100">
        <v>0.99991586073147343</v>
      </c>
      <c r="F1293" s="1100">
        <v>0.99622987625522808</v>
      </c>
      <c r="G1293" s="1100">
        <v>0.98818354903475358</v>
      </c>
      <c r="H1293" s="1100">
        <v>0.97960373137674306</v>
      </c>
      <c r="I1293" s="1100">
        <v>1.0225131158592797</v>
      </c>
      <c r="K1293">
        <v>2.187587581084935</v>
      </c>
      <c r="L1293">
        <v>0</v>
      </c>
      <c r="M1293">
        <v>1.470807616919891E-3</v>
      </c>
      <c r="N1293">
        <v>0.13366646969657872</v>
      </c>
      <c r="O1293">
        <v>1.9171039431998625E-2</v>
      </c>
      <c r="P1293">
        <v>2.5877443292008494E-2</v>
      </c>
      <c r="Q1293">
        <v>5.3459324004401362E-3</v>
      </c>
      <c r="R1293">
        <v>1.449704849305262E-3</v>
      </c>
      <c r="S1293">
        <v>0.23706089456727938</v>
      </c>
      <c r="T1293">
        <v>1.3387969924148035</v>
      </c>
      <c r="U1293">
        <v>0.13903280653515829</v>
      </c>
      <c r="V1293">
        <v>0.1818367462744776</v>
      </c>
      <c r="W1293">
        <v>8.7814175489824564E-2</v>
      </c>
      <c r="X1293">
        <v>1.5060565045244396E-2</v>
      </c>
      <c r="Y1293">
        <v>3.9456187047337858E-3</v>
      </c>
    </row>
    <row r="1294" spans="1:25" x14ac:dyDescent="0.25">
      <c r="A1294" s="1096"/>
      <c r="B1294" s="1455">
        <v>1044</v>
      </c>
      <c r="C1294" s="1100">
        <v>0.97337306592370521</v>
      </c>
      <c r="D1294" s="1100">
        <v>0.99305364399132179</v>
      </c>
      <c r="E1294" s="1100">
        <v>1.0226206919631056</v>
      </c>
      <c r="F1294" s="1100">
        <v>1.0013604741042565</v>
      </c>
      <c r="G1294" s="1100">
        <v>0.9989230672040853</v>
      </c>
      <c r="H1294" s="1100">
        <v>1.0010908741247937</v>
      </c>
      <c r="I1294" s="1100">
        <v>1.002486596696726</v>
      </c>
      <c r="K1294">
        <v>2.2458931758929928</v>
      </c>
      <c r="L1294">
        <v>0</v>
      </c>
      <c r="M1294">
        <v>1.5200055863853999E-3</v>
      </c>
      <c r="N1294">
        <v>0.14798366423922885</v>
      </c>
      <c r="O1294">
        <v>2.0338244933281978E-2</v>
      </c>
      <c r="P1294">
        <v>2.6756863906881603E-2</v>
      </c>
      <c r="Q1294">
        <v>5.801516029397949E-3</v>
      </c>
      <c r="R1294">
        <v>1.4986650339047002E-3</v>
      </c>
      <c r="S1294">
        <v>0.24987413588616425</v>
      </c>
      <c r="T1294">
        <v>1.3457335420489644</v>
      </c>
      <c r="U1294">
        <v>0.14673171152016304</v>
      </c>
      <c r="V1294">
        <v>0.18624834645661367</v>
      </c>
      <c r="W1294">
        <v>9.5928374565880381E-2</v>
      </c>
      <c r="X1294">
        <v>1.6439244671403754E-2</v>
      </c>
      <c r="Y1294">
        <v>4.0788721874929421E-3</v>
      </c>
    </row>
    <row r="1295" spans="1:25" x14ac:dyDescent="0.25">
      <c r="A1295" s="1096"/>
      <c r="B1295" s="1455">
        <v>1045</v>
      </c>
      <c r="C1295" s="1100">
        <v>0.97773635934973679</v>
      </c>
      <c r="D1295" s="1100">
        <v>1.0270707848717031</v>
      </c>
      <c r="E1295" s="1100">
        <v>0.9874067840007088</v>
      </c>
      <c r="F1295" s="1100">
        <v>1.004703860783835</v>
      </c>
      <c r="G1295" s="1100">
        <v>0.99871743702128468</v>
      </c>
      <c r="H1295" s="1100">
        <v>1.0468454020231641</v>
      </c>
      <c r="I1295" s="1100">
        <v>1.013378156675776</v>
      </c>
      <c r="K1295">
        <v>2.2502092009423897</v>
      </c>
      <c r="L1295">
        <v>0</v>
      </c>
      <c r="M1295">
        <v>1.6898213002457276E-3</v>
      </c>
      <c r="N1295">
        <v>0.14801049013091369</v>
      </c>
      <c r="O1295">
        <v>2.007562156140056E-2</v>
      </c>
      <c r="P1295">
        <v>2.612438432923345E-2</v>
      </c>
      <c r="Q1295">
        <v>5.5279845291895061E-3</v>
      </c>
      <c r="R1295">
        <v>1.6671335095418487E-3</v>
      </c>
      <c r="S1295">
        <v>0.25078573739577431</v>
      </c>
      <c r="T1295">
        <v>1.3501665974360681</v>
      </c>
      <c r="U1295">
        <v>0.14599391682290924</v>
      </c>
      <c r="V1295">
        <v>0.18592098098267779</v>
      </c>
      <c r="W1295">
        <v>9.7966981260907512E-2</v>
      </c>
      <c r="X1295">
        <v>1.5121806441460941E-2</v>
      </c>
      <c r="Y1295">
        <v>4.5373878425591912E-3</v>
      </c>
    </row>
    <row r="1296" spans="1:25" x14ac:dyDescent="0.25">
      <c r="A1296" s="1096"/>
      <c r="B1296" s="1455">
        <v>1046</v>
      </c>
      <c r="C1296" s="1100">
        <v>0.99112676651183806</v>
      </c>
      <c r="D1296" s="1100">
        <v>1.0094534376550739</v>
      </c>
      <c r="E1296" s="1100">
        <v>0.95902697343527865</v>
      </c>
      <c r="F1296" s="1100">
        <v>1.0131627720993026</v>
      </c>
      <c r="G1296" s="1100">
        <v>1.0319035553923703</v>
      </c>
      <c r="H1296" s="1100">
        <v>0.9836896922560191</v>
      </c>
      <c r="I1296" s="1100">
        <v>0.99306192396411908</v>
      </c>
      <c r="K1296">
        <v>2.2268332546193585</v>
      </c>
      <c r="L1296">
        <v>0</v>
      </c>
      <c r="M1296">
        <v>1.6673238853110789E-3</v>
      </c>
      <c r="N1296">
        <v>0.13390031114350665</v>
      </c>
      <c r="O1296">
        <v>1.9862149166090626E-2</v>
      </c>
      <c r="P1296">
        <v>2.5572790089109981E-2</v>
      </c>
      <c r="Q1296">
        <v>5.3131141764595656E-3</v>
      </c>
      <c r="R1296">
        <v>1.6435009194700025E-3</v>
      </c>
      <c r="S1296">
        <v>0.23923828307903558</v>
      </c>
      <c r="T1296">
        <v>1.3615052019137508</v>
      </c>
      <c r="U1296">
        <v>0.143955859928146</v>
      </c>
      <c r="V1296">
        <v>0.18882915099037439</v>
      </c>
      <c r="W1296">
        <v>9.0167785042791909E-2</v>
      </c>
      <c r="X1296">
        <v>1.4039364333067897E-2</v>
      </c>
      <c r="Y1296">
        <v>4.4730677228648503E-3</v>
      </c>
    </row>
    <row r="1297" spans="1:25" x14ac:dyDescent="0.25">
      <c r="A1297" s="1096"/>
      <c r="B1297" s="1455">
        <v>1047</v>
      </c>
      <c r="C1297" s="1100">
        <v>1.0167128106866952</v>
      </c>
      <c r="D1297" s="1100">
        <v>1.0141082279661791</v>
      </c>
      <c r="E1297" s="1100">
        <v>1.0421094841842975</v>
      </c>
      <c r="F1297" s="1100">
        <v>1.0307413731155228</v>
      </c>
      <c r="G1297" s="1100">
        <v>1.0379592361116468</v>
      </c>
      <c r="H1297" s="1100">
        <v>0.96128347011158066</v>
      </c>
      <c r="I1297" s="1100">
        <v>0.99274157625030202</v>
      </c>
      <c r="K1297">
        <v>2.2442523151673717</v>
      </c>
      <c r="L1297">
        <v>0</v>
      </c>
      <c r="M1297">
        <v>1.3355392155993931E-3</v>
      </c>
      <c r="N1297">
        <v>0.13780964666838763</v>
      </c>
      <c r="O1297">
        <v>1.9393609629542688E-2</v>
      </c>
      <c r="P1297">
        <v>2.7372852284387142E-2</v>
      </c>
      <c r="Q1297">
        <v>5.6395450105300197E-3</v>
      </c>
      <c r="R1297">
        <v>1.3160120527884872E-3</v>
      </c>
      <c r="S1297">
        <v>0.23147005074541349</v>
      </c>
      <c r="T1297">
        <v>1.3852645948127387</v>
      </c>
      <c r="U1297">
        <v>0.14052127774590045</v>
      </c>
      <c r="V1297">
        <v>0.18807937640944228</v>
      </c>
      <c r="W1297">
        <v>8.8330136468916409E-2</v>
      </c>
      <c r="X1297">
        <v>1.6809001570487016E-2</v>
      </c>
      <c r="Y1297">
        <v>3.5817509844336525E-3</v>
      </c>
    </row>
    <row r="1298" spans="1:25" x14ac:dyDescent="0.25">
      <c r="A1298" s="1096"/>
      <c r="B1298" s="1455">
        <v>1048</v>
      </c>
      <c r="C1298" s="1100">
        <v>1.0107810887027855</v>
      </c>
      <c r="D1298" s="1100">
        <v>0.9849770311850079</v>
      </c>
      <c r="E1298" s="1100">
        <v>0.98951411849743531</v>
      </c>
      <c r="F1298" s="1100">
        <v>0.99857810495404442</v>
      </c>
      <c r="G1298" s="1100">
        <v>1.0270671293670575</v>
      </c>
      <c r="H1298" s="1100">
        <v>1.01948233740765</v>
      </c>
      <c r="I1298" s="1100">
        <v>0.99369441460791585</v>
      </c>
      <c r="K1298">
        <v>2.2152110706389303</v>
      </c>
      <c r="L1298">
        <v>0</v>
      </c>
      <c r="M1298">
        <v>1.5995799289764308E-3</v>
      </c>
      <c r="N1298">
        <v>0.14095042018364007</v>
      </c>
      <c r="O1298">
        <v>1.9600217892397211E-2</v>
      </c>
      <c r="P1298">
        <v>2.5869842802308991E-2</v>
      </c>
      <c r="Q1298">
        <v>5.4085962816388562E-3</v>
      </c>
      <c r="R1298">
        <v>1.577527307807722E-3</v>
      </c>
      <c r="S1298">
        <v>0.2406945143871394</v>
      </c>
      <c r="T1298">
        <v>1.3419373496505391</v>
      </c>
      <c r="U1298">
        <v>0.14122583531356128</v>
      </c>
      <c r="V1298">
        <v>0.18714419918039416</v>
      </c>
      <c r="W1298">
        <v>9.3176130996871429E-2</v>
      </c>
      <c r="X1298">
        <v>1.4932507271489544E-2</v>
      </c>
      <c r="Y1298">
        <v>4.2935093001153632E-3</v>
      </c>
    </row>
    <row r="1299" spans="1:25" x14ac:dyDescent="0.25">
      <c r="A1299" s="1096"/>
      <c r="B1299" s="1455">
        <v>1049</v>
      </c>
      <c r="C1299" s="1100">
        <v>0.97166583254230099</v>
      </c>
      <c r="D1299" s="1100">
        <v>1.0155610612549575</v>
      </c>
      <c r="E1299" s="1100">
        <v>0.97569314998141143</v>
      </c>
      <c r="F1299" s="1100">
        <v>0.98808103903806344</v>
      </c>
      <c r="G1299" s="1100">
        <v>0.98890920853172759</v>
      </c>
      <c r="H1299" s="1100">
        <v>1.0070782669569076</v>
      </c>
      <c r="I1299" s="1100">
        <v>1.0022008247523282</v>
      </c>
      <c r="K1299">
        <v>2.214442692237987</v>
      </c>
      <c r="L1299">
        <v>0</v>
      </c>
      <c r="M1299">
        <v>1.6800600294169092E-3</v>
      </c>
      <c r="N1299">
        <v>0.14195568454230983</v>
      </c>
      <c r="O1299">
        <v>2.0243709065525976E-2</v>
      </c>
      <c r="P1299">
        <v>2.5553127819152158E-2</v>
      </c>
      <c r="Q1299">
        <v>5.5083529908873195E-3</v>
      </c>
      <c r="R1299">
        <v>1.6566125829712037E-3</v>
      </c>
      <c r="S1299">
        <v>0.2475899972308524</v>
      </c>
      <c r="T1299">
        <v>1.327814340597175</v>
      </c>
      <c r="U1299">
        <v>0.14687834779849437</v>
      </c>
      <c r="V1299">
        <v>0.18518095625980652</v>
      </c>
      <c r="W1299">
        <v>9.4625461443044165E-2</v>
      </c>
      <c r="X1299">
        <v>1.4607408588527404E-2</v>
      </c>
      <c r="Y1299">
        <v>4.5087533486564083E-3</v>
      </c>
    </row>
    <row r="1300" spans="1:25" x14ac:dyDescent="0.25">
      <c r="A1300" s="1096"/>
      <c r="B1300" s="1455">
        <v>1050</v>
      </c>
      <c r="C1300" s="1100">
        <v>0.96715850626957711</v>
      </c>
      <c r="D1300" s="1100">
        <v>0.99796695434310623</v>
      </c>
      <c r="E1300" s="1100">
        <v>1.0130618370402547</v>
      </c>
      <c r="F1300" s="1100">
        <v>1.0050754671079809</v>
      </c>
      <c r="G1300" s="1100">
        <v>1.015887568077851</v>
      </c>
      <c r="H1300" s="1100">
        <v>0.99907566931579272</v>
      </c>
      <c r="I1300" s="1100">
        <v>0.998934475481844</v>
      </c>
      <c r="K1300">
        <v>2.2529074128388609</v>
      </c>
      <c r="L1300">
        <v>0</v>
      </c>
      <c r="M1300">
        <v>1.5556608722079824E-3</v>
      </c>
      <c r="N1300">
        <v>0.14714493382526542</v>
      </c>
      <c r="O1300">
        <v>2.0440523301874614E-2</v>
      </c>
      <c r="P1300">
        <v>2.6680730094794675E-2</v>
      </c>
      <c r="Q1300">
        <v>5.7754798156670114E-3</v>
      </c>
      <c r="R1300">
        <v>1.5337756720582862E-3</v>
      </c>
      <c r="S1300">
        <v>0.24972938925287869</v>
      </c>
      <c r="T1300">
        <v>1.3507071500909278</v>
      </c>
      <c r="U1300">
        <v>0.1476517317248775</v>
      </c>
      <c r="V1300">
        <v>0.18854864499941199</v>
      </c>
      <c r="W1300">
        <v>9.5920519425205603E-2</v>
      </c>
      <c r="X1300">
        <v>1.6155763737780129E-2</v>
      </c>
      <c r="Y1300">
        <v>4.1744317703282493E-3</v>
      </c>
    </row>
    <row r="1301" spans="1:25" x14ac:dyDescent="0.25">
      <c r="A1301" s="1096"/>
      <c r="B1301" s="1455">
        <v>1051</v>
      </c>
      <c r="C1301" s="1100">
        <v>1.0057729714728489</v>
      </c>
      <c r="D1301" s="1100">
        <v>0.96461882162764334</v>
      </c>
      <c r="E1301" s="1100">
        <v>0.9927050398978533</v>
      </c>
      <c r="F1301" s="1100">
        <v>0.98983538350680522</v>
      </c>
      <c r="G1301" s="1100">
        <v>0.9874841356179016</v>
      </c>
      <c r="H1301" s="1100">
        <v>0.95516378098653287</v>
      </c>
      <c r="I1301" s="1100">
        <v>0.98223573254913343</v>
      </c>
      <c r="K1301">
        <v>2.1833295370284955</v>
      </c>
      <c r="L1301">
        <v>0</v>
      </c>
      <c r="M1301">
        <v>1.5030939658787132E-3</v>
      </c>
      <c r="N1301">
        <v>0.13360634642038244</v>
      </c>
      <c r="O1301">
        <v>1.9790524560355526E-2</v>
      </c>
      <c r="P1301">
        <v>2.5669496710058068E-2</v>
      </c>
      <c r="Q1301">
        <v>5.4787417288578999E-3</v>
      </c>
      <c r="R1301">
        <v>1.480976148787955E-3</v>
      </c>
      <c r="S1301">
        <v>0.23656639982392746</v>
      </c>
      <c r="T1301">
        <v>1.3301928762195425</v>
      </c>
      <c r="U1301">
        <v>0.14193634526011958</v>
      </c>
      <c r="V1301">
        <v>0.18296472185384771</v>
      </c>
      <c r="W1301">
        <v>8.8152764395696234E-2</v>
      </c>
      <c r="X1301">
        <v>1.4962708999455088E-2</v>
      </c>
      <c r="Y1301">
        <v>4.0307288733445728E-3</v>
      </c>
    </row>
    <row r="1302" spans="1:25" x14ac:dyDescent="0.25">
      <c r="A1302" s="1096"/>
      <c r="B1302" s="1455">
        <v>1052</v>
      </c>
      <c r="C1302" s="1100">
        <v>0.99002462208684527</v>
      </c>
      <c r="D1302" s="1100">
        <v>0.99102476431489728</v>
      </c>
      <c r="E1302" s="1100">
        <v>0.97177569540136866</v>
      </c>
      <c r="F1302" s="1100">
        <v>1.0160090757428608</v>
      </c>
      <c r="G1302" s="1100">
        <v>1.003118381182049</v>
      </c>
      <c r="H1302" s="1100">
        <v>1.0357907167618046</v>
      </c>
      <c r="I1302" s="1100">
        <v>1.0441592478177506</v>
      </c>
      <c r="K1302">
        <v>2.2640186237702058</v>
      </c>
      <c r="L1302">
        <v>0</v>
      </c>
      <c r="M1302">
        <v>1.7189201875012061E-3</v>
      </c>
      <c r="N1302">
        <v>0.14358333813805363</v>
      </c>
      <c r="O1302">
        <v>1.9973038520875269E-2</v>
      </c>
      <c r="P1302">
        <v>2.6095801140081112E-2</v>
      </c>
      <c r="Q1302">
        <v>5.4130313688921404E-3</v>
      </c>
      <c r="R1302">
        <v>1.6955954011379371E-3</v>
      </c>
      <c r="S1302">
        <v>0.25866994535105042</v>
      </c>
      <c r="T1302">
        <v>1.3653408703161063</v>
      </c>
      <c r="U1302">
        <v>0.14414559806593927</v>
      </c>
      <c r="V1302">
        <v>0.18565217796344483</v>
      </c>
      <c r="W1302">
        <v>9.5938227055452532E-2</v>
      </c>
      <c r="X1302">
        <v>1.4615068907648795E-2</v>
      </c>
      <c r="Y1302">
        <v>4.6148517290237013E-3</v>
      </c>
    </row>
    <row r="1303" spans="1:25" x14ac:dyDescent="0.25">
      <c r="A1303" s="1096"/>
      <c r="B1303" s="1455">
        <v>1053</v>
      </c>
      <c r="C1303" s="1100">
        <v>1.0257962230626385</v>
      </c>
      <c r="D1303" s="1100">
        <v>1.030470138180374</v>
      </c>
      <c r="E1303" s="1100">
        <v>0.99434859034592971</v>
      </c>
      <c r="F1303" s="1100">
        <v>0.9865005904881734</v>
      </c>
      <c r="G1303" s="1100">
        <v>1.0001512753351767</v>
      </c>
      <c r="H1303" s="1100">
        <v>0.99295776453013485</v>
      </c>
      <c r="I1303" s="1100">
        <v>0.96562963248077471</v>
      </c>
      <c r="K1303">
        <v>2.1633301499301614</v>
      </c>
      <c r="L1303">
        <v>0</v>
      </c>
      <c r="M1303">
        <v>1.504836379919312E-3</v>
      </c>
      <c r="N1303">
        <v>0.13450380281727653</v>
      </c>
      <c r="O1303">
        <v>1.9125341396786313E-2</v>
      </c>
      <c r="P1303">
        <v>2.542781814028925E-2</v>
      </c>
      <c r="Q1303">
        <v>5.3033803826278252E-3</v>
      </c>
      <c r="R1303">
        <v>1.483535748250196E-3</v>
      </c>
      <c r="S1303">
        <v>0.22341642902589898</v>
      </c>
      <c r="T1303">
        <v>1.3257137587486356</v>
      </c>
      <c r="U1303">
        <v>0.1391694730657525</v>
      </c>
      <c r="V1303">
        <v>0.18324677388267271</v>
      </c>
      <c r="W1303">
        <v>8.8657810462458769E-2</v>
      </c>
      <c r="X1303">
        <v>1.4749167380123062E-2</v>
      </c>
      <c r="Y1303">
        <v>4.0376952593090569E-3</v>
      </c>
    </row>
    <row r="1304" spans="1:25" x14ac:dyDescent="0.25">
      <c r="A1304" s="1096"/>
      <c r="B1304" s="1455">
        <v>1054</v>
      </c>
      <c r="C1304" s="1100">
        <v>0.97271448200169719</v>
      </c>
      <c r="D1304" s="1100">
        <v>1.0318181998626239</v>
      </c>
      <c r="E1304" s="1100">
        <v>1.0049163023132994</v>
      </c>
      <c r="F1304" s="1100">
        <v>0.96791068068422348</v>
      </c>
      <c r="G1304" s="1100">
        <v>0.99528087666598652</v>
      </c>
      <c r="H1304" s="1100">
        <v>1.0138913706186083</v>
      </c>
      <c r="I1304" s="1100">
        <v>1.0187874243365556</v>
      </c>
      <c r="K1304">
        <v>2.1971425467329775</v>
      </c>
      <c r="L1304">
        <v>0</v>
      </c>
      <c r="M1304">
        <v>1.584824808431719E-3</v>
      </c>
      <c r="N1304">
        <v>0.14629231369817677</v>
      </c>
      <c r="O1304">
        <v>2.0169964702170116E-2</v>
      </c>
      <c r="P1304">
        <v>2.5794848751178306E-2</v>
      </c>
      <c r="Q1304">
        <v>5.6527911100777151E-3</v>
      </c>
      <c r="R1304">
        <v>1.5628551243924763E-3</v>
      </c>
      <c r="S1304">
        <v>0.25024592549824776</v>
      </c>
      <c r="T1304">
        <v>1.3007478176666325</v>
      </c>
      <c r="U1304">
        <v>0.14678906426599764</v>
      </c>
      <c r="V1304">
        <v>0.18586147368343742</v>
      </c>
      <c r="W1304">
        <v>9.5824243295668327E-2</v>
      </c>
      <c r="X1304">
        <v>1.5532497291887543E-2</v>
      </c>
      <c r="Y1304">
        <v>4.2535764535430254E-3</v>
      </c>
    </row>
    <row r="1305" spans="1:25" x14ac:dyDescent="0.25">
      <c r="A1305" s="1096"/>
      <c r="B1305" s="1455">
        <v>1055</v>
      </c>
      <c r="C1305" s="1100">
        <v>0.99986074711457562</v>
      </c>
      <c r="D1305" s="1100">
        <v>1.0123359171127624</v>
      </c>
      <c r="E1305" s="1100">
        <v>1.0276628808586343</v>
      </c>
      <c r="F1305" s="1100">
        <v>1.0187479962186703</v>
      </c>
      <c r="G1305" s="1100">
        <v>0.97885112324356349</v>
      </c>
      <c r="H1305" s="1100">
        <v>1.004209897575882</v>
      </c>
      <c r="I1305" s="1100">
        <v>1.0130449017700531</v>
      </c>
      <c r="K1305">
        <v>2.2488602613505981</v>
      </c>
      <c r="L1305">
        <v>0</v>
      </c>
      <c r="M1305">
        <v>1.4626446071422234E-3</v>
      </c>
      <c r="N1305">
        <v>0.14458733788209288</v>
      </c>
      <c r="O1305">
        <v>1.9719019435505143E-2</v>
      </c>
      <c r="P1305">
        <v>2.6987819900330955E-2</v>
      </c>
      <c r="Q1305">
        <v>5.6530673880054259E-3</v>
      </c>
      <c r="R1305">
        <v>1.4421731718189984E-3</v>
      </c>
      <c r="S1305">
        <v>0.24376419248784406</v>
      </c>
      <c r="T1305">
        <v>1.3691116773039205</v>
      </c>
      <c r="U1305">
        <v>0.14285624204178932</v>
      </c>
      <c r="V1305">
        <v>0.18236912727264049</v>
      </c>
      <c r="W1305">
        <v>9.3451782551182222E-2</v>
      </c>
      <c r="X1305">
        <v>1.6455346561176198E-2</v>
      </c>
      <c r="Y1305">
        <v>3.9251199614329935E-3</v>
      </c>
    </row>
    <row r="1306" spans="1:25" x14ac:dyDescent="0.25">
      <c r="A1306" s="1096"/>
      <c r="B1306" s="1455">
        <v>1056</v>
      </c>
      <c r="C1306" s="1100">
        <v>0.95527902393597142</v>
      </c>
      <c r="D1306" s="1100">
        <v>1.0128157499020602</v>
      </c>
      <c r="E1306" s="1100">
        <v>1.0321680911170397</v>
      </c>
      <c r="F1306" s="1100">
        <v>1.0235138029036306</v>
      </c>
      <c r="G1306" s="1100">
        <v>0.99019892324647529</v>
      </c>
      <c r="H1306" s="1100">
        <v>0.98725436187024396</v>
      </c>
      <c r="I1306" s="1100">
        <v>0.99285140621132228</v>
      </c>
      <c r="K1306">
        <v>2.2807204342549294</v>
      </c>
      <c r="L1306">
        <v>0</v>
      </c>
      <c r="M1306">
        <v>1.4908375820659899E-3</v>
      </c>
      <c r="N1306">
        <v>0.14935308724962729</v>
      </c>
      <c r="O1306">
        <v>2.0640081819205115E-2</v>
      </c>
      <c r="P1306">
        <v>2.7383735303660135E-2</v>
      </c>
      <c r="Q1306">
        <v>5.9435349427428069E-3</v>
      </c>
      <c r="R1306">
        <v>1.4696131905676524E-3</v>
      </c>
      <c r="S1306">
        <v>0.24862178224762127</v>
      </c>
      <c r="T1306">
        <v>1.3755268215373206</v>
      </c>
      <c r="U1306">
        <v>0.14953407802166963</v>
      </c>
      <c r="V1306">
        <v>0.18642636079418559</v>
      </c>
      <c r="W1306">
        <v>9.6279916431352502E-2</v>
      </c>
      <c r="X1306">
        <v>1.7032457652172091E-2</v>
      </c>
      <c r="Y1306">
        <v>3.9998026468670801E-3</v>
      </c>
    </row>
    <row r="1307" spans="1:25" x14ac:dyDescent="0.25">
      <c r="A1307" s="1096"/>
      <c r="B1307" s="1455">
        <v>1057</v>
      </c>
      <c r="C1307" s="1100">
        <v>1.0079500221318687</v>
      </c>
      <c r="D1307" s="1100">
        <v>0.95603516492227181</v>
      </c>
      <c r="E1307" s="1100">
        <v>0.99282861373575659</v>
      </c>
      <c r="F1307" s="1100">
        <v>0.96032157934273643</v>
      </c>
      <c r="G1307" s="1100">
        <v>1.0096232142250554</v>
      </c>
      <c r="H1307" s="1100">
        <v>1.0210823767461747</v>
      </c>
      <c r="I1307" s="1100">
        <v>0.99632077838969668</v>
      </c>
      <c r="K1307">
        <v>2.1702967239892113</v>
      </c>
      <c r="L1307">
        <v>0</v>
      </c>
      <c r="M1307">
        <v>1.606100956645412E-3</v>
      </c>
      <c r="N1307">
        <v>0.14295341830782274</v>
      </c>
      <c r="O1307">
        <v>1.9786727525140609E-2</v>
      </c>
      <c r="P1307">
        <v>2.528713288286934E-2</v>
      </c>
      <c r="Q1307">
        <v>5.4783737501523195E-3</v>
      </c>
      <c r="R1307">
        <v>1.583993130682561E-3</v>
      </c>
      <c r="S1307">
        <v>0.24580342749514683</v>
      </c>
      <c r="T1307">
        <v>1.2905308433288383</v>
      </c>
      <c r="U1307">
        <v>0.14163006178723872</v>
      </c>
      <c r="V1307">
        <v>0.18534000608239695</v>
      </c>
      <c r="W1307">
        <v>9.4312946428496788E-2</v>
      </c>
      <c r="X1307">
        <v>1.4884787088548318E-2</v>
      </c>
      <c r="Y1307">
        <v>4.3111071385227347E-3</v>
      </c>
    </row>
    <row r="1308" spans="1:25" x14ac:dyDescent="0.25">
      <c r="A1308" s="1096"/>
      <c r="B1308" s="1455">
        <v>1058</v>
      </c>
      <c r="C1308" s="1100">
        <v>1.0421180861499488</v>
      </c>
      <c r="D1308" s="1100">
        <v>0.98747102631232508</v>
      </c>
      <c r="E1308" s="1100">
        <v>1.0024195777527487</v>
      </c>
      <c r="F1308" s="1100">
        <v>0.96512809040837166</v>
      </c>
      <c r="G1308" s="1100">
        <v>1.0210803676611828</v>
      </c>
      <c r="H1308" s="1100">
        <v>1.004792919787747</v>
      </c>
      <c r="I1308" s="1100">
        <v>1.005430471417937</v>
      </c>
      <c r="K1308">
        <v>2.147853435744111</v>
      </c>
      <c r="L1308">
        <v>0</v>
      </c>
      <c r="M1308">
        <v>1.4879305678990515E-3</v>
      </c>
      <c r="N1308">
        <v>0.13629896740211361</v>
      </c>
      <c r="O1308">
        <v>1.9008008613502068E-2</v>
      </c>
      <c r="P1308">
        <v>2.5336262730953605E-2</v>
      </c>
      <c r="Q1308">
        <v>5.3138182813304465E-3</v>
      </c>
      <c r="R1308">
        <v>1.4671173094707437E-3</v>
      </c>
      <c r="S1308">
        <v>0.23487358089672367</v>
      </c>
      <c r="T1308">
        <v>1.2970043452217617</v>
      </c>
      <c r="U1308">
        <v>0.13700759920592978</v>
      </c>
      <c r="V1308">
        <v>0.18471356911926912</v>
      </c>
      <c r="W1308">
        <v>8.9410608268754313E-2</v>
      </c>
      <c r="X1308">
        <v>1.491447958091136E-2</v>
      </c>
      <c r="Y1308">
        <v>3.9930096812882772E-3</v>
      </c>
    </row>
    <row r="1309" spans="1:25" x14ac:dyDescent="0.25">
      <c r="A1309" s="1096"/>
      <c r="B1309" s="1455">
        <v>1059</v>
      </c>
      <c r="C1309" s="1100">
        <v>0.99425402049444167</v>
      </c>
      <c r="D1309" s="1100">
        <v>1.0320601646317702</v>
      </c>
      <c r="E1309" s="1100">
        <v>0.98799889079520709</v>
      </c>
      <c r="F1309" s="1100">
        <v>1.0125691313242628</v>
      </c>
      <c r="G1309" s="1100">
        <v>0.99551039845843436</v>
      </c>
      <c r="H1309" s="1100">
        <v>0.96899644508066762</v>
      </c>
      <c r="I1309" s="1100">
        <v>1.0286385150586848</v>
      </c>
      <c r="K1309">
        <v>2.2260654949442458</v>
      </c>
      <c r="L1309">
        <v>0</v>
      </c>
      <c r="M1309">
        <v>1.5346502834752385E-3</v>
      </c>
      <c r="N1309">
        <v>0.13451281343785684</v>
      </c>
      <c r="O1309">
        <v>1.9721434848655628E-2</v>
      </c>
      <c r="P1309">
        <v>2.6126899689582515E-2</v>
      </c>
      <c r="Q1309">
        <v>5.4337115053670676E-3</v>
      </c>
      <c r="R1309">
        <v>1.5123904855716282E-3</v>
      </c>
      <c r="S1309">
        <v>0.24333624394912384</v>
      </c>
      <c r="T1309">
        <v>1.360737098239748</v>
      </c>
      <c r="U1309">
        <v>0.14356987080639874</v>
      </c>
      <c r="V1309">
        <v>0.18455117666716356</v>
      </c>
      <c r="W1309">
        <v>8.9001342498023994E-2</v>
      </c>
      <c r="X1309">
        <v>1.4980934757890686E-2</v>
      </c>
      <c r="Y1309">
        <v>4.1162283423363949E-3</v>
      </c>
    </row>
    <row r="1310" spans="1:25" x14ac:dyDescent="0.25">
      <c r="A1310" s="1096"/>
      <c r="B1310" s="1455">
        <v>1060</v>
      </c>
      <c r="C1310" s="1100">
        <v>1.0093156534024177</v>
      </c>
      <c r="D1310" s="1100">
        <v>0.97747723824530874</v>
      </c>
      <c r="E1310" s="1100">
        <v>1.0104459304134781</v>
      </c>
      <c r="F1310" s="1100">
        <v>0.99815937491773299</v>
      </c>
      <c r="G1310" s="1100">
        <v>0.98566638969116405</v>
      </c>
      <c r="H1310" s="1100">
        <v>0.97213486392405823</v>
      </c>
      <c r="I1310" s="1100">
        <v>1.0038042018880144</v>
      </c>
      <c r="K1310">
        <v>2.2043722451490093</v>
      </c>
      <c r="L1310">
        <v>0</v>
      </c>
      <c r="M1310">
        <v>1.4650641282804992E-3</v>
      </c>
      <c r="N1310">
        <v>0.13743137417839291</v>
      </c>
      <c r="O1310">
        <v>1.9674729411598681E-2</v>
      </c>
      <c r="P1310">
        <v>2.6211412458192484E-2</v>
      </c>
      <c r="Q1310">
        <v>5.5446005478383192E-3</v>
      </c>
      <c r="R1310">
        <v>1.4438822682857908E-3</v>
      </c>
      <c r="S1310">
        <v>0.24079560457500812</v>
      </c>
      <c r="T1310">
        <v>1.3414078882384228</v>
      </c>
      <c r="U1310">
        <v>0.14147862886194101</v>
      </c>
      <c r="V1310">
        <v>0.18256780022701255</v>
      </c>
      <c r="W1310">
        <v>8.9726574446512233E-2</v>
      </c>
      <c r="X1310">
        <v>1.5625042505471948E-2</v>
      </c>
      <c r="Y1310">
        <v>3.9297715586121031E-3</v>
      </c>
    </row>
    <row r="1311" spans="1:25" x14ac:dyDescent="0.25">
      <c r="A1311" s="1096"/>
      <c r="B1311" s="1455">
        <v>1061</v>
      </c>
      <c r="C1311" s="1100">
        <v>1.0385652370337572</v>
      </c>
      <c r="D1311" s="1100">
        <v>1.0099136180892083</v>
      </c>
      <c r="E1311" s="1100">
        <v>1.0074577761220465</v>
      </c>
      <c r="F1311" s="1100">
        <v>1.0034868711721014</v>
      </c>
      <c r="G1311" s="1100">
        <v>1.0246866409959074</v>
      </c>
      <c r="H1311" s="1100">
        <v>1.0093639985970249</v>
      </c>
      <c r="I1311" s="1100">
        <v>1.0027931514573989</v>
      </c>
      <c r="K1311">
        <v>2.2011254160558056</v>
      </c>
      <c r="L1311">
        <v>0</v>
      </c>
      <c r="M1311">
        <v>1.4768885165859266E-3</v>
      </c>
      <c r="N1311">
        <v>0.13737057717485013</v>
      </c>
      <c r="O1311">
        <v>1.8981994434883107E-2</v>
      </c>
      <c r="P1311">
        <v>2.6125372876688539E-2</v>
      </c>
      <c r="Q1311">
        <v>5.3334142369881599E-3</v>
      </c>
      <c r="R1311">
        <v>1.4563232719500007E-3</v>
      </c>
      <c r="S1311">
        <v>0.23283069693587291</v>
      </c>
      <c r="T1311">
        <v>1.3485620570304404</v>
      </c>
      <c r="U1311">
        <v>0.13748746869642128</v>
      </c>
      <c r="V1311">
        <v>0.18532021349139008</v>
      </c>
      <c r="W1311">
        <v>8.984518345415117E-2</v>
      </c>
      <c r="X1311">
        <v>1.5325371099345248E-2</v>
      </c>
      <c r="Y1311">
        <v>3.9636318694103272E-3</v>
      </c>
    </row>
    <row r="1312" spans="1:25" x14ac:dyDescent="0.25">
      <c r="A1312" s="1096"/>
      <c r="B1312" s="1455">
        <v>1062</v>
      </c>
      <c r="C1312" s="1100">
        <v>0.97566169805272074</v>
      </c>
      <c r="D1312" s="1100">
        <v>1.0101774528812106</v>
      </c>
      <c r="E1312" s="1100">
        <v>1.0026315687046161</v>
      </c>
      <c r="F1312" s="1100">
        <v>1.0018073088230208</v>
      </c>
      <c r="G1312" s="1100">
        <v>1.0038896075065566</v>
      </c>
      <c r="H1312" s="1100">
        <v>0.98646252887703156</v>
      </c>
      <c r="I1312" s="1100">
        <v>1.0242317126071954</v>
      </c>
      <c r="K1312">
        <v>2.2379437830394657</v>
      </c>
      <c r="L1312">
        <v>0</v>
      </c>
      <c r="M1312">
        <v>1.5518194581840546E-3</v>
      </c>
      <c r="N1312">
        <v>0.14220494324072253</v>
      </c>
      <c r="O1312">
        <v>2.0201568098522676E-2</v>
      </c>
      <c r="P1312">
        <v>2.6390671236373155E-2</v>
      </c>
      <c r="Q1312">
        <v>5.6486878293363759E-3</v>
      </c>
      <c r="R1312">
        <v>1.5297091611516378E-3</v>
      </c>
      <c r="S1312">
        <v>0.25114656447314315</v>
      </c>
      <c r="T1312">
        <v>1.34629670723096</v>
      </c>
      <c r="U1312">
        <v>0.14634025873958692</v>
      </c>
      <c r="V1312">
        <v>0.18664824024825608</v>
      </c>
      <c r="W1312">
        <v>9.3273133442368497E-2</v>
      </c>
      <c r="X1312">
        <v>1.5651754729061197E-2</v>
      </c>
      <c r="Y1312">
        <v>4.1633640681653103E-3</v>
      </c>
    </row>
    <row r="1313" spans="1:25" x14ac:dyDescent="0.25">
      <c r="A1313" s="1096"/>
      <c r="B1313" s="1455">
        <v>1063</v>
      </c>
      <c r="C1313" s="1100">
        <v>0.991861830893215</v>
      </c>
      <c r="D1313" s="1100">
        <v>1.0230878524575022</v>
      </c>
      <c r="E1313" s="1100">
        <v>1.0038878545636596</v>
      </c>
      <c r="F1313" s="1100">
        <v>0.98350359796112641</v>
      </c>
      <c r="G1313" s="1100">
        <v>1.0040259711880923</v>
      </c>
      <c r="H1313" s="1100">
        <v>1.0014702831167599</v>
      </c>
      <c r="I1313" s="1100">
        <v>0.9622552656750254</v>
      </c>
      <c r="K1313">
        <v>2.1885009991323003</v>
      </c>
      <c r="L1313">
        <v>0</v>
      </c>
      <c r="M1313">
        <v>1.5413493360184928E-3</v>
      </c>
      <c r="N1313">
        <v>0.14181318580249583</v>
      </c>
      <c r="O1313">
        <v>1.9816961476338279E-2</v>
      </c>
      <c r="P1313">
        <v>2.576800003559113E-2</v>
      </c>
      <c r="Q1313">
        <v>5.5481346603752516E-3</v>
      </c>
      <c r="R1313">
        <v>1.5197173203077394E-3</v>
      </c>
      <c r="S1313">
        <v>0.2318034105997285</v>
      </c>
      <c r="T1313">
        <v>1.321700991783018</v>
      </c>
      <c r="U1313">
        <v>0.14395299297474115</v>
      </c>
      <c r="V1313">
        <v>0.18567161928308543</v>
      </c>
      <c r="W1313">
        <v>9.2946929304579484E-2</v>
      </c>
      <c r="X1313">
        <v>1.5364235656860603E-2</v>
      </c>
      <c r="Y1313">
        <v>4.1361695711976676E-3</v>
      </c>
    </row>
    <row r="1314" spans="1:25" x14ac:dyDescent="0.25">
      <c r="A1314" s="1096"/>
      <c r="B1314" s="1455">
        <v>1064</v>
      </c>
      <c r="C1314" s="1100">
        <v>0.96504754344992449</v>
      </c>
      <c r="D1314" s="1100">
        <v>0.99136210269128078</v>
      </c>
      <c r="E1314" s="1100">
        <v>1.0326471868414202</v>
      </c>
      <c r="F1314" s="1100">
        <v>1.0226307852400465</v>
      </c>
      <c r="G1314" s="1100">
        <v>1.0177362491478199</v>
      </c>
      <c r="H1314" s="1100">
        <v>0.95274041497385764</v>
      </c>
      <c r="I1314" s="1100">
        <v>0.97855149822820486</v>
      </c>
      <c r="K1314">
        <v>2.263812558486527</v>
      </c>
      <c r="L1314">
        <v>0</v>
      </c>
      <c r="M1314">
        <v>1.4294509462807873E-3</v>
      </c>
      <c r="N1314">
        <v>0.14333524123658109</v>
      </c>
      <c r="O1314">
        <v>2.0527929213017406E-2</v>
      </c>
      <c r="P1314">
        <v>2.7302710371915933E-2</v>
      </c>
      <c r="Q1314">
        <v>5.9140363827281592E-3</v>
      </c>
      <c r="R1314">
        <v>1.4083632739296573E-3</v>
      </c>
      <c r="S1314">
        <v>0.24236002237792917</v>
      </c>
      <c r="T1314">
        <v>1.3743412314395129</v>
      </c>
      <c r="U1314">
        <v>0.14802159486271022</v>
      </c>
      <c r="V1314">
        <v>0.18891037543348393</v>
      </c>
      <c r="W1314">
        <v>9.2374889355092485E-2</v>
      </c>
      <c r="X1314">
        <v>1.6912514921099429E-2</v>
      </c>
      <c r="Y1314">
        <v>3.8331005648080509E-3</v>
      </c>
    </row>
    <row r="1315" spans="1:25" x14ac:dyDescent="0.25">
      <c r="A1315" s="1096"/>
      <c r="B1315" s="1455">
        <v>1065</v>
      </c>
      <c r="C1315" s="1100">
        <v>1.0217355811356892</v>
      </c>
      <c r="D1315" s="1100">
        <v>1.014736434487179</v>
      </c>
      <c r="E1315" s="1100">
        <v>1.0129627179101401</v>
      </c>
      <c r="F1315" s="1100">
        <v>0.99626281706242215</v>
      </c>
      <c r="G1315" s="1100">
        <v>0.97139616658047001</v>
      </c>
      <c r="H1315" s="1100">
        <v>1.0319254673902385</v>
      </c>
      <c r="I1315" s="1100">
        <v>0.99655011531299442</v>
      </c>
      <c r="K1315">
        <v>2.2026614209977469</v>
      </c>
      <c r="L1315">
        <v>0</v>
      </c>
      <c r="M1315">
        <v>1.5157281821442934E-3</v>
      </c>
      <c r="N1315">
        <v>0.14339004625875451</v>
      </c>
      <c r="O1315">
        <v>1.9277806830632425E-2</v>
      </c>
      <c r="P1315">
        <v>2.6109363677819381E-2</v>
      </c>
      <c r="Q1315">
        <v>5.4464149309250047E-3</v>
      </c>
      <c r="R1315">
        <v>1.4950835584181081E-3</v>
      </c>
      <c r="S1315">
        <v>0.23643637885071445</v>
      </c>
      <c r="T1315">
        <v>1.3388637654623743</v>
      </c>
      <c r="U1315">
        <v>0.13976453622493218</v>
      </c>
      <c r="V1315">
        <v>0.18024242952107913</v>
      </c>
      <c r="W1315">
        <v>9.3478242011914625E-2</v>
      </c>
      <c r="X1315">
        <v>1.560395726047672E-2</v>
      </c>
      <c r="Y1315">
        <v>4.0691245918515152E-3</v>
      </c>
    </row>
    <row r="1316" spans="1:25" x14ac:dyDescent="0.25">
      <c r="A1316" s="1096"/>
      <c r="B1316" s="1455">
        <v>1066</v>
      </c>
      <c r="C1316" s="1100">
        <v>1.0068997855490682</v>
      </c>
      <c r="D1316" s="1100">
        <v>1.0318659568888715</v>
      </c>
      <c r="E1316" s="1100">
        <v>1.0054369826630607</v>
      </c>
      <c r="F1316" s="1100">
        <v>0.97392828900544015</v>
      </c>
      <c r="G1316" s="1100">
        <v>0.98117292502624909</v>
      </c>
      <c r="H1316" s="1100">
        <v>0.96682327458628115</v>
      </c>
      <c r="I1316" s="1100">
        <v>0.99293937914655817</v>
      </c>
      <c r="K1316">
        <v>2.1572956558671921</v>
      </c>
      <c r="L1316">
        <v>0</v>
      </c>
      <c r="M1316">
        <v>1.4583514797459909E-3</v>
      </c>
      <c r="N1316">
        <v>0.13473736889316545</v>
      </c>
      <c r="O1316">
        <v>1.948529591020268E-2</v>
      </c>
      <c r="P1316">
        <v>2.5546002279058608E-2</v>
      </c>
      <c r="Q1316">
        <v>5.4637579868873258E-3</v>
      </c>
      <c r="R1316">
        <v>1.4371508341182461E-3</v>
      </c>
      <c r="S1316">
        <v>0.23192022080799432</v>
      </c>
      <c r="T1316">
        <v>1.3088355757091024</v>
      </c>
      <c r="U1316">
        <v>0.14180661312802356</v>
      </c>
      <c r="V1316">
        <v>0.18219647249572177</v>
      </c>
      <c r="W1316">
        <v>8.8228338666951955E-2</v>
      </c>
      <c r="X1316">
        <v>1.518575982188522E-2</v>
      </c>
      <c r="Y1316">
        <v>3.9114508138247232E-3</v>
      </c>
    </row>
    <row r="1317" spans="1:25" x14ac:dyDescent="0.25">
      <c r="A1317" s="1096"/>
      <c r="B1317" s="1455">
        <v>1067</v>
      </c>
      <c r="C1317" s="1100">
        <v>0.99840176783853485</v>
      </c>
      <c r="D1317" s="1100">
        <v>1.0274712829950128</v>
      </c>
      <c r="E1317" s="1100">
        <v>1.0161479203008796</v>
      </c>
      <c r="F1317" s="1100">
        <v>0.98930810697641802</v>
      </c>
      <c r="G1317" s="1100">
        <v>0.9972272223146772</v>
      </c>
      <c r="H1317" s="1100">
        <v>1.0226072744357317</v>
      </c>
      <c r="I1317" s="1100">
        <v>1.0042376494884766</v>
      </c>
      <c r="K1317">
        <v>2.2101590809856955</v>
      </c>
      <c r="L1317">
        <v>0</v>
      </c>
      <c r="M1317">
        <v>1.5228165571099328E-3</v>
      </c>
      <c r="N1317">
        <v>0.14543383388667766</v>
      </c>
      <c r="O1317">
        <v>1.9676280710369184E-2</v>
      </c>
      <c r="P1317">
        <v>2.6217466291040329E-2</v>
      </c>
      <c r="Q1317">
        <v>5.5766765547892415E-3</v>
      </c>
      <c r="R1317">
        <v>1.5018863903193467E-3</v>
      </c>
      <c r="S1317">
        <v>0.24161131085730361</v>
      </c>
      <c r="T1317">
        <v>1.3295234341133457</v>
      </c>
      <c r="U1317">
        <v>0.14303835790468064</v>
      </c>
      <c r="V1317">
        <v>0.1845223280512204</v>
      </c>
      <c r="W1317">
        <v>9.4633346219251402E-2</v>
      </c>
      <c r="X1317">
        <v>1.585933690607301E-2</v>
      </c>
      <c r="Y1317">
        <v>4.0876396577337543E-3</v>
      </c>
    </row>
    <row r="1318" spans="1:25" x14ac:dyDescent="0.25">
      <c r="A1318" s="1096"/>
      <c r="B1318" s="1455">
        <v>1068</v>
      </c>
      <c r="C1318" s="1100">
        <v>0.97622315859738529</v>
      </c>
      <c r="D1318" s="1100">
        <v>1.0290331597537885</v>
      </c>
      <c r="E1318" s="1100">
        <v>0.97607781233793856</v>
      </c>
      <c r="F1318" s="1100">
        <v>1.0327840917006503</v>
      </c>
      <c r="G1318" s="1100">
        <v>1.0056549130837227</v>
      </c>
      <c r="H1318" s="1100">
        <v>0.98749199895320872</v>
      </c>
      <c r="I1318" s="1100">
        <v>1.0109681898987062</v>
      </c>
      <c r="K1318">
        <v>2.2675716505105048</v>
      </c>
      <c r="L1318">
        <v>0</v>
      </c>
      <c r="M1318">
        <v>1.633648597992203E-3</v>
      </c>
      <c r="N1318">
        <v>0.13815617644407327</v>
      </c>
      <c r="O1318">
        <v>2.0091115343938676E-2</v>
      </c>
      <c r="P1318">
        <v>2.6348066563777139E-2</v>
      </c>
      <c r="Q1318">
        <v>5.4689746284013871E-3</v>
      </c>
      <c r="R1318">
        <v>1.61039666644232E-3</v>
      </c>
      <c r="S1318">
        <v>0.24536203389484773</v>
      </c>
      <c r="T1318">
        <v>1.3878881296075674</v>
      </c>
      <c r="U1318">
        <v>0.14619357572471628</v>
      </c>
      <c r="V1318">
        <v>0.18678936819628389</v>
      </c>
      <c r="W1318">
        <v>9.2071310555425848E-2</v>
      </c>
      <c r="X1318">
        <v>1.4843182624083224E-2</v>
      </c>
      <c r="Y1318">
        <v>4.3829688589375757E-3</v>
      </c>
    </row>
    <row r="1319" spans="1:25" x14ac:dyDescent="0.25">
      <c r="A1319" s="1096"/>
      <c r="B1319" s="1455">
        <v>1069</v>
      </c>
      <c r="C1319" s="1100">
        <v>0.98356003715237039</v>
      </c>
      <c r="D1319" s="1100">
        <v>0.99303804213101932</v>
      </c>
      <c r="E1319" s="1100">
        <v>0.99960262619558637</v>
      </c>
      <c r="F1319" s="1100">
        <v>0.99979023377545395</v>
      </c>
      <c r="G1319" s="1100">
        <v>0.99853460684800999</v>
      </c>
      <c r="H1319" s="1100">
        <v>0.97958316020941227</v>
      </c>
      <c r="I1319" s="1100">
        <v>0.98151674075117978</v>
      </c>
      <c r="K1319">
        <v>2.2182025270252717</v>
      </c>
      <c r="L1319">
        <v>0</v>
      </c>
      <c r="M1319">
        <v>1.544060844503688E-3</v>
      </c>
      <c r="N1319">
        <v>0.14019091922029173</v>
      </c>
      <c r="O1319">
        <v>2.011299975046445E-2</v>
      </c>
      <c r="P1319">
        <v>2.6113949153145393E-2</v>
      </c>
      <c r="Q1319">
        <v>5.6068364976686966E-3</v>
      </c>
      <c r="R1319">
        <v>1.5219065932814114E-3</v>
      </c>
      <c r="S1319">
        <v>0.24021634515475457</v>
      </c>
      <c r="T1319">
        <v>1.343581130066378</v>
      </c>
      <c r="U1319">
        <v>0.14515800270359569</v>
      </c>
      <c r="V1319">
        <v>0.18555191946407229</v>
      </c>
      <c r="W1319">
        <v>9.2117660809997823E-2</v>
      </c>
      <c r="X1319">
        <v>1.5432790405587961E-2</v>
      </c>
      <c r="Y1319">
        <v>4.1421280505383601E-3</v>
      </c>
    </row>
    <row r="1320" spans="1:25" x14ac:dyDescent="0.25">
      <c r="A1320" s="1096"/>
      <c r="B1320" s="1455">
        <v>1070</v>
      </c>
      <c r="C1320" s="1100">
        <v>1.030110973323962</v>
      </c>
      <c r="D1320" s="1100">
        <v>1.0035099957694575</v>
      </c>
      <c r="E1320" s="1100">
        <v>1.027437863545932</v>
      </c>
      <c r="F1320" s="1100">
        <v>1.0116892339164061</v>
      </c>
      <c r="G1320" s="1100">
        <v>0.99468849959432315</v>
      </c>
      <c r="H1320" s="1100">
        <v>1.0244749829317406</v>
      </c>
      <c r="I1320" s="1100">
        <v>1.0391310957491826</v>
      </c>
      <c r="K1320">
        <v>2.2338843241662034</v>
      </c>
      <c r="L1320">
        <v>0</v>
      </c>
      <c r="M1320">
        <v>1.451815363452973E-3</v>
      </c>
      <c r="N1320">
        <v>0.1434597647613679</v>
      </c>
      <c r="O1320">
        <v>1.9176721770299235E-2</v>
      </c>
      <c r="P1320">
        <v>2.6816250658968241E-2</v>
      </c>
      <c r="Q1320">
        <v>5.4963763939965514E-3</v>
      </c>
      <c r="R1320">
        <v>1.4318974423780926E-3</v>
      </c>
      <c r="S1320">
        <v>0.24539421872208342</v>
      </c>
      <c r="T1320">
        <v>1.3596247969716035</v>
      </c>
      <c r="U1320">
        <v>0.138660622376826</v>
      </c>
      <c r="V1320">
        <v>0.18241587871979428</v>
      </c>
      <c r="W1320">
        <v>9.2735128466351707E-2</v>
      </c>
      <c r="X1320">
        <v>1.6227330432698677E-2</v>
      </c>
      <c r="Y1320">
        <v>3.8971528132881474E-3</v>
      </c>
    </row>
    <row r="1321" spans="1:25" x14ac:dyDescent="0.25">
      <c r="A1321" s="1096"/>
      <c r="B1321" s="1455">
        <v>1071</v>
      </c>
      <c r="C1321" s="1100">
        <v>1.0179162783981264</v>
      </c>
      <c r="D1321" s="1100">
        <v>1.0029358406190618</v>
      </c>
      <c r="E1321" s="1100">
        <v>1.010898236817918</v>
      </c>
      <c r="F1321" s="1100">
        <v>1.0168023342472274</v>
      </c>
      <c r="G1321" s="1100">
        <v>0.98994366325211813</v>
      </c>
      <c r="H1321" s="1100">
        <v>1.0300564627541098</v>
      </c>
      <c r="I1321" s="1100">
        <v>1.0323061450852298</v>
      </c>
      <c r="K1321">
        <v>2.2453346504729512</v>
      </c>
      <c r="L1321">
        <v>0</v>
      </c>
      <c r="M1321">
        <v>1.5291191671800307E-3</v>
      </c>
      <c r="N1321">
        <v>0.14375458389256346</v>
      </c>
      <c r="O1321">
        <v>1.9398730436840855E-2</v>
      </c>
      <c r="P1321">
        <v>2.6634857680256366E-2</v>
      </c>
      <c r="Q1321">
        <v>5.4692917906770293E-3</v>
      </c>
      <c r="R1321">
        <v>1.5082543647010631E-3</v>
      </c>
      <c r="S1321">
        <v>0.24709717184672222</v>
      </c>
      <c r="T1321">
        <v>1.3664626541553582</v>
      </c>
      <c r="U1321">
        <v>0.1402842658408682</v>
      </c>
      <c r="V1321">
        <v>0.18255497342878207</v>
      </c>
      <c r="W1321">
        <v>9.3829873182434159E-2</v>
      </c>
      <c r="X1321">
        <v>1.5764141836128721E-2</v>
      </c>
      <c r="Y1321">
        <v>4.1049711847985946E-3</v>
      </c>
    </row>
    <row r="1322" spans="1:25" x14ac:dyDescent="0.25">
      <c r="A1322" s="1096"/>
      <c r="B1322" s="1455">
        <v>1072</v>
      </c>
      <c r="C1322" s="1100">
        <v>0.95779846297261328</v>
      </c>
      <c r="D1322" s="1100">
        <v>0.98908551814886636</v>
      </c>
      <c r="E1322" s="1100">
        <v>0.97428413824783799</v>
      </c>
      <c r="F1322" s="1100">
        <v>1.0122342832630411</v>
      </c>
      <c r="G1322" s="1100">
        <v>1.0306339283810846</v>
      </c>
      <c r="H1322" s="1100">
        <v>1.0054479122280384</v>
      </c>
      <c r="I1322" s="1100">
        <v>1.026290193490289</v>
      </c>
      <c r="K1322">
        <v>2.2732871785829207</v>
      </c>
      <c r="L1322">
        <v>0</v>
      </c>
      <c r="M1322">
        <v>1.7165329621311523E-3</v>
      </c>
      <c r="N1322">
        <v>0.14441689583058942</v>
      </c>
      <c r="O1322">
        <v>2.0655583936054909E-2</v>
      </c>
      <c r="P1322">
        <v>2.6235661634743529E-2</v>
      </c>
      <c r="Q1322">
        <v>5.6123591501549986E-3</v>
      </c>
      <c r="R1322">
        <v>1.6925376420375369E-3</v>
      </c>
      <c r="S1322">
        <v>0.26046454166464122</v>
      </c>
      <c r="T1322">
        <v>1.3602707404265915</v>
      </c>
      <c r="U1322">
        <v>0.14900153502452099</v>
      </c>
      <c r="V1322">
        <v>0.19078004659330067</v>
      </c>
      <c r="W1322">
        <v>9.634833066801908E-2</v>
      </c>
      <c r="X1322">
        <v>1.4918949457652741E-2</v>
      </c>
      <c r="Y1322">
        <v>4.6065295167424282E-3</v>
      </c>
    </row>
    <row r="1323" spans="1:25" x14ac:dyDescent="0.25">
      <c r="A1323" s="1096"/>
      <c r="B1323" s="1455">
        <v>1073</v>
      </c>
      <c r="C1323" s="1100">
        <v>1.0272810959821324</v>
      </c>
      <c r="D1323" s="1100">
        <v>1.0175768040015378</v>
      </c>
      <c r="E1323" s="1100">
        <v>0.99372888400160331</v>
      </c>
      <c r="F1323" s="1100">
        <v>1.0312315394876042</v>
      </c>
      <c r="G1323" s="1100">
        <v>0.9928554904029202</v>
      </c>
      <c r="H1323" s="1100">
        <v>1.0189073404878568</v>
      </c>
      <c r="I1323" s="1100">
        <v>1.0091822143492768</v>
      </c>
      <c r="K1323">
        <v>2.2431408250229636</v>
      </c>
      <c r="L1323">
        <v>0</v>
      </c>
      <c r="M1323">
        <v>1.5481953294165102E-3</v>
      </c>
      <c r="N1323">
        <v>0.1381708225219917</v>
      </c>
      <c r="O1323">
        <v>1.9150296271228478E-2</v>
      </c>
      <c r="P1323">
        <v>2.6396898835677564E-2</v>
      </c>
      <c r="Q1323">
        <v>5.3069824946576681E-3</v>
      </c>
      <c r="R1323">
        <v>1.5268390773182368E-3</v>
      </c>
      <c r="S1323">
        <v>0.23664709518966059</v>
      </c>
      <c r="T1323">
        <v>1.3858247340414378</v>
      </c>
      <c r="U1323">
        <v>0.13896692441554967</v>
      </c>
      <c r="V1323">
        <v>0.18233796577617434</v>
      </c>
      <c r="W1323">
        <v>9.11086256272126E-2</v>
      </c>
      <c r="X1323">
        <v>1.5096283455375862E-2</v>
      </c>
      <c r="Y1323">
        <v>4.1555526460936732E-3</v>
      </c>
    </row>
    <row r="1324" spans="1:25" x14ac:dyDescent="0.25">
      <c r="A1324" s="1096"/>
      <c r="B1324" s="1455">
        <v>1074</v>
      </c>
      <c r="C1324" s="1100">
        <v>1.0174533503505652</v>
      </c>
      <c r="D1324" s="1100">
        <v>0.98887907264520691</v>
      </c>
      <c r="E1324" s="1100">
        <v>0.98934013157092537</v>
      </c>
      <c r="F1324" s="1100">
        <v>1.0395497912826259</v>
      </c>
      <c r="G1324" s="1100">
        <v>0.99142812970821526</v>
      </c>
      <c r="H1324" s="1100">
        <v>0.97528705217963552</v>
      </c>
      <c r="I1324" s="1100">
        <v>0.99205492488034808</v>
      </c>
      <c r="K1324">
        <v>2.2473550340564366</v>
      </c>
      <c r="L1324">
        <v>0</v>
      </c>
      <c r="M1324">
        <v>1.519427635129757E-3</v>
      </c>
      <c r="N1324">
        <v>0.1337324448918252</v>
      </c>
      <c r="O1324">
        <v>1.9454647057419588E-2</v>
      </c>
      <c r="P1324">
        <v>2.6459422015590036E-2</v>
      </c>
      <c r="Q1324">
        <v>5.3674823238798889E-3</v>
      </c>
      <c r="R1324">
        <v>1.4975307903740537E-3</v>
      </c>
      <c r="S1324">
        <v>0.23478960613458758</v>
      </c>
      <c r="T1324">
        <v>1.3969968287014811</v>
      </c>
      <c r="U1324">
        <v>0.14029931064804693</v>
      </c>
      <c r="V1324">
        <v>0.18273063115063612</v>
      </c>
      <c r="W1324">
        <v>8.8413863572120235E-2</v>
      </c>
      <c r="X1324">
        <v>1.5056909255098368E-2</v>
      </c>
      <c r="Y1324">
        <v>4.0757851505058016E-3</v>
      </c>
    </row>
    <row r="1325" spans="1:25" x14ac:dyDescent="0.25">
      <c r="A1325" s="1096"/>
      <c r="B1325" s="1455">
        <v>1075</v>
      </c>
      <c r="C1325" s="1100">
        <v>0.96566275924788236</v>
      </c>
      <c r="D1325" s="1100">
        <v>1.005208199814519</v>
      </c>
      <c r="E1325" s="1100">
        <v>1.0034546496567298</v>
      </c>
      <c r="F1325" s="1100">
        <v>0.99797372663444484</v>
      </c>
      <c r="G1325" s="1100">
        <v>1.0358217762812614</v>
      </c>
      <c r="H1325" s="1100">
        <v>1.0144397318623957</v>
      </c>
      <c r="I1325" s="1100">
        <v>0.99831466856803375</v>
      </c>
      <c r="K1325">
        <v>2.2479625280837032</v>
      </c>
      <c r="L1325">
        <v>0</v>
      </c>
      <c r="M1325">
        <v>1.6113502696285564E-3</v>
      </c>
      <c r="N1325">
        <v>0.14808677079930327</v>
      </c>
      <c r="O1325">
        <v>2.0433432448954004E-2</v>
      </c>
      <c r="P1325">
        <v>2.6402968399369883E-2</v>
      </c>
      <c r="Q1325">
        <v>5.7182419265908481E-3</v>
      </c>
      <c r="R1325">
        <v>1.5890249501515133E-3</v>
      </c>
      <c r="S1325">
        <v>0.25025740297101706</v>
      </c>
      <c r="T1325">
        <v>1.3411462410623662</v>
      </c>
      <c r="U1325">
        <v>0.14785749979600443</v>
      </c>
      <c r="V1325">
        <v>0.19088807215755291</v>
      </c>
      <c r="W1325">
        <v>9.7083671418860526E-2</v>
      </c>
      <c r="X1325">
        <v>1.5785750330779787E-2</v>
      </c>
      <c r="Y1325">
        <v>4.3248020923783836E-3</v>
      </c>
    </row>
    <row r="1326" spans="1:25" x14ac:dyDescent="0.25">
      <c r="A1326" s="1096"/>
      <c r="B1326" s="1455">
        <v>1076</v>
      </c>
      <c r="C1326" s="1100">
        <v>1.0162514630008008</v>
      </c>
      <c r="D1326" s="1100">
        <v>1.0396876390864203</v>
      </c>
      <c r="E1326" s="1100">
        <v>1.0334963414762453</v>
      </c>
      <c r="F1326" s="1100">
        <v>1.0061748252400511</v>
      </c>
      <c r="G1326" s="1100">
        <v>0.99714696873995889</v>
      </c>
      <c r="H1326" s="1100">
        <v>0.99790657494517765</v>
      </c>
      <c r="I1326" s="1100">
        <v>1.0287066555365343</v>
      </c>
      <c r="K1326">
        <v>2.2202525767279164</v>
      </c>
      <c r="L1326">
        <v>0</v>
      </c>
      <c r="M1326">
        <v>1.4044805849752085E-3</v>
      </c>
      <c r="N1326">
        <v>0.14128796186489398</v>
      </c>
      <c r="O1326">
        <v>1.929109371718131E-2</v>
      </c>
      <c r="P1326">
        <v>2.679550428867241E-2</v>
      </c>
      <c r="Q1326">
        <v>5.5623677871457665E-3</v>
      </c>
      <c r="R1326">
        <v>1.384699057077521E-3</v>
      </c>
      <c r="S1326">
        <v>0.23988475208758508</v>
      </c>
      <c r="T1326">
        <v>1.3522275864350528</v>
      </c>
      <c r="U1326">
        <v>0.1405654470686028</v>
      </c>
      <c r="V1326">
        <v>0.18348505605842017</v>
      </c>
      <c r="W1326">
        <v>9.1010721088553598E-2</v>
      </c>
      <c r="X1326">
        <v>1.639317349226314E-2</v>
      </c>
      <c r="Y1326">
        <v>3.7686943674435248E-3</v>
      </c>
    </row>
    <row r="1327" spans="1:25" x14ac:dyDescent="0.25">
      <c r="A1327" s="1096"/>
      <c r="B1327" s="1455">
        <v>1077</v>
      </c>
      <c r="C1327" s="1100">
        <v>1.0186079030534159</v>
      </c>
      <c r="D1327" s="1100">
        <v>0.98772297161885347</v>
      </c>
      <c r="E1327" s="1100">
        <v>0.98424970540088075</v>
      </c>
      <c r="F1327" s="1100">
        <v>0.97714335578483125</v>
      </c>
      <c r="G1327" s="1100">
        <v>1.0036204728452487</v>
      </c>
      <c r="H1327" s="1100">
        <v>1.007389182795557</v>
      </c>
      <c r="I1327" s="1100">
        <v>1.010750534216019</v>
      </c>
      <c r="K1327">
        <v>2.176301592415486</v>
      </c>
      <c r="L1327">
        <v>0</v>
      </c>
      <c r="M1327">
        <v>1.5846755579884196E-3</v>
      </c>
      <c r="N1327">
        <v>0.13740856947264504</v>
      </c>
      <c r="O1327">
        <v>1.9434473977744712E-2</v>
      </c>
      <c r="P1327">
        <v>2.5334434694790759E-2</v>
      </c>
      <c r="Q1327">
        <v>5.3343503048201958E-3</v>
      </c>
      <c r="R1327">
        <v>1.5625661530901927E-3</v>
      </c>
      <c r="S1327">
        <v>0.24160357307239028</v>
      </c>
      <c r="T1327">
        <v>1.3131255844759384</v>
      </c>
      <c r="U1327">
        <v>0.14012880533586483</v>
      </c>
      <c r="V1327">
        <v>0.18403849873323511</v>
      </c>
      <c r="W1327">
        <v>9.1122397412817968E-2</v>
      </c>
      <c r="X1327">
        <v>1.4540224371219402E-2</v>
      </c>
      <c r="Y1327">
        <v>4.2527899689175745E-3</v>
      </c>
    </row>
    <row r="1328" spans="1:25" x14ac:dyDescent="0.25">
      <c r="A1328" s="1096"/>
      <c r="B1328" s="1455">
        <v>1078</v>
      </c>
      <c r="C1328" s="1100">
        <v>0.96566703415847066</v>
      </c>
      <c r="D1328" s="1100">
        <v>1.0242514762977386</v>
      </c>
      <c r="E1328" s="1100">
        <v>0.9968999321471308</v>
      </c>
      <c r="F1328" s="1100">
        <v>0.98054254736008573</v>
      </c>
      <c r="G1328" s="1100">
        <v>1.0225270808366738</v>
      </c>
      <c r="H1328" s="1100">
        <v>0.97619643923099919</v>
      </c>
      <c r="I1328" s="1100">
        <v>1.0029847515125874</v>
      </c>
      <c r="K1328">
        <v>2.2059407617129292</v>
      </c>
      <c r="L1328">
        <v>0</v>
      </c>
      <c r="M1328">
        <v>1.5653480533969471E-3</v>
      </c>
      <c r="N1328">
        <v>0.14096062113445584</v>
      </c>
      <c r="O1328">
        <v>2.0344932236499878E-2</v>
      </c>
      <c r="P1328">
        <v>2.5874947249516406E-2</v>
      </c>
      <c r="Q1328">
        <v>5.6560899039578968E-3</v>
      </c>
      <c r="R1328">
        <v>1.5428104529556603E-3</v>
      </c>
      <c r="S1328">
        <v>0.24588217213225425</v>
      </c>
      <c r="T1328">
        <v>1.3177107574561029</v>
      </c>
      <c r="U1328">
        <v>0.14784121724508018</v>
      </c>
      <c r="V1328">
        <v>0.18937908457642968</v>
      </c>
      <c r="W1328">
        <v>9.2772531702976876E-2</v>
      </c>
      <c r="X1328">
        <v>1.5341924210479937E-2</v>
      </c>
      <c r="Y1328">
        <v>4.1990214656161765E-3</v>
      </c>
    </row>
    <row r="1329" spans="1:25" x14ac:dyDescent="0.25">
      <c r="A1329" s="1096"/>
      <c r="B1329" s="1455">
        <v>1079</v>
      </c>
      <c r="C1329" s="1100">
        <v>0.98020607848017682</v>
      </c>
      <c r="D1329" s="1100">
        <v>1.0094115626807152</v>
      </c>
      <c r="E1329" s="1100">
        <v>1.0234739612257764</v>
      </c>
      <c r="F1329" s="1100">
        <v>0.99731872775733699</v>
      </c>
      <c r="G1329" s="1100">
        <v>0.9695775267556338</v>
      </c>
      <c r="H1329" s="1100">
        <v>1.0019169915508352</v>
      </c>
      <c r="I1329" s="1100">
        <v>0.97409982411908103</v>
      </c>
      <c r="K1329">
        <v>2.2220960167500676</v>
      </c>
      <c r="L1329">
        <v>0</v>
      </c>
      <c r="M1329">
        <v>1.5025638894548392E-3</v>
      </c>
      <c r="N1329">
        <v>0.14666426809685648</v>
      </c>
      <c r="O1329">
        <v>2.012454796742438E-2</v>
      </c>
      <c r="P1329">
        <v>2.6484152283128365E-2</v>
      </c>
      <c r="Q1329">
        <v>5.7454220966588606E-3</v>
      </c>
      <c r="R1329">
        <v>1.4814856088189272E-3</v>
      </c>
      <c r="S1329">
        <v>0.23922274406663496</v>
      </c>
      <c r="T1329">
        <v>1.3403035949071824</v>
      </c>
      <c r="U1329">
        <v>0.14571085655300967</v>
      </c>
      <c r="V1329">
        <v>0.18250720425854575</v>
      </c>
      <c r="W1329">
        <v>9.5025758272023156E-2</v>
      </c>
      <c r="X1329">
        <v>1.6296431073633842E-2</v>
      </c>
      <c r="Y1329">
        <v>4.0321154556054268E-3</v>
      </c>
    </row>
    <row r="1330" spans="1:25" x14ac:dyDescent="0.25">
      <c r="A1330" s="1096"/>
      <c r="B1330" s="1455">
        <v>1080</v>
      </c>
      <c r="C1330" s="1100">
        <v>1.0017959652116566</v>
      </c>
      <c r="D1330" s="1100">
        <v>0.98473052031250519</v>
      </c>
      <c r="E1330" s="1100">
        <v>1.0191830279651539</v>
      </c>
      <c r="F1330" s="1100">
        <v>1.0075113953083141</v>
      </c>
      <c r="G1330" s="1100">
        <v>0.96874012823163191</v>
      </c>
      <c r="H1330" s="1100">
        <v>0.97990554839874378</v>
      </c>
      <c r="I1330" s="1100">
        <v>0.99999209279222734</v>
      </c>
      <c r="K1330">
        <v>2.2228241804902691</v>
      </c>
      <c r="L1330">
        <v>0</v>
      </c>
      <c r="M1330">
        <v>1.4587030085360989E-3</v>
      </c>
      <c r="N1330">
        <v>0.14050704947669443</v>
      </c>
      <c r="O1330">
        <v>1.9795676751480976E-2</v>
      </c>
      <c r="P1330">
        <v>2.6558713687958996E-2</v>
      </c>
      <c r="Q1330">
        <v>5.6274921422773388E-3</v>
      </c>
      <c r="R1330">
        <v>1.4377803610060578E-3</v>
      </c>
      <c r="S1330">
        <v>0.24147406493035398</v>
      </c>
      <c r="T1330">
        <v>1.3539927241211156</v>
      </c>
      <c r="U1330">
        <v>0.14256072198972031</v>
      </c>
      <c r="V1330">
        <v>0.18110378656585346</v>
      </c>
      <c r="W1330">
        <v>9.1265001288097322E-2</v>
      </c>
      <c r="X1330">
        <v>1.6046708005756357E-2</v>
      </c>
      <c r="Y1330">
        <v>3.9131641784898646E-3</v>
      </c>
    </row>
    <row r="1331" spans="1:25" x14ac:dyDescent="0.25">
      <c r="A1331" s="1096"/>
      <c r="B1331" s="1455">
        <v>1081</v>
      </c>
      <c r="C1331" s="1100">
        <v>0.99799155832488717</v>
      </c>
      <c r="D1331" s="1100">
        <v>1.0022164165209169</v>
      </c>
      <c r="E1331" s="1100">
        <v>1.0104247321788544</v>
      </c>
      <c r="F1331" s="1100">
        <v>1.0187076633732768</v>
      </c>
      <c r="G1331" s="1100">
        <v>0.98839492787427097</v>
      </c>
      <c r="H1331" s="1100">
        <v>0.972076942305096</v>
      </c>
      <c r="I1331" s="1100">
        <v>0.97872743623304437</v>
      </c>
      <c r="K1331">
        <v>2.2301949428563987</v>
      </c>
      <c r="L1331">
        <v>0</v>
      </c>
      <c r="M1331">
        <v>1.4735400946030411E-3</v>
      </c>
      <c r="N1331">
        <v>0.13821750178742812</v>
      </c>
      <c r="O1331">
        <v>1.9788849638770364E-2</v>
      </c>
      <c r="P1331">
        <v>2.6539232397989707E-2</v>
      </c>
      <c r="Q1331">
        <v>5.5766430012370981E-3</v>
      </c>
      <c r="R1331">
        <v>1.4522344198702247E-3</v>
      </c>
      <c r="S1331">
        <v>0.2344751647079534</v>
      </c>
      <c r="T1331">
        <v>1.3690223130844494</v>
      </c>
      <c r="U1331">
        <v>0.14308392155957636</v>
      </c>
      <c r="V1331">
        <v>0.1835432389052318</v>
      </c>
      <c r="W1331">
        <v>9.0240951233490546E-2</v>
      </c>
      <c r="X1331">
        <v>1.5775928853061644E-2</v>
      </c>
      <c r="Y1331">
        <v>3.9525033619389029E-3</v>
      </c>
    </row>
    <row r="1332" spans="1:25" x14ac:dyDescent="0.25">
      <c r="A1332" s="1096"/>
      <c r="B1332" s="1455">
        <v>1082</v>
      </c>
      <c r="C1332" s="1100">
        <v>1.0077332438653841</v>
      </c>
      <c r="D1332" s="1100">
        <v>1.0432854555473465</v>
      </c>
      <c r="E1332" s="1100">
        <v>1.0155481192708804</v>
      </c>
      <c r="F1332" s="1100">
        <v>0.97477044257225165</v>
      </c>
      <c r="G1332" s="1100">
        <v>1.0271266112067239</v>
      </c>
      <c r="H1332" s="1100">
        <v>1.0394203241118203</v>
      </c>
      <c r="I1332" s="1100">
        <v>1.0172142891542941</v>
      </c>
      <c r="K1332">
        <v>2.1926118336098215</v>
      </c>
      <c r="L1332">
        <v>0</v>
      </c>
      <c r="M1332">
        <v>1.5302837390279787E-3</v>
      </c>
      <c r="N1332">
        <v>0.14591556845059978</v>
      </c>
      <c r="O1332">
        <v>1.9428315620875127E-2</v>
      </c>
      <c r="P1332">
        <v>2.5962295047258839E-2</v>
      </c>
      <c r="Q1332">
        <v>5.5031080373448655E-3</v>
      </c>
      <c r="R1332">
        <v>1.509591154600112E-3</v>
      </c>
      <c r="S1332">
        <v>0.2419949412457047</v>
      </c>
      <c r="T1332">
        <v>1.3099852497678213</v>
      </c>
      <c r="U1332">
        <v>0.14171246803466833</v>
      </c>
      <c r="V1332">
        <v>0.18735102046299684</v>
      </c>
      <c r="W1332">
        <v>9.4980242592996381E-2</v>
      </c>
      <c r="X1332">
        <v>1.569070744774996E-2</v>
      </c>
      <c r="Y1332">
        <v>4.1086094862311353E-3</v>
      </c>
    </row>
    <row r="1333" spans="1:25" x14ac:dyDescent="0.25">
      <c r="A1333" s="1096"/>
      <c r="B1333" s="1455">
        <v>1083</v>
      </c>
      <c r="C1333" s="1100">
        <v>0.9966008268187162</v>
      </c>
      <c r="D1333" s="1100">
        <v>0.99773338013590718</v>
      </c>
      <c r="E1333" s="1100">
        <v>0.98663110493865036</v>
      </c>
      <c r="F1333" s="1100">
        <v>0.98561703729412675</v>
      </c>
      <c r="G1333" s="1100">
        <v>0.95480101147891461</v>
      </c>
      <c r="H1333" s="1100">
        <v>1.0096368100619812</v>
      </c>
      <c r="I1333" s="1100">
        <v>0.99256617750680731</v>
      </c>
      <c r="K1333">
        <v>2.1928964252578083</v>
      </c>
      <c r="L1333">
        <v>0</v>
      </c>
      <c r="M1333">
        <v>1.611722169170714E-3</v>
      </c>
      <c r="N1333">
        <v>0.14076843775929826</v>
      </c>
      <c r="O1333">
        <v>1.9821101205561541E-2</v>
      </c>
      <c r="P1333">
        <v>2.5516919027381384E-2</v>
      </c>
      <c r="Q1333">
        <v>5.4536157327465798E-3</v>
      </c>
      <c r="R1333">
        <v>1.5892854691970434E-3</v>
      </c>
      <c r="S1333">
        <v>0.24147655399847504</v>
      </c>
      <c r="T1333">
        <v>1.3245158581154575</v>
      </c>
      <c r="U1333">
        <v>0.14322863749874468</v>
      </c>
      <c r="V1333">
        <v>0.17980773385804369</v>
      </c>
      <c r="W1333">
        <v>9.3216931795629301E-2</v>
      </c>
      <c r="X1333">
        <v>1.4787561827102405E-2</v>
      </c>
      <c r="Y1333">
        <v>4.3255111393402353E-3</v>
      </c>
    </row>
    <row r="1334" spans="1:25" x14ac:dyDescent="0.25">
      <c r="A1334" s="1096"/>
      <c r="B1334" s="1455">
        <v>1084</v>
      </c>
      <c r="C1334" s="1100">
        <v>1.0110527713690545</v>
      </c>
      <c r="D1334" s="1100">
        <v>0.96736189235281778</v>
      </c>
      <c r="E1334" s="1100">
        <v>0.98935148594089806</v>
      </c>
      <c r="F1334" s="1100">
        <v>0.98734135176600102</v>
      </c>
      <c r="G1334" s="1100">
        <v>0.97931698781784449</v>
      </c>
      <c r="H1334" s="1100">
        <v>0.97077299591116628</v>
      </c>
      <c r="I1334" s="1100">
        <v>1.0157775650243708</v>
      </c>
      <c r="K1334">
        <v>2.1872475522839046</v>
      </c>
      <c r="L1334">
        <v>0</v>
      </c>
      <c r="M1334">
        <v>1.5293174586657097E-3</v>
      </c>
      <c r="N1334">
        <v>0.1345983667874513</v>
      </c>
      <c r="O1334">
        <v>1.9672797460836451E-2</v>
      </c>
      <c r="P1334">
        <v>2.5636731157896071E-2</v>
      </c>
      <c r="Q1334">
        <v>5.4277317199017665E-3</v>
      </c>
      <c r="R1334">
        <v>1.5071756070330611E-3</v>
      </c>
      <c r="S1334">
        <v>0.24425658747893036</v>
      </c>
      <c r="T1334">
        <v>1.3268366408962133</v>
      </c>
      <c r="U1334">
        <v>0.14118751642860411</v>
      </c>
      <c r="V1334">
        <v>0.18173065923156906</v>
      </c>
      <c r="W1334">
        <v>8.8985740598773358E-2</v>
      </c>
      <c r="X1334">
        <v>1.4834887213320878E-2</v>
      </c>
      <c r="Y1334">
        <v>4.1020351620386615E-3</v>
      </c>
    </row>
    <row r="1335" spans="1:25" x14ac:dyDescent="0.25">
      <c r="A1335" s="1096"/>
      <c r="B1335" s="1455">
        <v>1085</v>
      </c>
      <c r="C1335" s="1100">
        <v>1.00451003303732</v>
      </c>
      <c r="D1335" s="1100">
        <v>1.0205651685764336</v>
      </c>
      <c r="E1335" s="1100">
        <v>0.98713505778072019</v>
      </c>
      <c r="F1335" s="1100">
        <v>0.98678118884393073</v>
      </c>
      <c r="G1335" s="1100">
        <v>1.0027595273511334</v>
      </c>
      <c r="H1335" s="1100">
        <v>1.0031849655210108</v>
      </c>
      <c r="I1335" s="1100">
        <v>1.0209815177718031</v>
      </c>
      <c r="K1335">
        <v>2.1952318134997051</v>
      </c>
      <c r="L1335">
        <v>0</v>
      </c>
      <c r="M1335">
        <v>1.5792764205043955E-3</v>
      </c>
      <c r="N1335">
        <v>0.13813244585519979</v>
      </c>
      <c r="O1335">
        <v>1.9567704471608761E-2</v>
      </c>
      <c r="P1335">
        <v>2.5622241086688029E-2</v>
      </c>
      <c r="Q1335">
        <v>5.3866435598909339E-3</v>
      </c>
      <c r="R1335">
        <v>1.5571500024741209E-3</v>
      </c>
      <c r="S1335">
        <v>0.24316114579517445</v>
      </c>
      <c r="T1335">
        <v>1.3260809459283862</v>
      </c>
      <c r="U1335">
        <v>0.14210205144316573</v>
      </c>
      <c r="V1335">
        <v>0.18476079918886343</v>
      </c>
      <c r="W1335">
        <v>9.1443697532311408E-2</v>
      </c>
      <c r="X1335">
        <v>1.4758216064071343E-2</v>
      </c>
      <c r="Y1335">
        <v>4.238048992374197E-3</v>
      </c>
    </row>
    <row r="1336" spans="1:25" x14ac:dyDescent="0.25">
      <c r="A1336" s="1096"/>
      <c r="B1336" s="1455">
        <v>1086</v>
      </c>
      <c r="C1336" s="1100">
        <v>0.99561593561319994</v>
      </c>
      <c r="D1336" s="1100">
        <v>0.97888276702966037</v>
      </c>
      <c r="E1336" s="1100">
        <v>0.96174756012391793</v>
      </c>
      <c r="F1336" s="1100">
        <v>1.0345497545008544</v>
      </c>
      <c r="G1336" s="1100">
        <v>1.0036382301834283</v>
      </c>
      <c r="H1336" s="1100">
        <v>1.0193212204049613</v>
      </c>
      <c r="I1336" s="1100">
        <v>0.99101135306515853</v>
      </c>
      <c r="K1336">
        <v>2.2665872091529082</v>
      </c>
      <c r="L1336">
        <v>0</v>
      </c>
      <c r="M1336">
        <v>1.7219205161671722E-3</v>
      </c>
      <c r="N1336">
        <v>0.13950019225273022</v>
      </c>
      <c r="O1336">
        <v>1.9908521473552078E-2</v>
      </c>
      <c r="P1336">
        <v>2.6019301649413937E-2</v>
      </c>
      <c r="Q1336">
        <v>5.340427697438031E-3</v>
      </c>
      <c r="R1336">
        <v>1.6981774932377208E-3</v>
      </c>
      <c r="S1336">
        <v>0.24423045424412179</v>
      </c>
      <c r="T1336">
        <v>1.3902474117421584</v>
      </c>
      <c r="U1336">
        <v>0.14331302226817672</v>
      </c>
      <c r="V1336">
        <v>0.18536630269965826</v>
      </c>
      <c r="W1336">
        <v>9.3782106410369881E-2</v>
      </c>
      <c r="X1336">
        <v>1.4281332405685618E-2</v>
      </c>
      <c r="Y1336">
        <v>4.6218793325328803E-3</v>
      </c>
    </row>
    <row r="1337" spans="1:25" x14ac:dyDescent="0.25">
      <c r="A1337" s="1096"/>
      <c r="B1337" s="1455">
        <v>1087</v>
      </c>
      <c r="C1337" s="1100">
        <v>0.98759273671009196</v>
      </c>
      <c r="D1337" s="1100">
        <v>0.99747783246433852</v>
      </c>
      <c r="E1337" s="1100">
        <v>1.0020142999834811</v>
      </c>
      <c r="F1337" s="1100">
        <v>1.0129023090939995</v>
      </c>
      <c r="G1337" s="1100">
        <v>0.99887548385593738</v>
      </c>
      <c r="H1337" s="1100">
        <v>0.97644578892139822</v>
      </c>
      <c r="I1337" s="1100">
        <v>1.0232437716742655</v>
      </c>
      <c r="K1337">
        <v>2.2422864822404218</v>
      </c>
      <c r="L1337">
        <v>0</v>
      </c>
      <c r="M1337">
        <v>1.5236848536503038E-3</v>
      </c>
      <c r="N1337">
        <v>0.13934598922936892</v>
      </c>
      <c r="O1337">
        <v>2.0012748705824968E-2</v>
      </c>
      <c r="P1337">
        <v>2.6505583580251992E-2</v>
      </c>
      <c r="Q1337">
        <v>5.592424323946233E-3</v>
      </c>
      <c r="R1337">
        <v>1.5017527146069204E-3</v>
      </c>
      <c r="S1337">
        <v>0.24860733951380543</v>
      </c>
      <c r="T1337">
        <v>1.3612058952723136</v>
      </c>
      <c r="U1337">
        <v>0.14457089280250604</v>
      </c>
      <c r="V1337">
        <v>0.18534631569585702</v>
      </c>
      <c r="W1337">
        <v>9.1431403117131937E-2</v>
      </c>
      <c r="X1337">
        <v>1.5602546301947918E-2</v>
      </c>
      <c r="Y1337">
        <v>4.0872758365107153E-3</v>
      </c>
    </row>
    <row r="1338" spans="1:25" x14ac:dyDescent="0.25">
      <c r="A1338" s="1096"/>
      <c r="B1338" s="1455">
        <v>1088</v>
      </c>
      <c r="C1338" s="1100">
        <v>0.97541013389611242</v>
      </c>
      <c r="D1338" s="1100">
        <v>0.95491918915320151</v>
      </c>
      <c r="E1338" s="1100">
        <v>1.0054473971124862</v>
      </c>
      <c r="F1338" s="1100">
        <v>1.0108627147739147</v>
      </c>
      <c r="G1338" s="1100">
        <v>1.0006555732062254</v>
      </c>
      <c r="H1338" s="1100">
        <v>0.98229994342775118</v>
      </c>
      <c r="I1338" s="1100">
        <v>1.009300716861909</v>
      </c>
      <c r="K1338">
        <v>2.2563050442906754</v>
      </c>
      <c r="L1338">
        <v>0</v>
      </c>
      <c r="M1338">
        <v>1.5557982913023574E-3</v>
      </c>
      <c r="N1338">
        <v>0.14377842891693945</v>
      </c>
      <c r="O1338">
        <v>2.0460234160425673E-2</v>
      </c>
      <c r="P1338">
        <v>2.6651996314737515E-2</v>
      </c>
      <c r="Q1338">
        <v>5.7371946041031531E-3</v>
      </c>
      <c r="R1338">
        <v>1.533537369296559E-3</v>
      </c>
      <c r="S1338">
        <v>0.25431726142911704</v>
      </c>
      <c r="T1338">
        <v>1.3584707577780404</v>
      </c>
      <c r="U1338">
        <v>0.1463846513213693</v>
      </c>
      <c r="V1338">
        <v>0.18630092496176653</v>
      </c>
      <c r="W1338">
        <v>9.4147999482215652E-2</v>
      </c>
      <c r="X1338">
        <v>1.5904073055196512E-2</v>
      </c>
      <c r="Y1338">
        <v>4.1737831887673077E-3</v>
      </c>
    </row>
    <row r="1339" spans="1:25" x14ac:dyDescent="0.25">
      <c r="A1339" s="1096"/>
      <c r="B1339" s="1455">
        <v>1089</v>
      </c>
      <c r="C1339" s="1100">
        <v>0.98014193290746554</v>
      </c>
      <c r="D1339" s="1100">
        <v>1.0226038750496114</v>
      </c>
      <c r="E1339" s="1100">
        <v>1.0310489283633248</v>
      </c>
      <c r="F1339" s="1100">
        <v>1.0127062336975932</v>
      </c>
      <c r="G1339" s="1100">
        <v>0.99715927838185958</v>
      </c>
      <c r="H1339" s="1100">
        <v>0.96371612237202009</v>
      </c>
      <c r="I1339" s="1100">
        <v>1.0050127493644676</v>
      </c>
      <c r="K1339">
        <v>2.2407395174155926</v>
      </c>
      <c r="L1339">
        <v>0</v>
      </c>
      <c r="M1339">
        <v>1.4186843739432313E-3</v>
      </c>
      <c r="N1339">
        <v>0.14159613119661726</v>
      </c>
      <c r="O1339">
        <v>2.0073278954555442E-2</v>
      </c>
      <c r="P1339">
        <v>2.7004730716878173E-2</v>
      </c>
      <c r="Q1339">
        <v>5.7739311175448119E-3</v>
      </c>
      <c r="R1339">
        <v>1.3979938905321861E-3</v>
      </c>
      <c r="S1339">
        <v>0.24217690274234799</v>
      </c>
      <c r="T1339">
        <v>1.3609996757068592</v>
      </c>
      <c r="U1339">
        <v>0.14573825930976128</v>
      </c>
      <c r="V1339">
        <v>0.18563589112355969</v>
      </c>
      <c r="W1339">
        <v>9.1338667157666018E-2</v>
      </c>
      <c r="X1339">
        <v>1.6617861351745273E-2</v>
      </c>
      <c r="Y1339">
        <v>3.804878521466451E-3</v>
      </c>
    </row>
    <row r="1340" spans="1:25" x14ac:dyDescent="0.25">
      <c r="A1340" s="1096"/>
      <c r="B1340" s="1455">
        <v>1090</v>
      </c>
      <c r="C1340" s="1100">
        <v>0.9842149087643618</v>
      </c>
      <c r="D1340" s="1100">
        <v>0.99842097664776275</v>
      </c>
      <c r="E1340" s="1100">
        <v>1.0428915035933195</v>
      </c>
      <c r="F1340" s="1100">
        <v>0.98772188679806028</v>
      </c>
      <c r="G1340" s="1100">
        <v>0.99728299740045201</v>
      </c>
      <c r="H1340" s="1100">
        <v>0.99255423744070959</v>
      </c>
      <c r="I1340" s="1100">
        <v>1.0338313521874161</v>
      </c>
      <c r="K1340">
        <v>2.2275961305502037</v>
      </c>
      <c r="L1340">
        <v>0</v>
      </c>
      <c r="M1340">
        <v>1.4270799261347246E-3</v>
      </c>
      <c r="N1340">
        <v>0.14767165455096065</v>
      </c>
      <c r="O1340">
        <v>2.0103299089701512E-2</v>
      </c>
      <c r="P1340">
        <v>2.6913874648066848E-2</v>
      </c>
      <c r="Q1340">
        <v>5.8504092451000418E-3</v>
      </c>
      <c r="R1340">
        <v>1.4068717077604085E-3</v>
      </c>
      <c r="S1340">
        <v>0.25360740445629731</v>
      </c>
      <c r="T1340">
        <v>1.3274504980133688</v>
      </c>
      <c r="U1340">
        <v>0.14516300636358359</v>
      </c>
      <c r="V1340">
        <v>0.18541060754465288</v>
      </c>
      <c r="W1340">
        <v>9.4608727187358119E-2</v>
      </c>
      <c r="X1340">
        <v>1.7007816656094698E-2</v>
      </c>
      <c r="Y1340">
        <v>3.8290410133900114E-3</v>
      </c>
    </row>
    <row r="1341" spans="1:25" x14ac:dyDescent="0.25">
      <c r="A1341" s="1096"/>
      <c r="B1341" s="1455">
        <v>1091</v>
      </c>
      <c r="C1341" s="1100">
        <v>1.003346698269826</v>
      </c>
      <c r="D1341" s="1100">
        <v>0.99421032644003382</v>
      </c>
      <c r="E1341" s="1100">
        <v>0.98470567401710662</v>
      </c>
      <c r="F1341" s="1100">
        <v>0.99881690377624466</v>
      </c>
      <c r="G1341" s="1100">
        <v>0.95778099502444047</v>
      </c>
      <c r="H1341" s="1100">
        <v>0.994110772265003</v>
      </c>
      <c r="I1341" s="1100">
        <v>1.0171082157238716</v>
      </c>
      <c r="K1341">
        <v>2.2077074301660224</v>
      </c>
      <c r="L1341">
        <v>0</v>
      </c>
      <c r="M1341">
        <v>1.5837937392801926E-3</v>
      </c>
      <c r="N1341">
        <v>0.13749564782708953</v>
      </c>
      <c r="O1341">
        <v>1.9701966243473056E-2</v>
      </c>
      <c r="P1341">
        <v>2.5751851064849098E-2</v>
      </c>
      <c r="Q1341">
        <v>5.4102718026838659E-3</v>
      </c>
      <c r="R1341">
        <v>1.5614014849133872E-3</v>
      </c>
      <c r="S1341">
        <v>0.24494000612199579</v>
      </c>
      <c r="T1341">
        <v>1.3422519637409851</v>
      </c>
      <c r="U1341">
        <v>0.14226125026065917</v>
      </c>
      <c r="V1341">
        <v>0.17974279524053083</v>
      </c>
      <c r="W1341">
        <v>9.1155131568628492E-2</v>
      </c>
      <c r="X1341">
        <v>1.4769318423419832E-2</v>
      </c>
      <c r="Y1341">
        <v>4.2496201260730712E-3</v>
      </c>
    </row>
    <row r="1342" spans="1:25" x14ac:dyDescent="0.25">
      <c r="A1342" s="1096"/>
      <c r="B1342" s="1455">
        <v>1092</v>
      </c>
      <c r="C1342" s="1100">
        <v>0.99659527517144797</v>
      </c>
      <c r="D1342" s="1100">
        <v>1.0391888688141708</v>
      </c>
      <c r="E1342" s="1100">
        <v>1.0085649278739006</v>
      </c>
      <c r="F1342" s="1100">
        <v>1.0115674913506592</v>
      </c>
      <c r="G1342" s="1100">
        <v>0.99697715047589297</v>
      </c>
      <c r="H1342" s="1100">
        <v>0.98936273691763987</v>
      </c>
      <c r="I1342" s="1100">
        <v>0.9889305960694893</v>
      </c>
      <c r="K1342">
        <v>2.2236188080121528</v>
      </c>
      <c r="L1342">
        <v>0</v>
      </c>
      <c r="M1342">
        <v>1.4956897976428853E-3</v>
      </c>
      <c r="N1342">
        <v>0.13954535222401274</v>
      </c>
      <c r="O1342">
        <v>1.9658110159606411E-2</v>
      </c>
      <c r="P1342">
        <v>2.6386442967470475E-2</v>
      </c>
      <c r="Q1342">
        <v>5.5295071354724149E-3</v>
      </c>
      <c r="R1342">
        <v>1.4744417046216802E-3</v>
      </c>
      <c r="S1342">
        <v>0.23435375601753994</v>
      </c>
      <c r="T1342">
        <v>1.3594233868948227</v>
      </c>
      <c r="U1342">
        <v>0.14328008696645406</v>
      </c>
      <c r="V1342">
        <v>0.18459494051344044</v>
      </c>
      <c r="W1342">
        <v>9.1207903764072035E-2</v>
      </c>
      <c r="X1342">
        <v>1.5647625191879507E-2</v>
      </c>
      <c r="Y1342">
        <v>4.0129442704029137E-3</v>
      </c>
    </row>
    <row r="1343" spans="1:25" x14ac:dyDescent="0.25">
      <c r="A1343" s="1096"/>
      <c r="B1343" s="1455">
        <v>1093</v>
      </c>
      <c r="C1343" s="1100">
        <v>1.0269374552272956</v>
      </c>
      <c r="D1343" s="1100">
        <v>1.0235130121695639</v>
      </c>
      <c r="E1343" s="1100">
        <v>1.0009765353830664</v>
      </c>
      <c r="F1343" s="1100">
        <v>0.99554039833629748</v>
      </c>
      <c r="G1343" s="1100">
        <v>1.0267137064111638</v>
      </c>
      <c r="H1343" s="1100">
        <v>1.0347126005347975</v>
      </c>
      <c r="I1343" s="1100">
        <v>1.0321823744444822</v>
      </c>
      <c r="K1343">
        <v>2.2095264222589783</v>
      </c>
      <c r="L1343">
        <v>0</v>
      </c>
      <c r="M1343">
        <v>1.5472978300868764E-3</v>
      </c>
      <c r="N1343">
        <v>0.14117856343926993</v>
      </c>
      <c r="O1343">
        <v>1.9136590067090526E-2</v>
      </c>
      <c r="P1343">
        <v>2.6022359637263608E-2</v>
      </c>
      <c r="Q1343">
        <v>5.3420170852737144E-3</v>
      </c>
      <c r="R1343">
        <v>1.5262799865107019E-3</v>
      </c>
      <c r="S1343">
        <v>0.24274819241306989</v>
      </c>
      <c r="T1343">
        <v>1.3378721195655789</v>
      </c>
      <c r="U1343">
        <v>0.13902966838247455</v>
      </c>
      <c r="V1343">
        <v>0.18619065270441174</v>
      </c>
      <c r="W1343">
        <v>9.2690926379971714E-2</v>
      </c>
      <c r="X1343">
        <v>1.5182319442929386E-2</v>
      </c>
      <c r="Y1343">
        <v>4.1540309852197976E-3</v>
      </c>
    </row>
    <row r="1344" spans="1:25" x14ac:dyDescent="0.25">
      <c r="A1344" s="1096"/>
      <c r="B1344" s="1455">
        <v>1094</v>
      </c>
      <c r="C1344" s="1100">
        <v>1.0278521342830089</v>
      </c>
      <c r="D1344" s="1100">
        <v>0.99055546858012511</v>
      </c>
      <c r="E1344" s="1100">
        <v>0.98713328889711738</v>
      </c>
      <c r="F1344" s="1100">
        <v>1.0325714310488403</v>
      </c>
      <c r="G1344" s="1100">
        <v>1.0102708116028705</v>
      </c>
      <c r="H1344" s="1100">
        <v>1.0140515324528738</v>
      </c>
      <c r="I1344" s="1100">
        <v>1.0370293095863643</v>
      </c>
      <c r="K1344">
        <v>2.2550820236766804</v>
      </c>
      <c r="L1344">
        <v>0</v>
      </c>
      <c r="M1344">
        <v>1.5704134868359755E-3</v>
      </c>
      <c r="N1344">
        <v>0.13737742401706005</v>
      </c>
      <c r="O1344">
        <v>1.9249307953303509E-2</v>
      </c>
      <c r="P1344">
        <v>2.6439965365684836E-2</v>
      </c>
      <c r="Q1344">
        <v>5.2989851306186418E-3</v>
      </c>
      <c r="R1344">
        <v>1.5486470185917046E-3</v>
      </c>
      <c r="S1344">
        <v>0.24586650047418246</v>
      </c>
      <c r="T1344">
        <v>1.3876159306042373</v>
      </c>
      <c r="U1344">
        <v>0.13887496806652241</v>
      </c>
      <c r="V1344">
        <v>0.18426897455741367</v>
      </c>
      <c r="W1344">
        <v>9.0943969564252311E-2</v>
      </c>
      <c r="X1344">
        <v>1.4952857738395428E-2</v>
      </c>
      <c r="Y1344">
        <v>4.2149066732541443E-3</v>
      </c>
    </row>
    <row r="1345" spans="1:25" x14ac:dyDescent="0.25">
      <c r="A1345" s="1096"/>
      <c r="B1345" s="1455">
        <v>1095</v>
      </c>
      <c r="C1345" s="1100">
        <v>0.96532097611796563</v>
      </c>
      <c r="D1345" s="1100">
        <v>0.99073043614307033</v>
      </c>
      <c r="E1345" s="1100">
        <v>0.99133273189761562</v>
      </c>
      <c r="F1345" s="1100">
        <v>1.0227911020531326</v>
      </c>
      <c r="G1345" s="1100">
        <v>1.0248605654491891</v>
      </c>
      <c r="H1345" s="1100">
        <v>0.98926204245386806</v>
      </c>
      <c r="I1345" s="1100">
        <v>0.98138025760786163</v>
      </c>
      <c r="K1345">
        <v>2.268028102619088</v>
      </c>
      <c r="L1345">
        <v>0</v>
      </c>
      <c r="M1345">
        <v>1.6170766869249174E-3</v>
      </c>
      <c r="N1345">
        <v>0.14321662012909139</v>
      </c>
      <c r="O1345">
        <v>2.0498153606623274E-2</v>
      </c>
      <c r="P1345">
        <v>2.6538995146539079E-2</v>
      </c>
      <c r="Q1345">
        <v>5.6667824229200943E-3</v>
      </c>
      <c r="R1345">
        <v>1.5941018071627716E-3</v>
      </c>
      <c r="S1345">
        <v>0.24573269366801209</v>
      </c>
      <c r="T1345">
        <v>1.3744785144002403</v>
      </c>
      <c r="U1345">
        <v>0.1478809512767765</v>
      </c>
      <c r="V1345">
        <v>0.1896598852434084</v>
      </c>
      <c r="W1345">
        <v>9.457116311050659E-2</v>
      </c>
      <c r="X1345">
        <v>1.5468698871152708E-2</v>
      </c>
      <c r="Y1345">
        <v>4.338619623577563E-3</v>
      </c>
    </row>
    <row r="1346" spans="1:25" x14ac:dyDescent="0.25">
      <c r="A1346" s="1096"/>
      <c r="B1346" s="1455">
        <v>1096</v>
      </c>
      <c r="C1346" s="1100">
        <v>0.99879799535595382</v>
      </c>
      <c r="D1346" s="1100">
        <v>0.99922071827734882</v>
      </c>
      <c r="E1346" s="1100">
        <v>1.0201153496818731</v>
      </c>
      <c r="F1346" s="1100">
        <v>0.97918261646994975</v>
      </c>
      <c r="G1346" s="1100">
        <v>0.99445166150200626</v>
      </c>
      <c r="H1346" s="1100">
        <v>0.95555412727761779</v>
      </c>
      <c r="I1346" s="1100">
        <v>0.98311252452557807</v>
      </c>
      <c r="K1346">
        <v>2.1746410965957841</v>
      </c>
      <c r="L1346">
        <v>0</v>
      </c>
      <c r="M1346">
        <v>1.4193890922169097E-3</v>
      </c>
      <c r="N1346">
        <v>0.1370544516932341</v>
      </c>
      <c r="O1346">
        <v>1.979197429985189E-2</v>
      </c>
      <c r="P1346">
        <v>2.6001179712619397E-2</v>
      </c>
      <c r="Q1346">
        <v>5.6316579724120346E-3</v>
      </c>
      <c r="R1346">
        <v>1.3985115126428629E-3</v>
      </c>
      <c r="S1346">
        <v>0.23445696063417559</v>
      </c>
      <c r="T1346">
        <v>1.3159235698421041</v>
      </c>
      <c r="U1346">
        <v>0.14299078461786827</v>
      </c>
      <c r="V1346">
        <v>0.18418864288192882</v>
      </c>
      <c r="W1346">
        <v>8.89738415358204E-2</v>
      </c>
      <c r="X1346">
        <v>1.5842623667123745E-2</v>
      </c>
      <c r="Y1346">
        <v>3.8062873182176326E-3</v>
      </c>
    </row>
    <row r="1347" spans="1:25" x14ac:dyDescent="0.25">
      <c r="A1347" s="1096"/>
      <c r="B1347" s="1455">
        <v>1097</v>
      </c>
      <c r="C1347" s="1100">
        <v>0.97289494346877503</v>
      </c>
      <c r="D1347" s="1100">
        <v>1.0046336314122182</v>
      </c>
      <c r="E1347" s="1100">
        <v>0.98628506207724487</v>
      </c>
      <c r="F1347" s="1100">
        <v>0.98757021640225551</v>
      </c>
      <c r="G1347" s="1100">
        <v>1.0201346693546458</v>
      </c>
      <c r="H1347" s="1100">
        <v>1.0372236387805545</v>
      </c>
      <c r="I1347" s="1100">
        <v>0.97104757670062314</v>
      </c>
      <c r="K1347">
        <v>2.2228859623603974</v>
      </c>
      <c r="L1347">
        <v>0</v>
      </c>
      <c r="M1347">
        <v>1.6947485677079441E-3</v>
      </c>
      <c r="N1347">
        <v>0.14792069237696473</v>
      </c>
      <c r="O1347">
        <v>2.0273084244509E-2</v>
      </c>
      <c r="P1347">
        <v>2.5737710210577001E-2</v>
      </c>
      <c r="Q1347">
        <v>5.5760207151341369E-3</v>
      </c>
      <c r="R1347">
        <v>1.6717835467301805E-3</v>
      </c>
      <c r="S1347">
        <v>0.24336977394052892</v>
      </c>
      <c r="T1347">
        <v>1.3271401837071275</v>
      </c>
      <c r="U1347">
        <v>0.1467177772205214</v>
      </c>
      <c r="V1347">
        <v>0.18864286902205862</v>
      </c>
      <c r="W1347">
        <v>9.7973523349687189E-2</v>
      </c>
      <c r="X1347">
        <v>1.5007248883363071E-2</v>
      </c>
      <c r="Y1347">
        <v>4.5500437109014828E-3</v>
      </c>
    </row>
    <row r="1348" spans="1:25" x14ac:dyDescent="0.25">
      <c r="A1348" s="1096"/>
      <c r="B1348" s="1455">
        <v>1098</v>
      </c>
      <c r="C1348" s="1100">
        <v>0.99738008556381241</v>
      </c>
      <c r="D1348" s="1100">
        <v>0.96391662637306363</v>
      </c>
      <c r="E1348" s="1100">
        <v>0.99819145327403691</v>
      </c>
      <c r="F1348" s="1100">
        <v>1.0384622041217293</v>
      </c>
      <c r="G1348" s="1100">
        <v>0.9966184880043214</v>
      </c>
      <c r="H1348" s="1100">
        <v>0.99426043865226499</v>
      </c>
      <c r="I1348" s="1100">
        <v>0.99909874764297069</v>
      </c>
      <c r="K1348">
        <v>2.2751271410617613</v>
      </c>
      <c r="L1348">
        <v>0</v>
      </c>
      <c r="M1348">
        <v>1.5601929215320583E-3</v>
      </c>
      <c r="N1348">
        <v>0.14108321434718357</v>
      </c>
      <c r="O1348">
        <v>1.9963719637230402E-2</v>
      </c>
      <c r="P1348">
        <v>2.6830804726770199E-2</v>
      </c>
      <c r="Q1348">
        <v>5.5573287747282723E-3</v>
      </c>
      <c r="R1348">
        <v>1.5381376646324953E-3</v>
      </c>
      <c r="S1348">
        <v>0.24594815252631413</v>
      </c>
      <c r="T1348">
        <v>1.3955486631985727</v>
      </c>
      <c r="U1348">
        <v>0.14314338554947709</v>
      </c>
      <c r="V1348">
        <v>0.18449833696123269</v>
      </c>
      <c r="W1348">
        <v>9.2781829990534526E-2</v>
      </c>
      <c r="X1348">
        <v>1.5607456930431125E-2</v>
      </c>
      <c r="Y1348">
        <v>4.1863036761847772E-3</v>
      </c>
    </row>
    <row r="1349" spans="1:25" x14ac:dyDescent="0.25">
      <c r="A1349" s="1096"/>
      <c r="B1349" s="1455">
        <v>1099</v>
      </c>
      <c r="C1349" s="1100">
        <v>1.0429429644458468</v>
      </c>
      <c r="D1349" s="1100">
        <v>1.0029360274213166</v>
      </c>
      <c r="E1349" s="1100">
        <v>0.98789332139308228</v>
      </c>
      <c r="F1349" s="1100">
        <v>1.0170119960123729</v>
      </c>
      <c r="G1349" s="1100">
        <v>1.0065179226269321</v>
      </c>
      <c r="H1349" s="1100">
        <v>1.0020489474988792</v>
      </c>
      <c r="I1349" s="1100">
        <v>1.0342850658406759</v>
      </c>
      <c r="K1349">
        <v>2.2166096605345613</v>
      </c>
      <c r="L1349">
        <v>0</v>
      </c>
      <c r="M1349">
        <v>1.5228000756223039E-3</v>
      </c>
      <c r="N1349">
        <v>0.13349631351253774</v>
      </c>
      <c r="O1349">
        <v>1.8919464976755371E-2</v>
      </c>
      <c r="P1349">
        <v>2.603852973174501E-2</v>
      </c>
      <c r="Q1349">
        <v>5.212193418099172E-3</v>
      </c>
      <c r="R1349">
        <v>1.5014407306325687E-3</v>
      </c>
      <c r="S1349">
        <v>0.23923088257194625</v>
      </c>
      <c r="T1349">
        <v>1.3667074820113296</v>
      </c>
      <c r="U1349">
        <v>0.13686719556988294</v>
      </c>
      <c r="V1349">
        <v>0.18301041604885479</v>
      </c>
      <c r="W1349">
        <v>8.8334363617075168E-2</v>
      </c>
      <c r="X1349">
        <v>1.4727751702346593E-2</v>
      </c>
      <c r="Y1349">
        <v>4.086426718978021E-3</v>
      </c>
    </row>
    <row r="1350" spans="1:25" x14ac:dyDescent="0.25">
      <c r="A1350" s="1096"/>
      <c r="B1350" s="1455">
        <v>1100</v>
      </c>
      <c r="C1350" s="1100">
        <v>0.98943873090384948</v>
      </c>
      <c r="D1350" s="1100">
        <v>1.0111046551607499</v>
      </c>
      <c r="E1350" s="1100">
        <v>1.0185120565974419</v>
      </c>
      <c r="F1350" s="1100">
        <v>1.005909888134741</v>
      </c>
      <c r="G1350" s="1100">
        <v>0.99793979448513548</v>
      </c>
      <c r="H1350" s="1100">
        <v>1.0297288522370627</v>
      </c>
      <c r="I1350" s="1100">
        <v>0.9677494305914025</v>
      </c>
      <c r="K1350">
        <v>2.2363281545609826</v>
      </c>
      <c r="L1350">
        <v>0</v>
      </c>
      <c r="M1350">
        <v>1.5451718823232539E-3</v>
      </c>
      <c r="N1350">
        <v>0.14863960692714748</v>
      </c>
      <c r="O1350">
        <v>1.9926277400378504E-2</v>
      </c>
      <c r="P1350">
        <v>2.653982291178901E-2</v>
      </c>
      <c r="Q1350">
        <v>5.6608394678084456E-3</v>
      </c>
      <c r="R1350">
        <v>1.524081332975046E-3</v>
      </c>
      <c r="S1350">
        <v>0.23738823571673148</v>
      </c>
      <c r="T1350">
        <v>1.3518391128704459</v>
      </c>
      <c r="U1350">
        <v>0.14433961637521953</v>
      </c>
      <c r="V1350">
        <v>0.18514344385504342</v>
      </c>
      <c r="W1350">
        <v>9.6585367566825953E-2</v>
      </c>
      <c r="X1350">
        <v>1.6138875043857481E-2</v>
      </c>
      <c r="Y1350">
        <v>4.1480469750816863E-3</v>
      </c>
    </row>
    <row r="1351" spans="1:25" x14ac:dyDescent="0.25">
      <c r="A1351" s="1096"/>
      <c r="B1351" s="1455">
        <v>1101</v>
      </c>
      <c r="C1351" s="1100">
        <v>1.020466369107347</v>
      </c>
      <c r="D1351" s="1100">
        <v>1.0007471056004316</v>
      </c>
      <c r="E1351" s="1100">
        <v>0.99606350141999367</v>
      </c>
      <c r="F1351" s="1100">
        <v>0.97535440878527147</v>
      </c>
      <c r="G1351" s="1100">
        <v>1.0280706276129066</v>
      </c>
      <c r="H1351" s="1100">
        <v>1.0164687617169754</v>
      </c>
      <c r="I1351" s="1100">
        <v>0.99125388389966484</v>
      </c>
      <c r="K1351">
        <v>2.1738509854971961</v>
      </c>
      <c r="L1351">
        <v>0</v>
      </c>
      <c r="M1351">
        <v>1.5529863364861735E-3</v>
      </c>
      <c r="N1351">
        <v>0.1395751312176175</v>
      </c>
      <c r="O1351">
        <v>1.9350472323273103E-2</v>
      </c>
      <c r="P1351">
        <v>2.5481820461524522E-2</v>
      </c>
      <c r="Q1351">
        <v>5.3750904371111874E-3</v>
      </c>
      <c r="R1351">
        <v>1.531512602182159E-3</v>
      </c>
      <c r="S1351">
        <v>0.23576569998770652</v>
      </c>
      <c r="T1351">
        <v>1.3107373951992807</v>
      </c>
      <c r="U1351">
        <v>0.13990021566911381</v>
      </c>
      <c r="V1351">
        <v>0.18670618773598088</v>
      </c>
      <c r="W1351">
        <v>9.1906483460664726E-2</v>
      </c>
      <c r="X1351">
        <v>1.4905690299077921E-2</v>
      </c>
      <c r="Y1351">
        <v>4.1682724401462118E-3</v>
      </c>
    </row>
    <row r="1352" spans="1:25" x14ac:dyDescent="0.25">
      <c r="A1352" s="1096"/>
      <c r="B1352" s="1455">
        <v>1102</v>
      </c>
      <c r="C1352" s="1100">
        <v>1.0231287907128004</v>
      </c>
      <c r="D1352" s="1100">
        <v>0.95814003545324222</v>
      </c>
      <c r="E1352" s="1100">
        <v>1.0142027274016976</v>
      </c>
      <c r="F1352" s="1100">
        <v>0.97238956960258072</v>
      </c>
      <c r="G1352" s="1100">
        <v>1.0109539189812971</v>
      </c>
      <c r="H1352" s="1100">
        <v>0.99786860640502306</v>
      </c>
      <c r="I1352" s="1100">
        <v>0.97289842865921594</v>
      </c>
      <c r="K1352">
        <v>2.1675295014371105</v>
      </c>
      <c r="L1352">
        <v>0</v>
      </c>
      <c r="M1352">
        <v>1.4784903553726021E-3</v>
      </c>
      <c r="N1352">
        <v>0.14032558030923098</v>
      </c>
      <c r="O1352">
        <v>1.9496930079048652E-2</v>
      </c>
      <c r="P1352">
        <v>2.5723248818359204E-2</v>
      </c>
      <c r="Q1352">
        <v>5.5151408267172632E-3</v>
      </c>
      <c r="R1352">
        <v>1.4576656381395808E-3</v>
      </c>
      <c r="S1352">
        <v>0.2345762144260454</v>
      </c>
      <c r="T1352">
        <v>1.3067831130785312</v>
      </c>
      <c r="U1352">
        <v>0.13957701298577824</v>
      </c>
      <c r="V1352">
        <v>0.18463575445491984</v>
      </c>
      <c r="W1352">
        <v>9.1413790038463033E-2</v>
      </c>
      <c r="X1352">
        <v>1.5536255789582447E-2</v>
      </c>
      <c r="Y1352">
        <v>3.9672853476674695E-3</v>
      </c>
    </row>
    <row r="1353" spans="1:25" x14ac:dyDescent="0.25">
      <c r="A1353" s="1096"/>
      <c r="B1353" s="1455">
        <v>1103</v>
      </c>
      <c r="C1353" s="1100">
        <v>1.0125122718009856</v>
      </c>
      <c r="D1353" s="1100">
        <v>0.95972791481719666</v>
      </c>
      <c r="E1353" s="1100">
        <v>0.9903979999529442</v>
      </c>
      <c r="F1353" s="1100">
        <v>1.0221934182248069</v>
      </c>
      <c r="G1353" s="1100">
        <v>0.99364011689780629</v>
      </c>
      <c r="H1353" s="1100">
        <v>1.0097779587338096</v>
      </c>
      <c r="I1353" s="1100">
        <v>0.99237052075905852</v>
      </c>
      <c r="K1353">
        <v>2.2439654944194416</v>
      </c>
      <c r="L1353">
        <v>0</v>
      </c>
      <c r="M1353">
        <v>1.587797411960354E-3</v>
      </c>
      <c r="N1353">
        <v>0.140267728268446</v>
      </c>
      <c r="O1353">
        <v>1.9679360920010661E-2</v>
      </c>
      <c r="P1353">
        <v>2.6283448655628646E-2</v>
      </c>
      <c r="Q1353">
        <v>5.4352892819536543E-3</v>
      </c>
      <c r="R1353">
        <v>1.5656968569690336E-3</v>
      </c>
      <c r="S1353">
        <v>0.24233991939509877</v>
      </c>
      <c r="T1353">
        <v>1.3736739855777043</v>
      </c>
      <c r="U1353">
        <v>0.14098637545283554</v>
      </c>
      <c r="V1353">
        <v>0.18326606100178308</v>
      </c>
      <c r="W1353">
        <v>9.2675746966571271E-2</v>
      </c>
      <c r="X1353">
        <v>1.5118368741563228E-2</v>
      </c>
      <c r="Y1353">
        <v>4.2613107128395226E-3</v>
      </c>
    </row>
    <row r="1354" spans="1:25" x14ac:dyDescent="0.25">
      <c r="A1354" s="1096"/>
      <c r="B1354" s="1455">
        <v>1104</v>
      </c>
      <c r="C1354" s="1100">
        <v>0.98763336352886744</v>
      </c>
      <c r="D1354" s="1100">
        <v>1.0012985096214042</v>
      </c>
      <c r="E1354" s="1100">
        <v>1.020674717126256</v>
      </c>
      <c r="F1354" s="1100">
        <v>1.0340662995446408</v>
      </c>
      <c r="G1354" s="1100">
        <v>1.008823374790466</v>
      </c>
      <c r="H1354" s="1100">
        <v>0.97554200610901898</v>
      </c>
      <c r="I1354" s="1100">
        <v>1.0068216611120044</v>
      </c>
      <c r="K1354">
        <v>2.2716245773804227</v>
      </c>
      <c r="L1354">
        <v>0</v>
      </c>
      <c r="M1354">
        <v>1.4630868203543259E-3</v>
      </c>
      <c r="N1354">
        <v>0.14155572701581751</v>
      </c>
      <c r="O1354">
        <v>2.0006921074376148E-2</v>
      </c>
      <c r="P1354">
        <v>2.7223005589813505E-2</v>
      </c>
      <c r="Q1354">
        <v>5.6959853882024031E-3</v>
      </c>
      <c r="R1354">
        <v>1.4420074273688475E-3</v>
      </c>
      <c r="S1354">
        <v>0.24420979323238509</v>
      </c>
      <c r="T1354">
        <v>1.3896829293748993</v>
      </c>
      <c r="U1354">
        <v>0.14460852190175044</v>
      </c>
      <c r="V1354">
        <v>0.1864852553213944</v>
      </c>
      <c r="W1354">
        <v>9.186594719679686E-2</v>
      </c>
      <c r="X1354">
        <v>1.638690181829586E-2</v>
      </c>
      <c r="Y1354">
        <v>3.9246688596773268E-3</v>
      </c>
    </row>
    <row r="1355" spans="1:25" x14ac:dyDescent="0.25">
      <c r="A1355" s="1096"/>
      <c r="B1355" s="1455">
        <v>1105</v>
      </c>
      <c r="C1355" s="1100">
        <v>1.021953884252027</v>
      </c>
      <c r="D1355" s="1100">
        <v>0.99756149327820332</v>
      </c>
      <c r="E1355" s="1100">
        <v>0.99681146988247549</v>
      </c>
      <c r="F1355" s="1100">
        <v>0.99881428771397973</v>
      </c>
      <c r="G1355" s="1100">
        <v>1.0097988561941589</v>
      </c>
      <c r="H1355" s="1100">
        <v>0.96727885490077037</v>
      </c>
      <c r="I1355" s="1100">
        <v>0.99821449490889036</v>
      </c>
      <c r="K1355">
        <v>2.1897197173453904</v>
      </c>
      <c r="L1355">
        <v>0</v>
      </c>
      <c r="M1355">
        <v>1.4744290377716226E-3</v>
      </c>
      <c r="N1355">
        <v>0.13271993848081137</v>
      </c>
      <c r="O1355">
        <v>1.9336321709213965E-2</v>
      </c>
      <c r="P1355">
        <v>2.5863773828074969E-2</v>
      </c>
      <c r="Q1355">
        <v>5.3752075046797111E-3</v>
      </c>
      <c r="R1355">
        <v>1.4530047615877479E-3</v>
      </c>
      <c r="S1355">
        <v>0.23360551749982369</v>
      </c>
      <c r="T1355">
        <v>1.3422652623817957</v>
      </c>
      <c r="U1355">
        <v>0.1396982666399865</v>
      </c>
      <c r="V1355">
        <v>0.18455682120038427</v>
      </c>
      <c r="W1355">
        <v>8.7353571498384644E-2</v>
      </c>
      <c r="X1355">
        <v>1.5011860900266726E-2</v>
      </c>
      <c r="Y1355">
        <v>3.9545999781509219E-3</v>
      </c>
    </row>
    <row r="1356" spans="1:25" x14ac:dyDescent="0.25">
      <c r="A1356" s="1096"/>
      <c r="B1356" s="1455">
        <v>1106</v>
      </c>
      <c r="C1356" s="1100">
        <v>0.96546596926210559</v>
      </c>
      <c r="D1356" s="1100">
        <v>0.999228805510184</v>
      </c>
      <c r="E1356" s="1100">
        <v>0.97652615481903648</v>
      </c>
      <c r="F1356" s="1100">
        <v>0.99289012300435942</v>
      </c>
      <c r="G1356" s="1100">
        <v>0.9980670665893866</v>
      </c>
      <c r="H1356" s="1100">
        <v>0.96708263009042461</v>
      </c>
      <c r="I1356" s="1100">
        <v>0.97935161349242872</v>
      </c>
      <c r="K1356">
        <v>2.2110666654564324</v>
      </c>
      <c r="L1356">
        <v>0</v>
      </c>
      <c r="M1356">
        <v>1.6266966235114263E-3</v>
      </c>
      <c r="N1356">
        <v>0.13771307162697519</v>
      </c>
      <c r="O1356">
        <v>2.0447042276767274E-2</v>
      </c>
      <c r="P1356">
        <v>2.561587854704973E-2</v>
      </c>
      <c r="Q1356">
        <v>5.5684031436430909E-3</v>
      </c>
      <c r="R1356">
        <v>1.6030550183895032E-3</v>
      </c>
      <c r="S1356">
        <v>0.24222636947883203</v>
      </c>
      <c r="T1356">
        <v>1.3342778224238174</v>
      </c>
      <c r="U1356">
        <v>0.14782352468256899</v>
      </c>
      <c r="V1356">
        <v>0.18660883007089021</v>
      </c>
      <c r="W1356">
        <v>9.1751097415976382E-2</v>
      </c>
      <c r="X1356">
        <v>1.4695280081919912E-2</v>
      </c>
      <c r="Y1356">
        <v>4.36298731311144E-3</v>
      </c>
    </row>
    <row r="1357" spans="1:25" x14ac:dyDescent="0.25">
      <c r="A1357" s="1096"/>
      <c r="B1357" s="1455">
        <v>1107</v>
      </c>
      <c r="C1357" s="1100">
        <v>1.0113115405457707</v>
      </c>
      <c r="D1357" s="1100">
        <v>1.0208558437193036</v>
      </c>
      <c r="E1357" s="1100">
        <v>0.98895236990024349</v>
      </c>
      <c r="F1357" s="1100">
        <v>1.0349188207969275</v>
      </c>
      <c r="G1357" s="1100">
        <v>0.99553934638531427</v>
      </c>
      <c r="H1357" s="1100">
        <v>0.98393492297970786</v>
      </c>
      <c r="I1357" s="1100">
        <v>0.9570189627174529</v>
      </c>
      <c r="K1357">
        <v>2.2343853051601359</v>
      </c>
      <c r="L1357">
        <v>0</v>
      </c>
      <c r="M1357">
        <v>1.5326801608959027E-3</v>
      </c>
      <c r="N1357">
        <v>0.13475811315815953</v>
      </c>
      <c r="O1357">
        <v>1.9436000859458152E-2</v>
      </c>
      <c r="P1357">
        <v>2.6256533317714967E-2</v>
      </c>
      <c r="Q1357">
        <v>5.3602356125620112E-3</v>
      </c>
      <c r="R1357">
        <v>1.5107864621751058E-3</v>
      </c>
      <c r="S1357">
        <v>0.2249230123412258</v>
      </c>
      <c r="T1357">
        <v>1.390772964701819</v>
      </c>
      <c r="U1357">
        <v>0.14115048304774835</v>
      </c>
      <c r="V1357">
        <v>0.18354906966055362</v>
      </c>
      <c r="W1357">
        <v>8.9112670325353971E-2</v>
      </c>
      <c r="X1357">
        <v>1.4976253114842228E-2</v>
      </c>
      <c r="Y1357">
        <v>4.1118627194172298E-3</v>
      </c>
    </row>
    <row r="1358" spans="1:25" x14ac:dyDescent="0.25">
      <c r="A1358" s="1096"/>
      <c r="B1358" s="1455">
        <v>1108</v>
      </c>
      <c r="C1358" s="1100">
        <v>1.032622484424321</v>
      </c>
      <c r="D1358" s="1100">
        <v>0.99949555415468128</v>
      </c>
      <c r="E1358" s="1100">
        <v>0.98118481691938364</v>
      </c>
      <c r="F1358" s="1100">
        <v>1.0329034885646258</v>
      </c>
      <c r="G1358" s="1100">
        <v>1.0134337132995361</v>
      </c>
      <c r="H1358" s="1100">
        <v>0.96871764213463318</v>
      </c>
      <c r="I1358" s="1100">
        <v>0.97670927510171657</v>
      </c>
      <c r="K1358">
        <v>2.2212540925488358</v>
      </c>
      <c r="L1358">
        <v>0</v>
      </c>
      <c r="M1358">
        <v>1.5087845904622585E-3</v>
      </c>
      <c r="N1358">
        <v>0.12954742215266593</v>
      </c>
      <c r="O1358">
        <v>1.9118956975961093E-2</v>
      </c>
      <c r="P1358">
        <v>2.6052052120310178E-2</v>
      </c>
      <c r="Q1358">
        <v>5.2314501341661403E-3</v>
      </c>
      <c r="R1358">
        <v>1.4868936707746129E-3</v>
      </c>
      <c r="S1358">
        <v>0.2259889605435369</v>
      </c>
      <c r="T1358">
        <v>1.3880545090263698</v>
      </c>
      <c r="U1358">
        <v>0.13822018588796095</v>
      </c>
      <c r="V1358">
        <v>0.18435506687311257</v>
      </c>
      <c r="W1358">
        <v>8.6068075803685806E-2</v>
      </c>
      <c r="X1358">
        <v>1.459246953327209E-2</v>
      </c>
      <c r="Y1358">
        <v>4.0468344174816569E-3</v>
      </c>
    </row>
    <row r="1359" spans="1:25" x14ac:dyDescent="0.25">
      <c r="A1359" s="1096"/>
      <c r="B1359" s="1455">
        <v>1109</v>
      </c>
      <c r="C1359" s="1100">
        <v>1.004165009415944</v>
      </c>
      <c r="D1359" s="1100">
        <v>0.98259613223725906</v>
      </c>
      <c r="E1359" s="1100">
        <v>0.99227671440315446</v>
      </c>
      <c r="F1359" s="1100">
        <v>1.0084429805193256</v>
      </c>
      <c r="G1359" s="1100">
        <v>1.0385278962992746</v>
      </c>
      <c r="H1359" s="1100">
        <v>0.98063500524287384</v>
      </c>
      <c r="I1359" s="1100">
        <v>1.0151926523368033</v>
      </c>
      <c r="K1359">
        <v>2.2286512642740228</v>
      </c>
      <c r="L1359">
        <v>0</v>
      </c>
      <c r="M1359">
        <v>1.540748355848655E-3</v>
      </c>
      <c r="N1359">
        <v>0.1368292011755757</v>
      </c>
      <c r="O1359">
        <v>1.9741586654919416E-2</v>
      </c>
      <c r="P1359">
        <v>2.6193193031896118E-2</v>
      </c>
      <c r="Q1359">
        <v>5.4628316204102176E-3</v>
      </c>
      <c r="R1359">
        <v>1.5186653443863361E-3</v>
      </c>
      <c r="S1359">
        <v>0.24468411038908586</v>
      </c>
      <c r="T1359">
        <v>1.3551981272156204</v>
      </c>
      <c r="U1359">
        <v>0.14216264600343154</v>
      </c>
      <c r="V1359">
        <v>0.1888286884275075</v>
      </c>
      <c r="W1359">
        <v>9.0302309387142982E-2</v>
      </c>
      <c r="X1359">
        <v>1.5137346940369216E-2</v>
      </c>
      <c r="Y1359">
        <v>4.1333064395233758E-3</v>
      </c>
    </row>
    <row r="1360" spans="1:25" x14ac:dyDescent="0.25">
      <c r="A1360" s="1096"/>
      <c r="B1360" s="1455">
        <v>1110</v>
      </c>
      <c r="C1360" s="1100">
        <v>0.99833868265862036</v>
      </c>
      <c r="D1360" s="1100">
        <v>1.0198726479523879</v>
      </c>
      <c r="E1360" s="1100">
        <v>0.96256291489346268</v>
      </c>
      <c r="F1360" s="1100">
        <v>1.0403965028192914</v>
      </c>
      <c r="G1360" s="1100">
        <v>0.98524243812058432</v>
      </c>
      <c r="H1360" s="1100">
        <v>1.0030646701043437</v>
      </c>
      <c r="I1360" s="1100">
        <v>1.0052735497330183</v>
      </c>
      <c r="K1360">
        <v>2.2616371522339369</v>
      </c>
      <c r="L1360">
        <v>0</v>
      </c>
      <c r="M1360">
        <v>1.6718428431765555E-3</v>
      </c>
      <c r="N1360">
        <v>0.13574740687619094</v>
      </c>
      <c r="O1360">
        <v>1.9676358777095993E-2</v>
      </c>
      <c r="P1360">
        <v>2.6059284603359326E-2</v>
      </c>
      <c r="Q1360">
        <v>5.2825701763390834E-3</v>
      </c>
      <c r="R1360">
        <v>1.6484167161806803E-3</v>
      </c>
      <c r="S1360">
        <v>0.24078493160276734</v>
      </c>
      <c r="T1360">
        <v>1.3981050252027094</v>
      </c>
      <c r="U1360">
        <v>0.14292403645976254</v>
      </c>
      <c r="V1360">
        <v>0.1831249628193517</v>
      </c>
      <c r="W1360">
        <v>9.1213653544964177E-2</v>
      </c>
      <c r="X1360">
        <v>1.4255901397371958E-2</v>
      </c>
      <c r="Y1360">
        <v>4.486446901019364E-3</v>
      </c>
    </row>
    <row r="1361" spans="1:25" x14ac:dyDescent="0.25">
      <c r="A1361" s="1096"/>
      <c r="B1361" s="1455">
        <v>1111</v>
      </c>
      <c r="C1361" s="1100">
        <v>1.004068691057163</v>
      </c>
      <c r="D1361" s="1100">
        <v>0.95511122089059997</v>
      </c>
      <c r="E1361" s="1100">
        <v>0.9953791930363578</v>
      </c>
      <c r="F1361" s="1100">
        <v>1.0080988352310525</v>
      </c>
      <c r="G1361" s="1100">
        <v>1.0118295019039514</v>
      </c>
      <c r="H1361" s="1100">
        <v>0.99538214199245922</v>
      </c>
      <c r="I1361" s="1100">
        <v>0.98020213017536073</v>
      </c>
      <c r="K1361">
        <v>2.2271653744896769</v>
      </c>
      <c r="L1361">
        <v>0</v>
      </c>
      <c r="M1361">
        <v>1.5637749686424683E-3</v>
      </c>
      <c r="N1361">
        <v>0.14021274348084811</v>
      </c>
      <c r="O1361">
        <v>1.9869042319521458E-2</v>
      </c>
      <c r="P1361">
        <v>2.6155427911616364E-2</v>
      </c>
      <c r="Q1361">
        <v>5.5153325192486774E-3</v>
      </c>
      <c r="R1361">
        <v>1.5416939863674762E-3</v>
      </c>
      <c r="S1361">
        <v>0.24086848897520272</v>
      </c>
      <c r="T1361">
        <v>1.3547402061002491</v>
      </c>
      <c r="U1361">
        <v>0.14218339039942576</v>
      </c>
      <c r="V1361">
        <v>0.18581908748687664</v>
      </c>
      <c r="W1361">
        <v>9.2364019395164115E-2</v>
      </c>
      <c r="X1361">
        <v>1.5263734072190491E-2</v>
      </c>
      <c r="Y1361">
        <v>4.195982811606251E-3</v>
      </c>
    </row>
    <row r="1362" spans="1:25" x14ac:dyDescent="0.25">
      <c r="A1362" s="1096"/>
      <c r="B1362" s="1455">
        <v>1112</v>
      </c>
      <c r="C1362" s="1100">
        <v>0.99700038207885666</v>
      </c>
      <c r="D1362" s="1100">
        <v>0.98587654258875768</v>
      </c>
      <c r="E1362" s="1100">
        <v>1.0008149532079342</v>
      </c>
      <c r="F1362" s="1100">
        <v>1.0172411411722817</v>
      </c>
      <c r="G1362" s="1100">
        <v>1.0084392115378322</v>
      </c>
      <c r="H1362" s="1100">
        <v>0.98190304955337659</v>
      </c>
      <c r="I1362" s="1100">
        <v>1.0018466963372354</v>
      </c>
      <c r="K1362">
        <v>2.24083661102327</v>
      </c>
      <c r="L1362">
        <v>0</v>
      </c>
      <c r="M1362">
        <v>1.5254452452558827E-3</v>
      </c>
      <c r="N1362">
        <v>0.13901373108916068</v>
      </c>
      <c r="O1362">
        <v>1.9874242617569697E-2</v>
      </c>
      <c r="P1362">
        <v>2.6472760786958441E-2</v>
      </c>
      <c r="Q1362">
        <v>5.5470336877779004E-3</v>
      </c>
      <c r="R1362">
        <v>1.5036098030471376E-3</v>
      </c>
      <c r="S1362">
        <v>0.24296362760758819</v>
      </c>
      <c r="T1362">
        <v>1.3670347282964896</v>
      </c>
      <c r="U1362">
        <v>0.14320395894590621</v>
      </c>
      <c r="V1362">
        <v>0.18585946942374365</v>
      </c>
      <c r="W1362">
        <v>9.1278362900417756E-2</v>
      </c>
      <c r="X1362">
        <v>1.5518200890810095E-2</v>
      </c>
      <c r="Y1362">
        <v>4.0923302190559469E-3</v>
      </c>
    </row>
    <row r="1363" spans="1:25" x14ac:dyDescent="0.25">
      <c r="A1363" s="1096"/>
      <c r="B1363" s="1455">
        <v>1113</v>
      </c>
      <c r="C1363" s="1100">
        <v>1.0351743982123476</v>
      </c>
      <c r="D1363" s="1100">
        <v>0.99952563132058514</v>
      </c>
      <c r="E1363" s="1100">
        <v>1.0253371006641501</v>
      </c>
      <c r="F1363" s="1100">
        <v>1.0199868377443559</v>
      </c>
      <c r="G1363" s="1100">
        <v>0.98900772006598736</v>
      </c>
      <c r="H1363" s="1100">
        <v>1.02678859036287</v>
      </c>
      <c r="I1363" s="1100">
        <v>1.0158794945952743</v>
      </c>
      <c r="K1363">
        <v>2.2364589098323413</v>
      </c>
      <c r="L1363">
        <v>0</v>
      </c>
      <c r="M1363">
        <v>1.4555990960221322E-3</v>
      </c>
      <c r="N1363">
        <v>0.14292988440044743</v>
      </c>
      <c r="O1363">
        <v>1.90983576699966E-2</v>
      </c>
      <c r="P1363">
        <v>2.6824032040040986E-2</v>
      </c>
      <c r="Q1363">
        <v>5.4625357766005357E-3</v>
      </c>
      <c r="R1363">
        <v>1.4356742616507675E-3</v>
      </c>
      <c r="S1363">
        <v>0.23936777151773511</v>
      </c>
      <c r="T1363">
        <v>1.3707714488165004</v>
      </c>
      <c r="U1363">
        <v>0.13797769049722933</v>
      </c>
      <c r="V1363">
        <v>0.1814900898983437</v>
      </c>
      <c r="W1363">
        <v>9.2505660156659508E-2</v>
      </c>
      <c r="X1363">
        <v>1.6143931822836764E-2</v>
      </c>
      <c r="Y1363">
        <v>3.9074320703202303E-3</v>
      </c>
    </row>
    <row r="1364" spans="1:25" x14ac:dyDescent="0.25">
      <c r="A1364" s="1096"/>
      <c r="B1364" s="1455">
        <v>1114</v>
      </c>
      <c r="C1364" s="1100">
        <v>0.98441855279948254</v>
      </c>
      <c r="D1364" s="1100">
        <v>0.98817319275118476</v>
      </c>
      <c r="E1364" s="1100">
        <v>0.97060728085615877</v>
      </c>
      <c r="F1364" s="1100">
        <v>0.99220472571199836</v>
      </c>
      <c r="G1364" s="1100">
        <v>1.0171968966081504</v>
      </c>
      <c r="H1364" s="1100">
        <v>1.0047969648219204</v>
      </c>
      <c r="I1364" s="1100">
        <v>1.0056523545485592</v>
      </c>
      <c r="K1364">
        <v>2.2177781456488774</v>
      </c>
      <c r="L1364">
        <v>0</v>
      </c>
      <c r="M1364">
        <v>1.6820980955178381E-3</v>
      </c>
      <c r="N1364">
        <v>0.13995196825387901</v>
      </c>
      <c r="O1364">
        <v>2.0098778986225335E-2</v>
      </c>
      <c r="P1364">
        <v>2.55446675326516E-2</v>
      </c>
      <c r="Q1364">
        <v>5.4406123733566963E-3</v>
      </c>
      <c r="R1364">
        <v>1.658568905259395E-3</v>
      </c>
      <c r="S1364">
        <v>0.24835748374491265</v>
      </c>
      <c r="T1364">
        <v>1.3333508193398367</v>
      </c>
      <c r="U1364">
        <v>0.14496375893992064</v>
      </c>
      <c r="V1364">
        <v>0.1875837833347232</v>
      </c>
      <c r="W1364">
        <v>9.3578311253924532E-2</v>
      </c>
      <c r="X1364">
        <v>1.4417413266679287E-2</v>
      </c>
      <c r="Y1364">
        <v>4.5140778130233943E-3</v>
      </c>
    </row>
    <row r="1365" spans="1:25" x14ac:dyDescent="0.25">
      <c r="A1365" s="1096"/>
      <c r="B1365" s="1455">
        <v>1115</v>
      </c>
      <c r="C1365" s="1100">
        <v>1.0225754176403103</v>
      </c>
      <c r="D1365" s="1100">
        <v>0.97922671714730447</v>
      </c>
      <c r="E1365" s="1100">
        <v>1.0181930148601623</v>
      </c>
      <c r="F1365" s="1100">
        <v>1.0404289777281979</v>
      </c>
      <c r="G1365" s="1100">
        <v>1.0100527731733715</v>
      </c>
      <c r="H1365" s="1100">
        <v>0.978524992719075</v>
      </c>
      <c r="I1365" s="1100">
        <v>0.98075107585061305</v>
      </c>
      <c r="K1365">
        <v>2.2537118837657455</v>
      </c>
      <c r="L1365">
        <v>0</v>
      </c>
      <c r="M1365">
        <v>1.4317541319816183E-3</v>
      </c>
      <c r="N1365">
        <v>0.13749710405704588</v>
      </c>
      <c r="O1365">
        <v>1.9416733364342426E-2</v>
      </c>
      <c r="P1365">
        <v>2.7035580694328272E-2</v>
      </c>
      <c r="Q1365">
        <v>5.5143326643575779E-3</v>
      </c>
      <c r="R1365">
        <v>1.4111890474263105E-3</v>
      </c>
      <c r="S1365">
        <v>0.23255625680893643</v>
      </c>
      <c r="T1365">
        <v>1.3982285482691028</v>
      </c>
      <c r="U1365">
        <v>0.13966155237413883</v>
      </c>
      <c r="V1365">
        <v>0.18456880355283745</v>
      </c>
      <c r="W1365">
        <v>8.9361717849556141E-2</v>
      </c>
      <c r="X1365">
        <v>1.6051027826900661E-2</v>
      </c>
      <c r="Y1365">
        <v>3.8407913887499577E-3</v>
      </c>
    </row>
    <row r="1366" spans="1:25" x14ac:dyDescent="0.25">
      <c r="A1366" s="1096"/>
      <c r="B1366" s="1455">
        <v>1116</v>
      </c>
      <c r="C1366" s="1100">
        <v>1.0417817427854645</v>
      </c>
      <c r="D1366" s="1100">
        <v>0.99102762392863808</v>
      </c>
      <c r="E1366" s="1100">
        <v>0.99684706014176261</v>
      </c>
      <c r="F1366" s="1100">
        <v>0.99998513008008572</v>
      </c>
      <c r="G1366" s="1100">
        <v>1.0355814286025598</v>
      </c>
      <c r="H1366" s="1100">
        <v>1.0009799274159743</v>
      </c>
      <c r="I1366" s="1100">
        <v>0.97473614530362573</v>
      </c>
      <c r="K1366">
        <v>2.1871031307803976</v>
      </c>
      <c r="L1366">
        <v>0</v>
      </c>
      <c r="M1366">
        <v>1.4988146250193958E-3</v>
      </c>
      <c r="N1366">
        <v>0.13499648800647773</v>
      </c>
      <c r="O1366">
        <v>1.8995764195878763E-2</v>
      </c>
      <c r="P1366">
        <v>2.5784933812874371E-2</v>
      </c>
      <c r="Q1366">
        <v>5.280726866721379E-3</v>
      </c>
      <c r="R1366">
        <v>1.4777692567220283E-3</v>
      </c>
      <c r="S1366">
        <v>0.22704145787728633</v>
      </c>
      <c r="T1366">
        <v>1.3438387632811082</v>
      </c>
      <c r="U1366">
        <v>0.13703951821374155</v>
      </c>
      <c r="V1366">
        <v>0.18636645467405061</v>
      </c>
      <c r="W1366">
        <v>8.8850066051329946E-2</v>
      </c>
      <c r="X1366">
        <v>1.4908002398933069E-2</v>
      </c>
      <c r="Y1366">
        <v>4.0220007702928065E-3</v>
      </c>
    </row>
    <row r="1367" spans="1:25" x14ac:dyDescent="0.25">
      <c r="A1367" s="1096"/>
      <c r="B1367" s="1455">
        <v>1117</v>
      </c>
      <c r="C1367" s="1100">
        <v>1.0090441146498277</v>
      </c>
      <c r="D1367" s="1100">
        <v>1.0045258929014762</v>
      </c>
      <c r="E1367" s="1100">
        <v>0.95635190828635008</v>
      </c>
      <c r="F1367" s="1100">
        <v>1.0053894374322674</v>
      </c>
      <c r="G1367" s="1100">
        <v>1.0331481071037056</v>
      </c>
      <c r="H1367" s="1100">
        <v>1.0054301158833587</v>
      </c>
      <c r="I1367" s="1100">
        <v>1.0006901583473129</v>
      </c>
      <c r="K1367">
        <v>2.2126326405288306</v>
      </c>
      <c r="L1367">
        <v>0</v>
      </c>
      <c r="M1367">
        <v>1.6849768152002191E-3</v>
      </c>
      <c r="N1367">
        <v>0.13426745484011346</v>
      </c>
      <c r="O1367">
        <v>1.9528832994198733E-2</v>
      </c>
      <c r="P1367">
        <v>2.533382240574383E-2</v>
      </c>
      <c r="Q1367">
        <v>5.2095905468027845E-3</v>
      </c>
      <c r="R1367">
        <v>1.661422199838366E-3</v>
      </c>
      <c r="S1367">
        <v>0.23907823304806008</v>
      </c>
      <c r="T1367">
        <v>1.3510574937369588</v>
      </c>
      <c r="U1367">
        <v>0.14139361017294658</v>
      </c>
      <c r="V1367">
        <v>0.18790560850289323</v>
      </c>
      <c r="W1367">
        <v>9.056379579617764E-2</v>
      </c>
      <c r="X1367">
        <v>1.3795909560016943E-2</v>
      </c>
      <c r="Y1367">
        <v>4.5218435402790491E-3</v>
      </c>
    </row>
    <row r="1368" spans="1:25" x14ac:dyDescent="0.25">
      <c r="A1368" s="1096"/>
      <c r="B1368" s="1455">
        <v>1118</v>
      </c>
      <c r="C1368" s="1100">
        <v>0.98864742501528891</v>
      </c>
      <c r="D1368" s="1100">
        <v>1.0274337328476382</v>
      </c>
      <c r="E1368" s="1100">
        <v>0.97274491791707074</v>
      </c>
      <c r="F1368" s="1100">
        <v>0.98836354110928426</v>
      </c>
      <c r="G1368" s="1100">
        <v>0.97612774631075883</v>
      </c>
      <c r="H1368" s="1100">
        <v>0.98723026757698584</v>
      </c>
      <c r="I1368" s="1100">
        <v>0.99630009489088289</v>
      </c>
      <c r="K1368">
        <v>2.1901356473128466</v>
      </c>
      <c r="L1368">
        <v>0</v>
      </c>
      <c r="M1368">
        <v>1.6243894462181724E-3</v>
      </c>
      <c r="N1368">
        <v>0.13599371623401826</v>
      </c>
      <c r="O1368">
        <v>1.9843337112367899E-2</v>
      </c>
      <c r="P1368">
        <v>2.5317386960074618E-2</v>
      </c>
      <c r="Q1368">
        <v>5.3832034482715653E-3</v>
      </c>
      <c r="R1368">
        <v>1.6012631718317861E-3</v>
      </c>
      <c r="S1368">
        <v>0.23890165498431831</v>
      </c>
      <c r="T1368">
        <v>1.3281909842681026</v>
      </c>
      <c r="U1368">
        <v>0.14434864143824236</v>
      </c>
      <c r="V1368">
        <v>0.18268529290308408</v>
      </c>
      <c r="W1368">
        <v>9.081357085343672E-2</v>
      </c>
      <c r="X1368">
        <v>1.4322874887852251E-2</v>
      </c>
      <c r="Y1368">
        <v>4.3581104974633909E-3</v>
      </c>
    </row>
    <row r="1369" spans="1:25" x14ac:dyDescent="0.25">
      <c r="A1369" s="1096"/>
      <c r="B1369" s="1455">
        <v>1119</v>
      </c>
      <c r="C1369" s="1100">
        <v>1.0028434842033822</v>
      </c>
      <c r="D1369" s="1100">
        <v>0.98670421611027659</v>
      </c>
      <c r="E1369" s="1100">
        <v>1.0232144281427078</v>
      </c>
      <c r="F1369" s="1100">
        <v>0.99453120752280399</v>
      </c>
      <c r="G1369" s="1100">
        <v>1.0271576452047761</v>
      </c>
      <c r="H1369" s="1100">
        <v>1.0257030292089111</v>
      </c>
      <c r="I1369" s="1100">
        <v>0.98331653928870388</v>
      </c>
      <c r="K1369">
        <v>2.2224385845424184</v>
      </c>
      <c r="L1369">
        <v>0</v>
      </c>
      <c r="M1369">
        <v>1.5118740031732519E-3</v>
      </c>
      <c r="N1369">
        <v>0.14750620511683618</v>
      </c>
      <c r="O1369">
        <v>1.9768816848400376E-2</v>
      </c>
      <c r="P1369">
        <v>2.6471979588733218E-2</v>
      </c>
      <c r="Q1369">
        <v>5.6424099447515358E-3</v>
      </c>
      <c r="R1369">
        <v>1.4911569520316E-3</v>
      </c>
      <c r="S1369">
        <v>0.24060287866046381</v>
      </c>
      <c r="T1369">
        <v>1.3365568864706738</v>
      </c>
      <c r="U1369">
        <v>0.14242109551016505</v>
      </c>
      <c r="V1369">
        <v>0.18764855618166598</v>
      </c>
      <c r="W1369">
        <v>9.5585735229088892E-2</v>
      </c>
      <c r="X1369">
        <v>1.6196300379105091E-2</v>
      </c>
      <c r="Y1369">
        <v>4.0584376636728873E-3</v>
      </c>
    </row>
    <row r="1370" spans="1:25" x14ac:dyDescent="0.25">
      <c r="A1370" s="1096"/>
      <c r="B1370" s="1455">
        <v>1120</v>
      </c>
      <c r="C1370" s="1100">
        <v>0.9970945325151509</v>
      </c>
      <c r="D1370" s="1100">
        <v>0.98704546773293966</v>
      </c>
      <c r="E1370" s="1100">
        <v>0.98111393757183096</v>
      </c>
      <c r="F1370" s="1100">
        <v>1.0098390073530525</v>
      </c>
      <c r="G1370" s="1100">
        <v>0.98092003410064554</v>
      </c>
      <c r="H1370" s="1100">
        <v>0.98710759968657924</v>
      </c>
      <c r="I1370" s="1100">
        <v>1.0021870205738619</v>
      </c>
      <c r="K1370">
        <v>2.2245167134902988</v>
      </c>
      <c r="L1370">
        <v>0</v>
      </c>
      <c r="M1370">
        <v>1.5968386938379413E-3</v>
      </c>
      <c r="N1370">
        <v>0.13711613323739558</v>
      </c>
      <c r="O1370">
        <v>1.9854825882089828E-2</v>
      </c>
      <c r="P1370">
        <v>2.5908987545907244E-2</v>
      </c>
      <c r="Q1370">
        <v>5.4324121226134786E-3</v>
      </c>
      <c r="R1370">
        <v>1.5741018316712536E-3</v>
      </c>
      <c r="S1370">
        <v>0.243147699260711</v>
      </c>
      <c r="T1370">
        <v>1.3570595083134076</v>
      </c>
      <c r="U1370">
        <v>0.14314501223482515</v>
      </c>
      <c r="V1370">
        <v>0.1827260115486104</v>
      </c>
      <c r="W1370">
        <v>9.1100433990089033E-2</v>
      </c>
      <c r="X1370">
        <v>1.4764239933536207E-2</v>
      </c>
      <c r="Y1370">
        <v>4.2841862832798004E-3</v>
      </c>
    </row>
    <row r="1371" spans="1:25" x14ac:dyDescent="0.25">
      <c r="A1371" s="1096"/>
      <c r="B1371" s="1455">
        <v>1121</v>
      </c>
      <c r="C1371" s="1100">
        <v>0.98806466780342783</v>
      </c>
      <c r="D1371" s="1100">
        <v>1.0023657330486684</v>
      </c>
      <c r="E1371" s="1100">
        <v>0.99021735468649297</v>
      </c>
      <c r="F1371" s="1100">
        <v>1.0115163400876335</v>
      </c>
      <c r="G1371" s="1100">
        <v>0.9855470707139925</v>
      </c>
      <c r="H1371" s="1100">
        <v>1.0310189827751963</v>
      </c>
      <c r="I1371" s="1100">
        <v>0.99734450200940683</v>
      </c>
      <c r="K1371">
        <v>2.2462366916974421</v>
      </c>
      <c r="L1371">
        <v>0</v>
      </c>
      <c r="M1371">
        <v>1.6461147316476055E-3</v>
      </c>
      <c r="N1371">
        <v>0.14538240855669615</v>
      </c>
      <c r="O1371">
        <v>1.9974239829445919E-2</v>
      </c>
      <c r="P1371">
        <v>2.6188649927880774E-2</v>
      </c>
      <c r="Q1371">
        <v>5.5157255497328053E-3</v>
      </c>
      <c r="R1371">
        <v>1.6236744958010182E-3</v>
      </c>
      <c r="S1371">
        <v>0.24592737085243985</v>
      </c>
      <c r="T1371">
        <v>1.3593253484899595</v>
      </c>
      <c r="U1371">
        <v>0.14447436963500707</v>
      </c>
      <c r="V1371">
        <v>0.18380055936541953</v>
      </c>
      <c r="W1371">
        <v>9.6065440421673892E-2</v>
      </c>
      <c r="X1371">
        <v>1.5185912571613051E-2</v>
      </c>
      <c r="Y1371">
        <v>4.4191067334166806E-3</v>
      </c>
    </row>
    <row r="1372" spans="1:25" x14ac:dyDescent="0.25">
      <c r="A1372" s="1096"/>
      <c r="B1372" s="1455">
        <v>1122</v>
      </c>
      <c r="C1372" s="1100">
        <v>1.0180339508843317</v>
      </c>
      <c r="D1372" s="1100">
        <v>1.0078650964897282</v>
      </c>
      <c r="E1372" s="1100">
        <v>1.0216764615431999</v>
      </c>
      <c r="F1372" s="1100">
        <v>0.99493351300433541</v>
      </c>
      <c r="G1372" s="1100">
        <v>0.96629454586663954</v>
      </c>
      <c r="H1372" s="1100">
        <v>1.047174661487775</v>
      </c>
      <c r="I1372" s="1100">
        <v>0.9729651391036942</v>
      </c>
      <c r="K1372">
        <v>2.2052427333250955</v>
      </c>
      <c r="L1372">
        <v>0</v>
      </c>
      <c r="M1372">
        <v>1.5182624062676038E-3</v>
      </c>
      <c r="N1372">
        <v>0.14748592962131499</v>
      </c>
      <c r="O1372">
        <v>1.9382196836869228E-2</v>
      </c>
      <c r="P1372">
        <v>2.6216676729992137E-2</v>
      </c>
      <c r="Q1372">
        <v>5.5236204914756917E-3</v>
      </c>
      <c r="R1372">
        <v>1.4978844000485352E-3</v>
      </c>
      <c r="S1372">
        <v>0.23369043412376714</v>
      </c>
      <c r="T1372">
        <v>1.3370943721755595</v>
      </c>
      <c r="U1372">
        <v>0.14029248684335419</v>
      </c>
      <c r="V1372">
        <v>0.17988478189165261</v>
      </c>
      <c r="W1372">
        <v>9.5658465343613205E-2</v>
      </c>
      <c r="X1372">
        <v>1.5957399714244532E-2</v>
      </c>
      <c r="Y1372">
        <v>4.0767475594723429E-3</v>
      </c>
    </row>
    <row r="1373" spans="1:25" x14ac:dyDescent="0.25">
      <c r="A1373" s="1096"/>
      <c r="B1373" s="1455">
        <v>1123</v>
      </c>
      <c r="C1373" s="1100">
        <v>0.97750960086389471</v>
      </c>
      <c r="D1373" s="1100">
        <v>0.99496813405440088</v>
      </c>
      <c r="E1373" s="1100">
        <v>1.0199878228150818</v>
      </c>
      <c r="F1373" s="1100">
        <v>0.97818983900097634</v>
      </c>
      <c r="G1373" s="1100">
        <v>0.96236234606314564</v>
      </c>
      <c r="H1373" s="1100">
        <v>1.0126130707937326</v>
      </c>
      <c r="I1373" s="1100">
        <v>0.99997647141935397</v>
      </c>
      <c r="K1373">
        <v>2.2090324785061957</v>
      </c>
      <c r="L1373">
        <v>0</v>
      </c>
      <c r="M1373">
        <v>1.5387535354287425E-3</v>
      </c>
      <c r="N1373">
        <v>0.14864791982177847</v>
      </c>
      <c r="O1373">
        <v>2.0241910012623796E-2</v>
      </c>
      <c r="P1373">
        <v>2.6190876232081859E-2</v>
      </c>
      <c r="Q1373">
        <v>5.7589536617356175E-3</v>
      </c>
      <c r="R1373">
        <v>1.5173955880724988E-3</v>
      </c>
      <c r="S1373">
        <v>0.24888063668928911</v>
      </c>
      <c r="T1373">
        <v>1.3145891236673208</v>
      </c>
      <c r="U1373">
        <v>0.14610456449556988</v>
      </c>
      <c r="V1373">
        <v>0.18185538509437088</v>
      </c>
      <c r="W1373">
        <v>9.6507359456070405E-2</v>
      </c>
      <c r="X1373">
        <v>1.6147256741299038E-2</v>
      </c>
      <c r="Y1373">
        <v>4.1298505814121684E-3</v>
      </c>
    </row>
    <row r="1374" spans="1:25" x14ac:dyDescent="0.25">
      <c r="A1374" s="1096"/>
      <c r="B1374" s="1455">
        <v>1124</v>
      </c>
      <c r="C1374" s="1100">
        <v>0.98422617361302289</v>
      </c>
      <c r="D1374" s="1100">
        <v>1.01916912808547</v>
      </c>
      <c r="E1374" s="1100">
        <v>1.0152351873570491</v>
      </c>
      <c r="F1374" s="1100">
        <v>1.0141316009969401</v>
      </c>
      <c r="G1374" s="1100">
        <v>0.98446958408217999</v>
      </c>
      <c r="H1374" s="1100">
        <v>1.0289614987441944</v>
      </c>
      <c r="I1374" s="1100">
        <v>0.97794752846035815</v>
      </c>
      <c r="K1374">
        <v>2.2499688039131347</v>
      </c>
      <c r="L1374">
        <v>0</v>
      </c>
      <c r="M1374">
        <v>1.5600828057938027E-3</v>
      </c>
      <c r="N1374">
        <v>0.14859584679776994</v>
      </c>
      <c r="O1374">
        <v>1.9994752654735444E-2</v>
      </c>
      <c r="P1374">
        <v>2.6660011256329604E-2</v>
      </c>
      <c r="Q1374">
        <v>5.6617862945167628E-3</v>
      </c>
      <c r="R1374">
        <v>1.5387728522741964E-3</v>
      </c>
      <c r="S1374">
        <v>0.24012984029251655</v>
      </c>
      <c r="T1374">
        <v>1.3628817466694512</v>
      </c>
      <c r="U1374">
        <v>0.14509636785269894</v>
      </c>
      <c r="V1374">
        <v>0.1839354861806142</v>
      </c>
      <c r="W1374">
        <v>9.6742680066988052E-2</v>
      </c>
      <c r="X1374">
        <v>1.6103563353474352E-2</v>
      </c>
      <c r="Y1374">
        <v>4.188032447555938E-3</v>
      </c>
    </row>
    <row r="1375" spans="1:25" x14ac:dyDescent="0.25">
      <c r="A1375" s="1096"/>
      <c r="B1375" s="1455">
        <v>1125</v>
      </c>
      <c r="C1375" s="1100">
        <v>1.0273983746414816</v>
      </c>
      <c r="D1375" s="1100">
        <v>0.99215126398357656</v>
      </c>
      <c r="E1375" s="1100">
        <v>1.0003965195400071</v>
      </c>
      <c r="F1375" s="1100">
        <v>1.0139293566147924</v>
      </c>
      <c r="G1375" s="1100">
        <v>0.99176856523517187</v>
      </c>
      <c r="H1375" s="1100">
        <v>1.0062006998495341</v>
      </c>
      <c r="I1375" s="1100">
        <v>1.029271523777713</v>
      </c>
      <c r="K1375">
        <v>2.2261314350834414</v>
      </c>
      <c r="L1375">
        <v>0</v>
      </c>
      <c r="M1375">
        <v>1.5161420299039513E-3</v>
      </c>
      <c r="N1375">
        <v>0.13803977172286455</v>
      </c>
      <c r="O1375">
        <v>1.9259061130151838E-2</v>
      </c>
      <c r="P1375">
        <v>2.6302248661962308E-2</v>
      </c>
      <c r="Q1375">
        <v>5.373072794618159E-3</v>
      </c>
      <c r="R1375">
        <v>1.4949638199672388E-3</v>
      </c>
      <c r="S1375">
        <v>0.24341005848787858</v>
      </c>
      <c r="T1375">
        <v>1.3625834560271015</v>
      </c>
      <c r="U1375">
        <v>0.13896599590771375</v>
      </c>
      <c r="V1375">
        <v>0.18221418587536059</v>
      </c>
      <c r="W1375">
        <v>9.0661380905400879E-2</v>
      </c>
      <c r="X1375">
        <v>1.5274583077064544E-2</v>
      </c>
      <c r="Y1375">
        <v>4.0687987032600181E-3</v>
      </c>
    </row>
    <row r="1376" spans="1:25" x14ac:dyDescent="0.25">
      <c r="A1376" s="1096"/>
      <c r="B1376" s="1455">
        <v>1126</v>
      </c>
      <c r="C1376" s="1100">
        <v>0.98418986895496519</v>
      </c>
      <c r="D1376" s="1100">
        <v>1.0247914352385787</v>
      </c>
      <c r="E1376" s="1100">
        <v>1.0014962531430225</v>
      </c>
      <c r="F1376" s="1100">
        <v>0.9887079872810749</v>
      </c>
      <c r="G1376" s="1100">
        <v>0.99127317446040852</v>
      </c>
      <c r="H1376" s="1100">
        <v>1.0130190957005414</v>
      </c>
      <c r="I1376" s="1100">
        <v>0.97256411374121055</v>
      </c>
      <c r="K1376">
        <v>2.2051645708079377</v>
      </c>
      <c r="L1376">
        <v>0</v>
      </c>
      <c r="M1376">
        <v>1.5785173718651968E-3</v>
      </c>
      <c r="N1376">
        <v>0.14421086313466849</v>
      </c>
      <c r="O1376">
        <v>1.9962619586799318E-2</v>
      </c>
      <c r="P1376">
        <v>2.5887993314391414E-2</v>
      </c>
      <c r="Q1376">
        <v>5.5755148146320608E-3</v>
      </c>
      <c r="R1376">
        <v>1.5566162828358494E-3</v>
      </c>
      <c r="S1376">
        <v>0.23681033166925841</v>
      </c>
      <c r="T1376">
        <v>1.3286911118352536</v>
      </c>
      <c r="U1376">
        <v>0.14506953905935965</v>
      </c>
      <c r="V1376">
        <v>0.18469421651898341</v>
      </c>
      <c r="W1376">
        <v>9.4652572377488531E-2</v>
      </c>
      <c r="X1376">
        <v>1.5395113202671739E-2</v>
      </c>
      <c r="Y1376">
        <v>4.236596383459453E-3</v>
      </c>
    </row>
    <row r="1377" spans="1:25" x14ac:dyDescent="0.25">
      <c r="A1377" s="1096"/>
      <c r="B1377" s="1455">
        <v>1127</v>
      </c>
      <c r="C1377" s="1100">
        <v>0.9797146809044962</v>
      </c>
      <c r="D1377" s="1100">
        <v>0.97642357371597854</v>
      </c>
      <c r="E1377" s="1100">
        <v>0.99761608164336546</v>
      </c>
      <c r="F1377" s="1100">
        <v>1.0185764221340485</v>
      </c>
      <c r="G1377" s="1100">
        <v>0.98894729200405906</v>
      </c>
      <c r="H1377" s="1100">
        <v>0.9845618845720272</v>
      </c>
      <c r="I1377" s="1100">
        <v>0.99433157986065246</v>
      </c>
      <c r="K1377">
        <v>2.2531550736343862</v>
      </c>
      <c r="L1377">
        <v>0</v>
      </c>
      <c r="M1377">
        <v>1.5702495119357431E-3</v>
      </c>
      <c r="N1377">
        <v>0.14172592577927404</v>
      </c>
      <c r="O1377">
        <v>2.0265760487946431E-2</v>
      </c>
      <c r="P1377">
        <v>2.6504586212798917E-2</v>
      </c>
      <c r="Q1377">
        <v>5.6381427514028172E-3</v>
      </c>
      <c r="R1377">
        <v>1.5478334341439779E-3</v>
      </c>
      <c r="S1377">
        <v>0.24677983454952862</v>
      </c>
      <c r="T1377">
        <v>1.3688240336661173</v>
      </c>
      <c r="U1377">
        <v>0.14572307699202433</v>
      </c>
      <c r="V1377">
        <v>0.18470315387139691</v>
      </c>
      <c r="W1377">
        <v>9.3236433479374881E-2</v>
      </c>
      <c r="X1377">
        <v>1.5563849557728111E-2</v>
      </c>
      <c r="Y1377">
        <v>4.2126923645854743E-3</v>
      </c>
    </row>
    <row r="1378" spans="1:25" x14ac:dyDescent="0.25">
      <c r="A1378" s="1096"/>
      <c r="B1378" s="1455">
        <v>1128</v>
      </c>
      <c r="C1378" s="1100">
        <v>1.0352541942956457</v>
      </c>
      <c r="D1378" s="1100">
        <v>1.0026896066917548</v>
      </c>
      <c r="E1378" s="1100">
        <v>0.9802140473299874</v>
      </c>
      <c r="F1378" s="1100">
        <v>0.98305170121917573</v>
      </c>
      <c r="G1378" s="1100">
        <v>0.99986073181898738</v>
      </c>
      <c r="H1378" s="1100">
        <v>0.97908574809518667</v>
      </c>
      <c r="I1378" s="1100">
        <v>1.0092395461867423</v>
      </c>
      <c r="K1378">
        <v>2.1598453659252352</v>
      </c>
      <c r="L1378">
        <v>0</v>
      </c>
      <c r="M1378">
        <v>1.5230437234764582E-3</v>
      </c>
      <c r="N1378">
        <v>0.13040854767780605</v>
      </c>
      <c r="O1378">
        <v>1.9056389987534263E-2</v>
      </c>
      <c r="P1378">
        <v>2.5204032489118986E-2</v>
      </c>
      <c r="Q1378">
        <v>5.2091897775243734E-3</v>
      </c>
      <c r="R1378">
        <v>1.5011799248223334E-3</v>
      </c>
      <c r="S1378">
        <v>0.23335161767345855</v>
      </c>
      <c r="T1378">
        <v>1.3210606881233913</v>
      </c>
      <c r="U1378">
        <v>0.13786666544603446</v>
      </c>
      <c r="V1378">
        <v>0.18267396702070288</v>
      </c>
      <c r="W1378">
        <v>8.6690959017886857E-2</v>
      </c>
      <c r="X1378">
        <v>1.4259455618893864E-2</v>
      </c>
      <c r="Y1378">
        <v>4.0857168915371701E-3</v>
      </c>
    </row>
    <row r="1379" spans="1:25" x14ac:dyDescent="0.25">
      <c r="A1379" s="1096"/>
      <c r="B1379" s="1455">
        <v>1129</v>
      </c>
      <c r="C1379" s="1100">
        <v>0.97242069032859291</v>
      </c>
      <c r="D1379" s="1100">
        <v>1.006218894678363</v>
      </c>
      <c r="E1379" s="1100">
        <v>1.0144014113753443</v>
      </c>
      <c r="F1379" s="1100">
        <v>0.9995286764363287</v>
      </c>
      <c r="G1379" s="1100">
        <v>1.0411637292697944</v>
      </c>
      <c r="H1379" s="1100">
        <v>1.033348048699908</v>
      </c>
      <c r="I1379" s="1100">
        <v>0.96626766294507782</v>
      </c>
      <c r="K1379">
        <v>2.2460907785921695</v>
      </c>
      <c r="L1379">
        <v>0</v>
      </c>
      <c r="M1379">
        <v>1.592980754968526E-3</v>
      </c>
      <c r="N1379">
        <v>0.15135691753280867</v>
      </c>
      <c r="O1379">
        <v>2.0293974814744719E-2</v>
      </c>
      <c r="P1379">
        <v>2.6521660952210837E-2</v>
      </c>
      <c r="Q1379">
        <v>5.7417402425484453E-3</v>
      </c>
      <c r="R1379">
        <v>1.5713137999239899E-3</v>
      </c>
      <c r="S1379">
        <v>0.24200808848531763</v>
      </c>
      <c r="T1379">
        <v>1.343255422830411</v>
      </c>
      <c r="U1379">
        <v>0.14685590338382887</v>
      </c>
      <c r="V1379">
        <v>0.19107490806432764</v>
      </c>
      <c r="W1379">
        <v>9.8588539591176125E-2</v>
      </c>
      <c r="X1379">
        <v>1.6138691469902627E-2</v>
      </c>
      <c r="Y1379">
        <v>4.2765981799381654E-3</v>
      </c>
    </row>
    <row r="1380" spans="1:25" x14ac:dyDescent="0.25">
      <c r="A1380" s="1096"/>
      <c r="B1380" s="1455">
        <v>1130</v>
      </c>
      <c r="C1380" s="1100">
        <v>1.0012704419334111</v>
      </c>
      <c r="D1380" s="1100">
        <v>0.99064616694040264</v>
      </c>
      <c r="E1380" s="1100">
        <v>0.96911454103346317</v>
      </c>
      <c r="F1380" s="1100">
        <v>1.0117531259860806</v>
      </c>
      <c r="G1380" s="1100">
        <v>0.98640413672242022</v>
      </c>
      <c r="H1380" s="1100">
        <v>0.96553880807341641</v>
      </c>
      <c r="I1380" s="1100">
        <v>1.0342031670937539</v>
      </c>
      <c r="K1380">
        <v>2.2223477779272658</v>
      </c>
      <c r="L1380">
        <v>0</v>
      </c>
      <c r="M1380">
        <v>1.5932013345050435E-3</v>
      </c>
      <c r="N1380">
        <v>0.13188178290871241</v>
      </c>
      <c r="O1380">
        <v>1.9748714826179823E-2</v>
      </c>
      <c r="P1380">
        <v>2.5762057081059882E-2</v>
      </c>
      <c r="Q1380">
        <v>5.3377016676382661E-3</v>
      </c>
      <c r="R1380">
        <v>1.5700095106270066E-3</v>
      </c>
      <c r="S1380">
        <v>0.24753162354144054</v>
      </c>
      <c r="T1380">
        <v>1.3596190695828267</v>
      </c>
      <c r="U1380">
        <v>0.14252052982741409</v>
      </c>
      <c r="V1380">
        <v>0.18308780184631995</v>
      </c>
      <c r="W1380">
        <v>8.8262376377839041E-2</v>
      </c>
      <c r="X1380">
        <v>1.4346263757281125E-2</v>
      </c>
      <c r="Y1380">
        <v>4.2730483344306288E-3</v>
      </c>
    </row>
    <row r="1381" spans="1:25" x14ac:dyDescent="0.25">
      <c r="A1381" s="1096"/>
      <c r="B1381" s="1455">
        <v>1131</v>
      </c>
      <c r="C1381" s="1100">
        <v>1.0355280367370958</v>
      </c>
      <c r="D1381" s="1100">
        <v>0.98906723872608815</v>
      </c>
      <c r="E1381" s="1100">
        <v>0.97572620301724289</v>
      </c>
      <c r="F1381" s="1100">
        <v>0.97206668819697906</v>
      </c>
      <c r="G1381" s="1100">
        <v>0.97755635399903895</v>
      </c>
      <c r="H1381" s="1100">
        <v>1.0330992413084747</v>
      </c>
      <c r="I1381" s="1100">
        <v>0.99536786012149125</v>
      </c>
      <c r="K1381">
        <v>2.1568330937188867</v>
      </c>
      <c r="L1381">
        <v>0</v>
      </c>
      <c r="M1381">
        <v>1.6265022753086313E-3</v>
      </c>
      <c r="N1381">
        <v>0.13749310108813281</v>
      </c>
      <c r="O1381">
        <v>1.9106065343268447E-2</v>
      </c>
      <c r="P1381">
        <v>2.4918509423199651E-2</v>
      </c>
      <c r="Q1381">
        <v>5.1989729744138513E-3</v>
      </c>
      <c r="R1381">
        <v>1.6043740487422693E-3</v>
      </c>
      <c r="S1381">
        <v>0.23580079851245869</v>
      </c>
      <c r="T1381">
        <v>1.3062937868953195</v>
      </c>
      <c r="U1381">
        <v>0.1378202644765035</v>
      </c>
      <c r="V1381">
        <v>0.18013382725531774</v>
      </c>
      <c r="W1381">
        <v>9.1648937006511833E-2</v>
      </c>
      <c r="X1381">
        <v>1.4074381691414147E-2</v>
      </c>
      <c r="Y1381">
        <v>4.3665772789134305E-3</v>
      </c>
    </row>
    <row r="1382" spans="1:25" x14ac:dyDescent="0.25">
      <c r="A1382" s="1096"/>
      <c r="B1382" s="1455">
        <v>1132</v>
      </c>
      <c r="C1382" s="1100">
        <v>1.0155199239784178</v>
      </c>
      <c r="D1382" s="1100">
        <v>1.002088243827685</v>
      </c>
      <c r="E1382" s="1100">
        <v>1.0128852739823628</v>
      </c>
      <c r="F1382" s="1100">
        <v>0.97259952225408575</v>
      </c>
      <c r="G1382" s="1100">
        <v>1.0359335887209509</v>
      </c>
      <c r="H1382" s="1100">
        <v>1.0085086230367994</v>
      </c>
      <c r="I1382" s="1100">
        <v>0.97842723760808492</v>
      </c>
      <c r="K1382">
        <v>2.1724236487630613</v>
      </c>
      <c r="L1382">
        <v>0</v>
      </c>
      <c r="M1382">
        <v>1.4947583492568963E-3</v>
      </c>
      <c r="N1382">
        <v>0.14132789287401906</v>
      </c>
      <c r="O1382">
        <v>1.9449347286380193E-2</v>
      </c>
      <c r="P1382">
        <v>2.5742457605361185E-2</v>
      </c>
      <c r="Q1382">
        <v>5.4944542868492346E-3</v>
      </c>
      <c r="R1382">
        <v>1.4739266187346993E-3</v>
      </c>
      <c r="S1382">
        <v>0.23320272540553177</v>
      </c>
      <c r="T1382">
        <v>1.3070628512183271</v>
      </c>
      <c r="U1382">
        <v>0.14061981219129333</v>
      </c>
      <c r="V1382">
        <v>0.18789264887627255</v>
      </c>
      <c r="W1382">
        <v>9.2138089441977683E-2</v>
      </c>
      <c r="X1382">
        <v>1.5502658931156254E-2</v>
      </c>
      <c r="Y1382">
        <v>4.0115423764165697E-3</v>
      </c>
    </row>
    <row r="1383" spans="1:25" x14ac:dyDescent="0.25">
      <c r="A1383" s="1096"/>
      <c r="B1383" s="1455">
        <v>1133</v>
      </c>
      <c r="C1383" s="1100">
        <v>0.99857082918718565</v>
      </c>
      <c r="D1383" s="1100">
        <v>0.95653593600026821</v>
      </c>
      <c r="E1383" s="1100">
        <v>0.96607017736072875</v>
      </c>
      <c r="F1383" s="1100">
        <v>1.0105805079404646</v>
      </c>
      <c r="G1383" s="1100">
        <v>0.9692540812842132</v>
      </c>
      <c r="H1383" s="1100">
        <v>0.95966133543815735</v>
      </c>
      <c r="I1383" s="1100">
        <v>1.0163479168372076</v>
      </c>
      <c r="K1383">
        <v>2.2201763817050657</v>
      </c>
      <c r="L1383">
        <v>0</v>
      </c>
      <c r="M1383">
        <v>1.6101550899716077E-3</v>
      </c>
      <c r="N1383">
        <v>0.13205003875612317</v>
      </c>
      <c r="O1383">
        <v>1.9953428279675611E-2</v>
      </c>
      <c r="P1383">
        <v>2.5665383664978433E-2</v>
      </c>
      <c r="Q1383">
        <v>5.3762545895888209E-3</v>
      </c>
      <c r="R1383">
        <v>1.586572924162381E-3</v>
      </c>
      <c r="S1383">
        <v>0.24776603132008385</v>
      </c>
      <c r="T1383">
        <v>1.3580405705273422</v>
      </c>
      <c r="U1383">
        <v>0.14289884874054293</v>
      </c>
      <c r="V1383">
        <v>0.18130662263089728</v>
      </c>
      <c r="W1383">
        <v>8.8539198236549516E-2</v>
      </c>
      <c r="X1383">
        <v>1.4285458639145406E-2</v>
      </c>
      <c r="Y1383">
        <v>4.3181284859461141E-3</v>
      </c>
    </row>
    <row r="1384" spans="1:25" x14ac:dyDescent="0.25">
      <c r="A1384" s="1096"/>
      <c r="B1384" s="1455">
        <v>1134</v>
      </c>
      <c r="C1384" s="1100">
        <v>0.99615059644684423</v>
      </c>
      <c r="D1384" s="1100">
        <v>0.99982135319445153</v>
      </c>
      <c r="E1384" s="1100">
        <v>0.98438469445062204</v>
      </c>
      <c r="F1384" s="1100">
        <v>1.0221203496312585</v>
      </c>
      <c r="G1384" s="1100">
        <v>1.01536712071714</v>
      </c>
      <c r="H1384" s="1100">
        <v>1.0181419802544962</v>
      </c>
      <c r="I1384" s="1100">
        <v>0.98819221369715171</v>
      </c>
      <c r="K1384">
        <v>2.2508816339142692</v>
      </c>
      <c r="L1384">
        <v>0</v>
      </c>
      <c r="M1384">
        <v>1.6328600367650195E-3</v>
      </c>
      <c r="N1384">
        <v>0.14166567518595133</v>
      </c>
      <c r="O1384">
        <v>1.9819536185277504E-2</v>
      </c>
      <c r="P1384">
        <v>2.6221151946538911E-2</v>
      </c>
      <c r="Q1384">
        <v>5.4407863507340238E-3</v>
      </c>
      <c r="R1384">
        <v>1.6103189634147862E-3</v>
      </c>
      <c r="S1384">
        <v>0.24092961220001591</v>
      </c>
      <c r="T1384">
        <v>1.3735676981500438</v>
      </c>
      <c r="U1384">
        <v>0.14328819264696893</v>
      </c>
      <c r="V1384">
        <v>0.18667910310112776</v>
      </c>
      <c r="W1384">
        <v>9.3937863113462958E-2</v>
      </c>
      <c r="X1384">
        <v>1.4971798730585883E-2</v>
      </c>
      <c r="Y1384">
        <v>4.382757376911425E-3</v>
      </c>
    </row>
    <row r="1385" spans="1:25" x14ac:dyDescent="0.25">
      <c r="A1385" s="1096"/>
      <c r="B1385" s="1455">
        <v>1135</v>
      </c>
      <c r="C1385" s="1100">
        <v>1.0168180657694035</v>
      </c>
      <c r="D1385" s="1100">
        <v>1.0266812359808379</v>
      </c>
      <c r="E1385" s="1100">
        <v>1.0106457980967185</v>
      </c>
      <c r="F1385" s="1100">
        <v>1.0123635015080492</v>
      </c>
      <c r="G1385" s="1100">
        <v>0.99022026245286709</v>
      </c>
      <c r="H1385" s="1100">
        <v>1.0001790773988186</v>
      </c>
      <c r="I1385" s="1100">
        <v>0.99393631984075281</v>
      </c>
      <c r="K1385">
        <v>2.2169757855351229</v>
      </c>
      <c r="L1385">
        <v>0</v>
      </c>
      <c r="M1385">
        <v>1.47951344939053E-3</v>
      </c>
      <c r="N1385">
        <v>0.13892769143494579</v>
      </c>
      <c r="O1385">
        <v>1.9319812095281694E-2</v>
      </c>
      <c r="P1385">
        <v>2.6358716849472091E-2</v>
      </c>
      <c r="Q1385">
        <v>5.4456677089052118E-3</v>
      </c>
      <c r="R1385">
        <v>1.4587224613325409E-3</v>
      </c>
      <c r="S1385">
        <v>0.23310266436580607</v>
      </c>
      <c r="T1385">
        <v>1.3604969190398724</v>
      </c>
      <c r="U1385">
        <v>0.14043520709193136</v>
      </c>
      <c r="V1385">
        <v>0.18264897123901552</v>
      </c>
      <c r="W1385">
        <v>9.0692809348021999E-2</v>
      </c>
      <c r="X1385">
        <v>1.5597955677910846E-2</v>
      </c>
      <c r="Y1385">
        <v>3.9701616720170347E-3</v>
      </c>
    </row>
    <row r="1386" spans="1:25" x14ac:dyDescent="0.25">
      <c r="A1386" s="1096"/>
      <c r="B1386" s="1455">
        <v>1136</v>
      </c>
      <c r="C1386" s="1100">
        <v>1.0234924925421063</v>
      </c>
      <c r="D1386" s="1100">
        <v>0.98864400108622785</v>
      </c>
      <c r="E1386" s="1100">
        <v>1.0167198761668328</v>
      </c>
      <c r="F1386" s="1100">
        <v>0.9904278443730451</v>
      </c>
      <c r="G1386" s="1100">
        <v>0.96334381193410101</v>
      </c>
      <c r="H1386" s="1100">
        <v>0.9711325867293189</v>
      </c>
      <c r="I1386" s="1100">
        <v>0.99642668376682653</v>
      </c>
      <c r="K1386">
        <v>2.1786439150963139</v>
      </c>
      <c r="L1386">
        <v>0</v>
      </c>
      <c r="M1386">
        <v>1.4210256384471576E-3</v>
      </c>
      <c r="N1386">
        <v>0.13584648773318111</v>
      </c>
      <c r="O1386">
        <v>1.9357626572371466E-2</v>
      </c>
      <c r="P1386">
        <v>2.6027338279782229E-2</v>
      </c>
      <c r="Q1386">
        <v>5.4894897975925816E-3</v>
      </c>
      <c r="R1386">
        <v>1.4004592817772677E-3</v>
      </c>
      <c r="S1386">
        <v>0.23433886801846091</v>
      </c>
      <c r="T1386">
        <v>1.3310293431455251</v>
      </c>
      <c r="U1386">
        <v>0.13953308948033691</v>
      </c>
      <c r="V1386">
        <v>0.17923591127067146</v>
      </c>
      <c r="W1386">
        <v>8.8365232500528856E-2</v>
      </c>
      <c r="X1386">
        <v>1.562950615081609E-2</v>
      </c>
      <c r="Y1386">
        <v>3.8115885037195599E-3</v>
      </c>
    </row>
    <row r="1387" spans="1:25" x14ac:dyDescent="0.25">
      <c r="A1387" s="1096"/>
      <c r="B1387" s="1455">
        <v>1137</v>
      </c>
      <c r="C1387" s="1100">
        <v>1.0157440908053263</v>
      </c>
      <c r="D1387" s="1100">
        <v>1.0355629767078238</v>
      </c>
      <c r="E1387" s="1100">
        <v>1.0059376105427289</v>
      </c>
      <c r="F1387" s="1100">
        <v>1.0238206971899031</v>
      </c>
      <c r="G1387" s="1100">
        <v>0.95606200675259001</v>
      </c>
      <c r="H1387" s="1100">
        <v>0.96695119419437492</v>
      </c>
      <c r="I1387" s="1100">
        <v>0.98609612717240758</v>
      </c>
      <c r="K1387">
        <v>2.2145292881015313</v>
      </c>
      <c r="L1387">
        <v>0</v>
      </c>
      <c r="M1387">
        <v>1.4432065956180601E-3</v>
      </c>
      <c r="N1387">
        <v>0.13354013359392744</v>
      </c>
      <c r="O1387">
        <v>1.9300747072253096E-2</v>
      </c>
      <c r="P1387">
        <v>2.635668518354763E-2</v>
      </c>
      <c r="Q1387">
        <v>5.4147252894706406E-3</v>
      </c>
      <c r="R1387">
        <v>1.4222288928426687E-3</v>
      </c>
      <c r="S1387">
        <v>0.22792402079983332</v>
      </c>
      <c r="T1387">
        <v>1.3758854969215</v>
      </c>
      <c r="U1387">
        <v>0.14057300777253651</v>
      </c>
      <c r="V1387">
        <v>0.17884546063718557</v>
      </c>
      <c r="W1387">
        <v>8.7418470100149012E-2</v>
      </c>
      <c r="X1387">
        <v>1.5420680225212735E-2</v>
      </c>
      <c r="Y1387">
        <v>3.8708382086892214E-3</v>
      </c>
    </row>
    <row r="1388" spans="1:25" x14ac:dyDescent="0.25">
      <c r="A1388" s="1096"/>
      <c r="B1388" s="1455">
        <v>1138</v>
      </c>
      <c r="C1388" s="1100">
        <v>0.98339702674363649</v>
      </c>
      <c r="D1388" s="1100">
        <v>1.0289858836277543</v>
      </c>
      <c r="E1388" s="1100">
        <v>0.98284769648592984</v>
      </c>
      <c r="F1388" s="1100">
        <v>0.9591627173071724</v>
      </c>
      <c r="G1388" s="1100">
        <v>1.0045071243868351</v>
      </c>
      <c r="H1388" s="1100">
        <v>0.99160402036433637</v>
      </c>
      <c r="I1388" s="1100">
        <v>1.0057577295950153</v>
      </c>
      <c r="K1388">
        <v>2.1630242450418975</v>
      </c>
      <c r="L1388">
        <v>0</v>
      </c>
      <c r="M1388">
        <v>1.6058645933894103E-3</v>
      </c>
      <c r="N1388">
        <v>0.13862538067762048</v>
      </c>
      <c r="O1388">
        <v>1.9949011813761127E-2</v>
      </c>
      <c r="P1388">
        <v>2.5093975553884817E-2</v>
      </c>
      <c r="Q1388">
        <v>5.467798235446345E-3</v>
      </c>
      <c r="R1388">
        <v>1.5831028972830719E-3</v>
      </c>
      <c r="S1388">
        <v>0.24270875656239474</v>
      </c>
      <c r="T1388">
        <v>1.2889608026397217</v>
      </c>
      <c r="U1388">
        <v>0.14514289275460818</v>
      </c>
      <c r="V1388">
        <v>0.1862222965902593</v>
      </c>
      <c r="W1388">
        <v>9.2006963383125848E-2</v>
      </c>
      <c r="X1388">
        <v>1.4560444310506461E-2</v>
      </c>
      <c r="Y1388">
        <v>4.3086842166746879E-3</v>
      </c>
    </row>
    <row r="1389" spans="1:25" x14ac:dyDescent="0.25">
      <c r="A1389" s="1096"/>
      <c r="B1389" s="1455">
        <v>1139</v>
      </c>
      <c r="C1389" s="1100">
        <v>1.0434515498563544</v>
      </c>
      <c r="D1389" s="1100">
        <v>1.0284959406047292</v>
      </c>
      <c r="E1389" s="1100">
        <v>1.037692981910056</v>
      </c>
      <c r="F1389" s="1100">
        <v>1.0257691459405394</v>
      </c>
      <c r="G1389" s="1100">
        <v>0.99797013022937087</v>
      </c>
      <c r="H1389" s="1100">
        <v>1.0211259020967345</v>
      </c>
      <c r="I1389" s="1100">
        <v>0.97410546424409727</v>
      </c>
      <c r="K1389">
        <v>2.2259376517399518</v>
      </c>
      <c r="L1389">
        <v>0</v>
      </c>
      <c r="M1389">
        <v>1.39080778485372E-3</v>
      </c>
      <c r="N1389">
        <v>0.14173908667620638</v>
      </c>
      <c r="O1389">
        <v>1.8835523429136421E-2</v>
      </c>
      <c r="P1389">
        <v>2.6954674606317092E-2</v>
      </c>
      <c r="Q1389">
        <v>5.4535210834562795E-3</v>
      </c>
      <c r="R1389">
        <v>1.3716642648215031E-3</v>
      </c>
      <c r="S1389">
        <v>0.22417627794621531</v>
      </c>
      <c r="T1389">
        <v>1.3785710965924309</v>
      </c>
      <c r="U1389">
        <v>0.13691057789247554</v>
      </c>
      <c r="V1389">
        <v>0.18205935137422749</v>
      </c>
      <c r="W1389">
        <v>9.1080140912722263E-2</v>
      </c>
      <c r="X1389">
        <v>1.6443326786955859E-2</v>
      </c>
      <c r="Y1389">
        <v>3.733217959840756E-3</v>
      </c>
    </row>
    <row r="1390" spans="1:25" x14ac:dyDescent="0.25">
      <c r="A1390" s="1096"/>
      <c r="B1390" s="1455">
        <v>1140</v>
      </c>
      <c r="C1390" s="1100">
        <v>0.96725617353612781</v>
      </c>
      <c r="D1390" s="1100">
        <v>1.0399850677862577</v>
      </c>
      <c r="E1390" s="1100">
        <v>1.0271303911777936</v>
      </c>
      <c r="F1390" s="1100">
        <v>1.0224187860347116</v>
      </c>
      <c r="G1390" s="1100">
        <v>1.0125276815232394</v>
      </c>
      <c r="H1390" s="1100">
        <v>0.98486716528170837</v>
      </c>
      <c r="I1390" s="1100">
        <v>0.98526568548270532</v>
      </c>
      <c r="K1390">
        <v>2.2636919756664486</v>
      </c>
      <c r="L1390">
        <v>0</v>
      </c>
      <c r="M1390">
        <v>1.4756968354969749E-3</v>
      </c>
      <c r="N1390">
        <v>0.14560296744320278</v>
      </c>
      <c r="O1390">
        <v>2.026289273628739E-2</v>
      </c>
      <c r="P1390">
        <v>2.7144989719357897E-2</v>
      </c>
      <c r="Q1390">
        <v>5.8059236849239883E-3</v>
      </c>
      <c r="R1390">
        <v>1.4546370732359281E-3</v>
      </c>
      <c r="S1390">
        <v>0.24025370447357478</v>
      </c>
      <c r="T1390">
        <v>1.3740437231850466</v>
      </c>
      <c r="U1390">
        <v>0.1476704122088259</v>
      </c>
      <c r="V1390">
        <v>0.18817593169837121</v>
      </c>
      <c r="W1390">
        <v>9.413737156844551E-2</v>
      </c>
      <c r="X1390">
        <v>1.6656076118305635E-2</v>
      </c>
      <c r="Y1390">
        <v>3.959042592365878E-3</v>
      </c>
    </row>
    <row r="1391" spans="1:25" x14ac:dyDescent="0.25">
      <c r="A1391" s="1096"/>
      <c r="B1391" s="1455">
        <v>1141</v>
      </c>
      <c r="C1391" s="1100">
        <v>0.98631022084997833</v>
      </c>
      <c r="D1391" s="1100">
        <v>0.9899911664287786</v>
      </c>
      <c r="E1391" s="1100">
        <v>0.98989190346997291</v>
      </c>
      <c r="F1391" s="1100">
        <v>0.96988161741725343</v>
      </c>
      <c r="G1391" s="1100">
        <v>1.0112408401937412</v>
      </c>
      <c r="H1391" s="1100">
        <v>0.95625153012639386</v>
      </c>
      <c r="I1391" s="1100">
        <v>1.0071242753494092</v>
      </c>
      <c r="K1391">
        <v>2.1737917657372763</v>
      </c>
      <c r="L1391">
        <v>0</v>
      </c>
      <c r="M1391">
        <v>1.5346771468444397E-3</v>
      </c>
      <c r="N1391">
        <v>0.13526078126794908</v>
      </c>
      <c r="O1391">
        <v>2.0064322882147746E-2</v>
      </c>
      <c r="P1391">
        <v>2.5445325824516241E-2</v>
      </c>
      <c r="Q1391">
        <v>5.5387790068881356E-3</v>
      </c>
      <c r="R1391">
        <v>1.5121202756399207E-3</v>
      </c>
      <c r="S1391">
        <v>0.24418718243805537</v>
      </c>
      <c r="T1391">
        <v>1.3033741287524161</v>
      </c>
      <c r="U1391">
        <v>0.1447306019065028</v>
      </c>
      <c r="V1391">
        <v>0.18681145356322534</v>
      </c>
      <c r="W1391">
        <v>8.9394722132289925E-2</v>
      </c>
      <c r="X1391">
        <v>1.489153191451382E-2</v>
      </c>
      <c r="Y1391">
        <v>4.1154929199769671E-3</v>
      </c>
    </row>
    <row r="1392" spans="1:25" x14ac:dyDescent="0.25">
      <c r="A1392" s="1096"/>
      <c r="B1392" s="1455">
        <v>1142</v>
      </c>
      <c r="C1392" s="1100">
        <v>0.98258591298936249</v>
      </c>
      <c r="D1392" s="1100">
        <v>1.0251406286126696</v>
      </c>
      <c r="E1392" s="1100">
        <v>1.002366723121304</v>
      </c>
      <c r="F1392" s="1100">
        <v>1.0374147378736558</v>
      </c>
      <c r="G1392" s="1100">
        <v>0.99694656549118799</v>
      </c>
      <c r="H1392" s="1100">
        <v>0.99842673633070589</v>
      </c>
      <c r="I1392" s="1100">
        <v>0.99953021178593937</v>
      </c>
      <c r="K1392">
        <v>2.275723868384103</v>
      </c>
      <c r="L1392">
        <v>0</v>
      </c>
      <c r="M1392">
        <v>1.5553901183659583E-3</v>
      </c>
      <c r="N1392">
        <v>0.14244283559604262</v>
      </c>
      <c r="O1392">
        <v>1.9994258152627297E-2</v>
      </c>
      <c r="P1392">
        <v>2.6891315000647023E-2</v>
      </c>
      <c r="Q1392">
        <v>5.589234495955892E-3</v>
      </c>
      <c r="R1392">
        <v>1.5334945052783524E-3</v>
      </c>
      <c r="S1392">
        <v>0.24255613761868838</v>
      </c>
      <c r="T1392">
        <v>1.3941479366222309</v>
      </c>
      <c r="U1392">
        <v>0.14530838825533807</v>
      </c>
      <c r="V1392">
        <v>0.18543469337337062</v>
      </c>
      <c r="W1392">
        <v>9.3443847392653587E-2</v>
      </c>
      <c r="X1392">
        <v>1.5763450962593874E-2</v>
      </c>
      <c r="Y1392">
        <v>4.1736665270398704E-3</v>
      </c>
    </row>
    <row r="1393" spans="1:25" x14ac:dyDescent="0.25">
      <c r="A1393" s="1096"/>
      <c r="B1393" s="1455">
        <v>1143</v>
      </c>
      <c r="C1393" s="1100">
        <v>0.96797370366906854</v>
      </c>
      <c r="D1393" s="1100">
        <v>0.96163999819783041</v>
      </c>
      <c r="E1393" s="1100">
        <v>0.9931514956464802</v>
      </c>
      <c r="F1393" s="1100">
        <v>0.99112078881022869</v>
      </c>
      <c r="G1393" s="1100">
        <v>0.97637026538432981</v>
      </c>
      <c r="H1393" s="1100">
        <v>0.98205437390239791</v>
      </c>
      <c r="I1393" s="1100">
        <v>1.0000343264283118</v>
      </c>
      <c r="K1393">
        <v>2.225484023161576</v>
      </c>
      <c r="L1393">
        <v>0</v>
      </c>
      <c r="M1393">
        <v>1.6053656898970792E-3</v>
      </c>
      <c r="N1393">
        <v>0.14294816843607647</v>
      </c>
      <c r="O1393">
        <v>2.0577629338686503E-2</v>
      </c>
      <c r="P1393">
        <v>2.6012825052546741E-2</v>
      </c>
      <c r="Q1393">
        <v>5.6992082311988603E-3</v>
      </c>
      <c r="R1393">
        <v>1.5823897958632048E-3</v>
      </c>
      <c r="S1393">
        <v>0.25290022724364186</v>
      </c>
      <c r="T1393">
        <v>1.3319209078575669</v>
      </c>
      <c r="U1393">
        <v>0.14748000480235485</v>
      </c>
      <c r="V1393">
        <v>0.18401186297015609</v>
      </c>
      <c r="W1393">
        <v>9.4291285789728466E-2</v>
      </c>
      <c r="X1393">
        <v>1.5358135943966617E-2</v>
      </c>
      <c r="Y1393">
        <v>4.3067433896836291E-3</v>
      </c>
    </row>
    <row r="1394" spans="1:25" x14ac:dyDescent="0.25">
      <c r="A1394" s="1096"/>
      <c r="B1394" s="1455">
        <v>1144</v>
      </c>
      <c r="C1394" s="1100">
        <v>0.99846306080828973</v>
      </c>
      <c r="D1394" s="1100">
        <v>1.0089529637669477</v>
      </c>
      <c r="E1394" s="1100">
        <v>0.9998993695398033</v>
      </c>
      <c r="F1394" s="1100">
        <v>1.0066577045655494</v>
      </c>
      <c r="G1394" s="1100">
        <v>0.98728197510421523</v>
      </c>
      <c r="H1394" s="1100">
        <v>0.96198199620379354</v>
      </c>
      <c r="I1394" s="1100">
        <v>0.97274885986061377</v>
      </c>
      <c r="K1394">
        <v>2.2049754425906154</v>
      </c>
      <c r="L1394">
        <v>0</v>
      </c>
      <c r="M1394">
        <v>1.4875531585084674E-3</v>
      </c>
      <c r="N1394">
        <v>0.13514551693648241</v>
      </c>
      <c r="O1394">
        <v>1.9743797524076751E-2</v>
      </c>
      <c r="P1394">
        <v>2.606461651087072E-2</v>
      </c>
      <c r="Q1394">
        <v>5.5055573562998068E-3</v>
      </c>
      <c r="R1394">
        <v>1.4658191652925799E-3</v>
      </c>
      <c r="S1394">
        <v>0.23128910142199699</v>
      </c>
      <c r="T1394">
        <v>1.35281054412082</v>
      </c>
      <c r="U1394">
        <v>0.14299206380963272</v>
      </c>
      <c r="V1394">
        <v>0.18337996442116361</v>
      </c>
      <c r="W1394">
        <v>8.8786727873040289E-2</v>
      </c>
      <c r="X1394">
        <v>1.5289810048675127E-2</v>
      </c>
      <c r="Y1394">
        <v>3.9894765607684287E-3</v>
      </c>
    </row>
    <row r="1395" spans="1:25" x14ac:dyDescent="0.25">
      <c r="A1395" s="1096"/>
      <c r="B1395" s="1455">
        <v>1145</v>
      </c>
      <c r="C1395" s="1100">
        <v>0.99406628371789929</v>
      </c>
      <c r="D1395" s="1100">
        <v>1.0354798014645334</v>
      </c>
      <c r="E1395" s="1100">
        <v>1.0298174364482271</v>
      </c>
      <c r="F1395" s="1100">
        <v>1.0077552820612161</v>
      </c>
      <c r="G1395" s="1100">
        <v>0.99127843253599235</v>
      </c>
      <c r="H1395" s="1100">
        <v>1.022067735688249</v>
      </c>
      <c r="I1395" s="1100">
        <v>1.0056029320626154</v>
      </c>
      <c r="K1395">
        <v>2.2399020675231243</v>
      </c>
      <c r="L1395">
        <v>0</v>
      </c>
      <c r="M1395">
        <v>1.4832316430949486E-3</v>
      </c>
      <c r="N1395">
        <v>0.14761454747928526</v>
      </c>
      <c r="O1395">
        <v>1.973692300789873E-2</v>
      </c>
      <c r="P1395">
        <v>2.6837473499810652E-2</v>
      </c>
      <c r="Q1395">
        <v>5.6702742886676769E-3</v>
      </c>
      <c r="R1395">
        <v>1.462834784731351E-3</v>
      </c>
      <c r="S1395">
        <v>0.24212888223347856</v>
      </c>
      <c r="T1395">
        <v>1.3543431896637192</v>
      </c>
      <c r="U1395">
        <v>0.1436939701439294</v>
      </c>
      <c r="V1395">
        <v>0.18412179403618359</v>
      </c>
      <c r="W1395">
        <v>9.52890050833545E-2</v>
      </c>
      <c r="X1395">
        <v>1.650505088447889E-2</v>
      </c>
      <c r="Y1395">
        <v>3.9813540606815512E-3</v>
      </c>
    </row>
    <row r="1396" spans="1:25" x14ac:dyDescent="0.25">
      <c r="A1396" s="1096"/>
      <c r="B1396" s="1455">
        <v>1146</v>
      </c>
      <c r="C1396" s="1100">
        <v>0.99830668709398607</v>
      </c>
      <c r="D1396" s="1100">
        <v>1.0013887031675048</v>
      </c>
      <c r="E1396" s="1100">
        <v>0.99620447452312766</v>
      </c>
      <c r="F1396" s="1100">
        <v>1.0370568534899613</v>
      </c>
      <c r="G1396" s="1100">
        <v>1.031276023578656</v>
      </c>
      <c r="H1396" s="1100">
        <v>1.0088181109966374</v>
      </c>
      <c r="I1396" s="1100">
        <v>0.96773217728256689</v>
      </c>
      <c r="K1396">
        <v>2.2660224580826482</v>
      </c>
      <c r="L1396">
        <v>0</v>
      </c>
      <c r="M1396">
        <v>1.574827639858722E-3</v>
      </c>
      <c r="N1396">
        <v>0.14158338091527689</v>
      </c>
      <c r="O1396">
        <v>1.977729929123517E-2</v>
      </c>
      <c r="P1396">
        <v>2.6661632375913298E-2</v>
      </c>
      <c r="Q1396">
        <v>5.4944327766792318E-3</v>
      </c>
      <c r="R1396">
        <v>1.552886755168659E-3</v>
      </c>
      <c r="S1396">
        <v>0.23461238103792048</v>
      </c>
      <c r="T1396">
        <v>1.3936569124071796</v>
      </c>
      <c r="U1396">
        <v>0.14300594329780389</v>
      </c>
      <c r="V1396">
        <v>0.18835897744292901</v>
      </c>
      <c r="W1396">
        <v>9.3221027172012624E-2</v>
      </c>
      <c r="X1396">
        <v>1.544596641180113E-2</v>
      </c>
      <c r="Y1396">
        <v>4.2264458385878265E-3</v>
      </c>
    </row>
    <row r="1397" spans="1:25" x14ac:dyDescent="0.25">
      <c r="A1397" s="1096"/>
      <c r="B1397" s="1455">
        <v>1147</v>
      </c>
      <c r="C1397" s="1100">
        <v>0.96961271152247108</v>
      </c>
      <c r="D1397" s="1100">
        <v>1.035577537271775</v>
      </c>
      <c r="E1397" s="1100">
        <v>1.0204335332301011</v>
      </c>
      <c r="F1397" s="1100">
        <v>1.0071237449564607</v>
      </c>
      <c r="G1397" s="1100">
        <v>0.98499900649101213</v>
      </c>
      <c r="H1397" s="1100">
        <v>0.98673134892472625</v>
      </c>
      <c r="I1397" s="1100">
        <v>0.98727375587151256</v>
      </c>
      <c r="K1397">
        <v>2.2381065999032215</v>
      </c>
      <c r="L1397">
        <v>0</v>
      </c>
      <c r="M1397">
        <v>1.497001609957934E-3</v>
      </c>
      <c r="N1397">
        <v>0.14475568192945348</v>
      </c>
      <c r="O1397">
        <v>2.0228244706547931E-2</v>
      </c>
      <c r="P1397">
        <v>2.6684342228701651E-2</v>
      </c>
      <c r="Q1397">
        <v>5.7576161349600008E-3</v>
      </c>
      <c r="R1397">
        <v>1.4756781675199207E-3</v>
      </c>
      <c r="S1397">
        <v>0.24076388325779266</v>
      </c>
      <c r="T1397">
        <v>1.3534743039959651</v>
      </c>
      <c r="U1397">
        <v>0.1472955564217763</v>
      </c>
      <c r="V1397">
        <v>0.18490888136549105</v>
      </c>
      <c r="W1397">
        <v>9.3955884822446989E-2</v>
      </c>
      <c r="X1397">
        <v>1.628721896770792E-2</v>
      </c>
      <c r="Y1397">
        <v>4.0163095148120402E-3</v>
      </c>
    </row>
    <row r="1398" spans="1:25" x14ac:dyDescent="0.25">
      <c r="A1398" s="1096"/>
      <c r="B1398" s="1455">
        <v>1148</v>
      </c>
      <c r="C1398" s="1100">
        <v>1.0041230925708375</v>
      </c>
      <c r="D1398" s="1100">
        <v>1.0031990031578006</v>
      </c>
      <c r="E1398" s="1100">
        <v>1.0215977474755991</v>
      </c>
      <c r="F1398" s="1100">
        <v>0.99046104536748203</v>
      </c>
      <c r="G1398" s="1100">
        <v>0.97097100198422681</v>
      </c>
      <c r="H1398" s="1100">
        <v>1.0240189902714016</v>
      </c>
      <c r="I1398" s="1100">
        <v>1.0046910318939528</v>
      </c>
      <c r="K1398">
        <v>2.2107851841276194</v>
      </c>
      <c r="L1398">
        <v>0</v>
      </c>
      <c r="M1398">
        <v>1.5070426563722941E-3</v>
      </c>
      <c r="N1398">
        <v>0.14631624800340931</v>
      </c>
      <c r="O1398">
        <v>1.9670735172324354E-2</v>
      </c>
      <c r="P1398">
        <v>2.6311371171861365E-2</v>
      </c>
      <c r="Q1398">
        <v>5.6054111045603268E-3</v>
      </c>
      <c r="R1398">
        <v>1.4863578475500993E-3</v>
      </c>
      <c r="S1398">
        <v>0.24335745176701995</v>
      </c>
      <c r="T1398">
        <v>1.3310836479904975</v>
      </c>
      <c r="U1398">
        <v>0.14223588113345567</v>
      </c>
      <c r="V1398">
        <v>0.18122087454756242</v>
      </c>
      <c r="W1398">
        <v>9.4904181849105401E-2</v>
      </c>
      <c r="X1398">
        <v>1.6054690113346808E-2</v>
      </c>
      <c r="Y1398">
        <v>4.0453760832986092E-3</v>
      </c>
    </row>
    <row r="1399" spans="1:25" x14ac:dyDescent="0.25">
      <c r="A1399" s="1096"/>
      <c r="B1399" s="1455">
        <v>1149</v>
      </c>
      <c r="C1399" s="1100">
        <v>1.0083812191434689</v>
      </c>
      <c r="D1399" s="1100">
        <v>0.96697249609945057</v>
      </c>
      <c r="E1399" s="1100">
        <v>0.97156138101672895</v>
      </c>
      <c r="F1399" s="1100">
        <v>1.0340627915167555</v>
      </c>
      <c r="G1399" s="1100">
        <v>1.0011861834548987</v>
      </c>
      <c r="H1399" s="1100">
        <v>0.9934309838849027</v>
      </c>
      <c r="I1399" s="1100">
        <v>1.0115453748197689</v>
      </c>
      <c r="K1399">
        <v>2.2578442302688173</v>
      </c>
      <c r="L1399">
        <v>0</v>
      </c>
      <c r="M1399">
        <v>1.6281047137043502E-3</v>
      </c>
      <c r="N1399">
        <v>0.13582948879326912</v>
      </c>
      <c r="O1399">
        <v>1.9715597306379267E-2</v>
      </c>
      <c r="P1399">
        <v>2.6188743881607579E-2</v>
      </c>
      <c r="Q1399">
        <v>5.3420912423101574E-3</v>
      </c>
      <c r="R1399">
        <v>1.6050702232543561E-3</v>
      </c>
      <c r="S1399">
        <v>0.24562939255680014</v>
      </c>
      <c r="T1399">
        <v>1.3896017338974438</v>
      </c>
      <c r="U1399">
        <v>0.14152108090894386</v>
      </c>
      <c r="V1399">
        <v>0.18434325573030541</v>
      </c>
      <c r="W1399">
        <v>9.0769152924011665E-2</v>
      </c>
      <c r="X1399">
        <v>1.4558255481753546E-2</v>
      </c>
      <c r="Y1399">
        <v>4.3684720364414644E-3</v>
      </c>
    </row>
    <row r="1400" spans="1:25" x14ac:dyDescent="0.25">
      <c r="A1400" s="1096"/>
      <c r="B1400" s="1455">
        <v>1150</v>
      </c>
      <c r="C1400" s="1100">
        <v>1.0029980704847259</v>
      </c>
      <c r="D1400" s="1100">
        <v>0.97209501704920431</v>
      </c>
      <c r="E1400" s="1100">
        <v>1.0317666592042394</v>
      </c>
      <c r="F1400" s="1100">
        <v>0.99493461237364833</v>
      </c>
      <c r="G1400" s="1100">
        <v>0.99923607435946282</v>
      </c>
      <c r="H1400" s="1100">
        <v>0.96669609418133584</v>
      </c>
      <c r="I1400" s="1100">
        <v>1.0073661782863801</v>
      </c>
      <c r="K1400">
        <v>2.2109852549773765</v>
      </c>
      <c r="L1400">
        <v>0</v>
      </c>
      <c r="M1400">
        <v>1.4041242857620226E-3</v>
      </c>
      <c r="N1400">
        <v>0.14045284213676451</v>
      </c>
      <c r="O1400">
        <v>1.9836123546467837E-2</v>
      </c>
      <c r="P1400">
        <v>2.6642432756834894E-2</v>
      </c>
      <c r="Q1400">
        <v>5.7097622856899285E-3</v>
      </c>
      <c r="R1400">
        <v>1.3837092773132933E-3</v>
      </c>
      <c r="S1400">
        <v>0.24357455053242824</v>
      </c>
      <c r="T1400">
        <v>1.3371175944754561</v>
      </c>
      <c r="U1400">
        <v>0.14241885765812942</v>
      </c>
      <c r="V1400">
        <v>0.18449134842764059</v>
      </c>
      <c r="W1400">
        <v>9.0563474506048791E-2</v>
      </c>
      <c r="X1400">
        <v>1.6432683147158979E-2</v>
      </c>
      <c r="Y1400">
        <v>3.7660005132061081E-3</v>
      </c>
    </row>
    <row r="1401" spans="1:25" x14ac:dyDescent="0.25">
      <c r="A1401" s="1096"/>
      <c r="B1401" s="1455">
        <v>1151</v>
      </c>
      <c r="C1401" s="1100">
        <v>1.0047455835725396</v>
      </c>
      <c r="D1401" s="1100">
        <v>1.0229191672701019</v>
      </c>
      <c r="E1401" s="1100">
        <v>0.97819087767000368</v>
      </c>
      <c r="F1401" s="1100">
        <v>0.98809264778406092</v>
      </c>
      <c r="G1401" s="1100">
        <v>0.97386993849211267</v>
      </c>
      <c r="H1401" s="1100">
        <v>0.99851748372113724</v>
      </c>
      <c r="I1401" s="1100">
        <v>1.039077921861528</v>
      </c>
      <c r="K1401">
        <v>2.1939720978852288</v>
      </c>
      <c r="L1401">
        <v>0</v>
      </c>
      <c r="M1401">
        <v>1.6000972656871344E-3</v>
      </c>
      <c r="N1401">
        <v>0.13620858746321265</v>
      </c>
      <c r="O1401">
        <v>1.9547686042965813E-2</v>
      </c>
      <c r="P1401">
        <v>2.547513488718223E-2</v>
      </c>
      <c r="Q1401">
        <v>5.3325071542806527E-3</v>
      </c>
      <c r="R1401">
        <v>1.5775743460973322E-3</v>
      </c>
      <c r="S1401">
        <v>0.24667633562003441</v>
      </c>
      <c r="T1401">
        <v>1.3278326231924196</v>
      </c>
      <c r="U1401">
        <v>0.14204829918866255</v>
      </c>
      <c r="V1401">
        <v>0.18147365242993152</v>
      </c>
      <c r="W1401">
        <v>9.0657371701257525E-2</v>
      </c>
      <c r="X1401">
        <v>1.4448785802036299E-2</v>
      </c>
      <c r="Y1401">
        <v>4.2936373228335128E-3</v>
      </c>
    </row>
    <row r="1402" spans="1:25" x14ac:dyDescent="0.25">
      <c r="A1402" s="1096"/>
      <c r="B1402" s="1455">
        <v>1152</v>
      </c>
      <c r="C1402" s="1100">
        <v>1.0295493072539528</v>
      </c>
      <c r="D1402" s="1100">
        <v>1.0113684167732833</v>
      </c>
      <c r="E1402" s="1100">
        <v>1.0018544823544537</v>
      </c>
      <c r="F1402" s="1100">
        <v>1.0181785527830791</v>
      </c>
      <c r="G1402" s="1100">
        <v>1.016556665651787</v>
      </c>
      <c r="H1402" s="1100">
        <v>0.99643609737590866</v>
      </c>
      <c r="I1402" s="1100">
        <v>0.99485069320693054</v>
      </c>
      <c r="K1402">
        <v>2.2189337964550071</v>
      </c>
      <c r="L1402">
        <v>0</v>
      </c>
      <c r="M1402">
        <v>1.4874756640200115E-3</v>
      </c>
      <c r="N1402">
        <v>0.13600871908994969</v>
      </c>
      <c r="O1402">
        <v>1.913876603950165E-2</v>
      </c>
      <c r="P1402">
        <v>2.6282968687758375E-2</v>
      </c>
      <c r="Q1402">
        <v>5.3473377327847823E-3</v>
      </c>
      <c r="R1402">
        <v>1.4664942673790436E-3</v>
      </c>
      <c r="S1402">
        <v>0.23180300778775223</v>
      </c>
      <c r="T1402">
        <v>1.3682961986727959</v>
      </c>
      <c r="U1402">
        <v>0.13867892931733286</v>
      </c>
      <c r="V1402">
        <v>0.18489673618979247</v>
      </c>
      <c r="W1402">
        <v>8.9250128769075676E-2</v>
      </c>
      <c r="X1402">
        <v>1.5260671598804561E-2</v>
      </c>
      <c r="Y1402">
        <v>3.9913139661004416E-3</v>
      </c>
    </row>
    <row r="1403" spans="1:25" x14ac:dyDescent="0.25">
      <c r="A1403" s="1096"/>
      <c r="B1403" s="1455">
        <v>1153</v>
      </c>
      <c r="C1403" s="1100">
        <v>0.98385512948238862</v>
      </c>
      <c r="D1403" s="1100">
        <v>0.98025684190556039</v>
      </c>
      <c r="E1403" s="1100">
        <v>1.0096564959518974</v>
      </c>
      <c r="F1403" s="1100">
        <v>0.97363801721128718</v>
      </c>
      <c r="G1403" s="1100">
        <v>1.0306952637521283</v>
      </c>
      <c r="H1403" s="1100">
        <v>0.96250060685454364</v>
      </c>
      <c r="I1403" s="1100">
        <v>0.9889739941387049</v>
      </c>
      <c r="K1403">
        <v>2.1868092512668067</v>
      </c>
      <c r="L1403">
        <v>0</v>
      </c>
      <c r="M1403">
        <v>1.4895941032524198E-3</v>
      </c>
      <c r="N1403">
        <v>0.13937932942642009</v>
      </c>
      <c r="O1403">
        <v>2.0170769019187042E-2</v>
      </c>
      <c r="P1403">
        <v>2.5904330073466288E-2</v>
      </c>
      <c r="Q1403">
        <v>5.6799071726625124E-3</v>
      </c>
      <c r="R1403">
        <v>1.4678420173678877E-3</v>
      </c>
      <c r="S1403">
        <v>0.24224353472213722</v>
      </c>
      <c r="T1403">
        <v>1.308452699209901</v>
      </c>
      <c r="U1403">
        <v>0.14513800873654473</v>
      </c>
      <c r="V1403">
        <v>0.18917814117049975</v>
      </c>
      <c r="W1403">
        <v>9.1040729696752962E-2</v>
      </c>
      <c r="X1403">
        <v>1.5648572027834925E-2</v>
      </c>
      <c r="Y1403">
        <v>3.9949820972844108E-3</v>
      </c>
    </row>
    <row r="1404" spans="1:25" x14ac:dyDescent="0.25">
      <c r="A1404" s="1096"/>
      <c r="B1404" s="1455">
        <v>1154</v>
      </c>
      <c r="C1404" s="1100">
        <v>0.95813751964753902</v>
      </c>
      <c r="D1404" s="1100">
        <v>0.9688535591868751</v>
      </c>
      <c r="E1404" s="1100">
        <v>1.0071394961222662</v>
      </c>
      <c r="F1404" s="1100">
        <v>0.99913425082282104</v>
      </c>
      <c r="G1404" s="1100">
        <v>0.96158072141601159</v>
      </c>
      <c r="H1404" s="1100">
        <v>1.0186639689305923</v>
      </c>
      <c r="I1404" s="1100">
        <v>0.99907390619470759</v>
      </c>
      <c r="K1404">
        <v>2.2565219305169264</v>
      </c>
      <c r="L1404">
        <v>0</v>
      </c>
      <c r="M1404">
        <v>1.6315093670519344E-3</v>
      </c>
      <c r="N1404">
        <v>0.15162617409540707</v>
      </c>
      <c r="O1404">
        <v>2.0763910139535317E-2</v>
      </c>
      <c r="P1404">
        <v>2.6503497547818392E-2</v>
      </c>
      <c r="Q1404">
        <v>5.8322244777100143E-3</v>
      </c>
      <c r="R1404">
        <v>1.6089984802847895E-3</v>
      </c>
      <c r="S1404">
        <v>0.2574834461387373</v>
      </c>
      <c r="T1404">
        <v>1.342712117884671</v>
      </c>
      <c r="U1404">
        <v>0.14902763849264367</v>
      </c>
      <c r="V1404">
        <v>0.18298221567861175</v>
      </c>
      <c r="W1404">
        <v>9.9187498294811396E-2</v>
      </c>
      <c r="X1404">
        <v>1.604655519661612E-2</v>
      </c>
      <c r="Y1404">
        <v>4.3791634571287213E-3</v>
      </c>
    </row>
    <row r="1405" spans="1:25" x14ac:dyDescent="0.25">
      <c r="A1405" s="1096"/>
      <c r="B1405" s="1455">
        <v>1155</v>
      </c>
      <c r="C1405" s="1100">
        <v>0.98756544799560286</v>
      </c>
      <c r="D1405" s="1100">
        <v>0.99832264416480521</v>
      </c>
      <c r="E1405" s="1100">
        <v>0.96985039405354789</v>
      </c>
      <c r="F1405" s="1100">
        <v>0.96874119499583322</v>
      </c>
      <c r="G1405" s="1100">
        <v>1.0127584783157508</v>
      </c>
      <c r="H1405" s="1100">
        <v>1.0008424723470652</v>
      </c>
      <c r="I1405" s="1100">
        <v>0.99237928346925286</v>
      </c>
      <c r="K1405">
        <v>2.1762036059742846</v>
      </c>
      <c r="L1405">
        <v>0</v>
      </c>
      <c r="M1405">
        <v>1.6689946526365371E-3</v>
      </c>
      <c r="N1405">
        <v>0.13853611587329046</v>
      </c>
      <c r="O1405">
        <v>1.9989268191042287E-2</v>
      </c>
      <c r="P1405">
        <v>2.5018874588097761E-2</v>
      </c>
      <c r="Q1405">
        <v>5.4067847406768319E-3</v>
      </c>
      <c r="R1405">
        <v>1.6455565098830028E-3</v>
      </c>
      <c r="S1405">
        <v>0.24273171638750368</v>
      </c>
      <c r="T1405">
        <v>1.3018192215043072</v>
      </c>
      <c r="U1405">
        <v>0.1445000733078837</v>
      </c>
      <c r="V1405">
        <v>0.18688947155066371</v>
      </c>
      <c r="W1405">
        <v>9.2674281698556626E-2</v>
      </c>
      <c r="X1405">
        <v>1.4182573912669671E-2</v>
      </c>
      <c r="Y1405">
        <v>4.4786623623438403E-3</v>
      </c>
    </row>
    <row r="1406" spans="1:25" x14ac:dyDescent="0.25">
      <c r="A1406" s="1096"/>
      <c r="B1406" s="1455">
        <v>1156</v>
      </c>
      <c r="C1406" s="1100">
        <v>0.99008617626635664</v>
      </c>
      <c r="D1406" s="1100">
        <v>0.99611371632603474</v>
      </c>
      <c r="E1406" s="1100">
        <v>0.99564520258262579</v>
      </c>
      <c r="F1406" s="1100">
        <v>0.96420115440284737</v>
      </c>
      <c r="G1406" s="1100">
        <v>0.99851400452922612</v>
      </c>
      <c r="H1406" s="1100">
        <v>1.0295883567710642</v>
      </c>
      <c r="I1406" s="1100">
        <v>0.97522800799749088</v>
      </c>
      <c r="K1406">
        <v>2.1779076852168822</v>
      </c>
      <c r="L1406">
        <v>0</v>
      </c>
      <c r="M1406">
        <v>1.6243622916135979E-3</v>
      </c>
      <c r="N1406">
        <v>0.14583168047275083</v>
      </c>
      <c r="O1406">
        <v>1.9964338299144829E-2</v>
      </c>
      <c r="P1406">
        <v>2.5373755700424126E-2</v>
      </c>
      <c r="Q1406">
        <v>5.5432708682361023E-3</v>
      </c>
      <c r="R1406">
        <v>1.60218782136083E-3</v>
      </c>
      <c r="S1406">
        <v>0.2406569790353798</v>
      </c>
      <c r="T1406">
        <v>1.2957484042261929</v>
      </c>
      <c r="U1406">
        <v>0.14419199673299585</v>
      </c>
      <c r="V1406">
        <v>0.18514852040970331</v>
      </c>
      <c r="W1406">
        <v>9.6050208224823894E-2</v>
      </c>
      <c r="X1406">
        <v>1.5060078628809101E-2</v>
      </c>
      <c r="Y1406">
        <v>4.3606270886708143E-3</v>
      </c>
    </row>
    <row r="1407" spans="1:25" x14ac:dyDescent="0.25">
      <c r="A1407" s="1096"/>
      <c r="B1407" s="1455">
        <v>1157</v>
      </c>
      <c r="C1407" s="1100">
        <v>0.98031394686948636</v>
      </c>
      <c r="D1407" s="1100">
        <v>0.99882699736395231</v>
      </c>
      <c r="E1407" s="1100">
        <v>0.98680901429807111</v>
      </c>
      <c r="F1407" s="1100">
        <v>1.0115042365723648</v>
      </c>
      <c r="G1407" s="1100">
        <v>0.96280036526192758</v>
      </c>
      <c r="H1407" s="1100">
        <v>1.0006087566069113</v>
      </c>
      <c r="I1407" s="1100">
        <v>0.99291167606514974</v>
      </c>
      <c r="K1407">
        <v>2.238208295433799</v>
      </c>
      <c r="L1407">
        <v>0</v>
      </c>
      <c r="M1407">
        <v>1.6228588825009751E-3</v>
      </c>
      <c r="N1407">
        <v>0.14179933961730259</v>
      </c>
      <c r="O1407">
        <v>2.0145665134870681E-2</v>
      </c>
      <c r="P1407">
        <v>2.6091707610310624E-2</v>
      </c>
      <c r="Q1407">
        <v>5.5439155333879206E-3</v>
      </c>
      <c r="R1407">
        <v>1.6000633136315364E-3</v>
      </c>
      <c r="S1407">
        <v>0.2447086699477703</v>
      </c>
      <c r="T1407">
        <v>1.3593044581921325</v>
      </c>
      <c r="U1407">
        <v>0.14560864685046182</v>
      </c>
      <c r="V1407">
        <v>0.18170089233509373</v>
      </c>
      <c r="W1407">
        <v>9.388956238207255E-2</v>
      </c>
      <c r="X1407">
        <v>1.5083388520286269E-2</v>
      </c>
      <c r="Y1407">
        <v>4.3548448789754611E-3</v>
      </c>
    </row>
    <row r="1408" spans="1:25" x14ac:dyDescent="0.25">
      <c r="A1408" s="1096"/>
      <c r="B1408" s="1455">
        <v>1158</v>
      </c>
      <c r="C1408" s="1100">
        <v>0.99710071514400611</v>
      </c>
      <c r="D1408" s="1100">
        <v>1.0098221019697036</v>
      </c>
      <c r="E1408" s="1100">
        <v>0.99735044277045903</v>
      </c>
      <c r="F1408" s="1100">
        <v>1.0013814170102899</v>
      </c>
      <c r="G1408" s="1100">
        <v>1.009637985769414</v>
      </c>
      <c r="H1408" s="1100">
        <v>1.0405210683272339</v>
      </c>
      <c r="I1408" s="1100">
        <v>1.0370397313337796</v>
      </c>
      <c r="K1408">
        <v>2.2417412181596315</v>
      </c>
      <c r="L1408">
        <v>0</v>
      </c>
      <c r="M1408">
        <v>1.6194325674498404E-3</v>
      </c>
      <c r="N1408">
        <v>0.14616150832341948</v>
      </c>
      <c r="O1408">
        <v>1.9765435646519586E-2</v>
      </c>
      <c r="P1408">
        <v>2.6256579253115198E-2</v>
      </c>
      <c r="Q1408">
        <v>5.497477090453444E-3</v>
      </c>
      <c r="R1408">
        <v>1.5975576729276081E-3</v>
      </c>
      <c r="S1408">
        <v>0.25331718406411646</v>
      </c>
      <c r="T1408">
        <v>1.3457159464275525</v>
      </c>
      <c r="U1408">
        <v>0.14318155063414989</v>
      </c>
      <c r="V1408">
        <v>0.18598594504843563</v>
      </c>
      <c r="W1408">
        <v>9.6169657472397446E-2</v>
      </c>
      <c r="X1408">
        <v>1.5363783743030244E-2</v>
      </c>
      <c r="Y1408">
        <v>4.3480253509636047E-3</v>
      </c>
    </row>
    <row r="1409" spans="1:25" x14ac:dyDescent="0.25">
      <c r="A1409" s="1096"/>
      <c r="B1409" s="1455">
        <v>1159</v>
      </c>
      <c r="C1409" s="1100">
        <v>1.0196581961239279</v>
      </c>
      <c r="D1409" s="1100">
        <v>0.96390413777173212</v>
      </c>
      <c r="E1409" s="1100">
        <v>1.0145535387863471</v>
      </c>
      <c r="F1409" s="1100">
        <v>1.0184199744451881</v>
      </c>
      <c r="G1409" s="1100">
        <v>1.0091135549874806</v>
      </c>
      <c r="H1409" s="1100">
        <v>0.99700705675864354</v>
      </c>
      <c r="I1409" s="1100">
        <v>0.9955952815474457</v>
      </c>
      <c r="K1409">
        <v>2.237036484262596</v>
      </c>
      <c r="L1409">
        <v>0</v>
      </c>
      <c r="M1409">
        <v>1.4792080462731887E-3</v>
      </c>
      <c r="N1409">
        <v>0.14054068406413361</v>
      </c>
      <c r="O1409">
        <v>1.9537711109960956E-2</v>
      </c>
      <c r="P1409">
        <v>2.6665261876883624E-2</v>
      </c>
      <c r="Q1409">
        <v>5.5286104333220013E-3</v>
      </c>
      <c r="R1409">
        <v>1.4583552161538914E-3</v>
      </c>
      <c r="S1409">
        <v>0.2400734209096736</v>
      </c>
      <c r="T1409">
        <v>1.368643522276682</v>
      </c>
      <c r="U1409">
        <v>0.14005288293230087</v>
      </c>
      <c r="V1409">
        <v>0.18462544432648936</v>
      </c>
      <c r="W1409">
        <v>9.15350451976297E-2</v>
      </c>
      <c r="X1409">
        <v>1.5885591813936856E-2</v>
      </c>
      <c r="Y1409">
        <v>3.9691621517030902E-3</v>
      </c>
    </row>
    <row r="1410" spans="1:25" x14ac:dyDescent="0.25">
      <c r="A1410" s="1096"/>
      <c r="B1410" s="1455">
        <v>1160</v>
      </c>
      <c r="C1410" s="1100">
        <v>1.0204130845889365</v>
      </c>
      <c r="D1410" s="1100">
        <v>0.96760224159987041</v>
      </c>
      <c r="E1410" s="1100">
        <v>1.0019344809504684</v>
      </c>
      <c r="F1410" s="1100">
        <v>0.96662539165771411</v>
      </c>
      <c r="G1410" s="1100">
        <v>1.0070224341088552</v>
      </c>
      <c r="H1410" s="1100">
        <v>1.0207935024058357</v>
      </c>
      <c r="I1410" s="1100">
        <v>1.0467280132249592</v>
      </c>
      <c r="K1410">
        <v>2.1819936966014941</v>
      </c>
      <c r="L1410">
        <v>0</v>
      </c>
      <c r="M1410">
        <v>1.5522587332187339E-3</v>
      </c>
      <c r="N1410">
        <v>0.14201498813874686</v>
      </c>
      <c r="O1410">
        <v>1.9499026031388401E-2</v>
      </c>
      <c r="P1410">
        <v>2.5645188795868433E-2</v>
      </c>
      <c r="Q1410">
        <v>5.4484313916528257E-3</v>
      </c>
      <c r="R1410">
        <v>1.5308859937484432E-3</v>
      </c>
      <c r="S1410">
        <v>0.25359995772900434</v>
      </c>
      <c r="T1410">
        <v>1.2990157511355727</v>
      </c>
      <c r="U1410">
        <v>0.13992076542565379</v>
      </c>
      <c r="V1410">
        <v>0.18433502308341615</v>
      </c>
      <c r="W1410">
        <v>9.3187071604634353E-2</v>
      </c>
      <c r="X1410">
        <v>1.5182298986472789E-2</v>
      </c>
      <c r="Y1410">
        <v>4.1665670185510525E-3</v>
      </c>
    </row>
    <row r="1411" spans="1:25" x14ac:dyDescent="0.25">
      <c r="A1411" s="1096"/>
      <c r="B1411" s="1455">
        <v>1161</v>
      </c>
      <c r="C1411" s="1100">
        <v>1.0325300341373373</v>
      </c>
      <c r="D1411" s="1100">
        <v>0.99652817093422019</v>
      </c>
      <c r="E1411" s="1100">
        <v>1.0167088325154197</v>
      </c>
      <c r="F1411" s="1100">
        <v>1.0083764428690123</v>
      </c>
      <c r="G1411" s="1100">
        <v>1.0269470700780501</v>
      </c>
      <c r="H1411" s="1100">
        <v>1.0212958129195315</v>
      </c>
      <c r="I1411" s="1100">
        <v>0.96769498429090484</v>
      </c>
      <c r="K1411">
        <v>2.2119630693645815</v>
      </c>
      <c r="L1411">
        <v>0</v>
      </c>
      <c r="M1411">
        <v>1.4787949484949645E-3</v>
      </c>
      <c r="N1411">
        <v>0.14146634522631907</v>
      </c>
      <c r="O1411">
        <v>1.9154684452033579E-2</v>
      </c>
      <c r="P1411">
        <v>2.6354543832538855E-2</v>
      </c>
      <c r="Q1411">
        <v>5.4318791595927016E-3</v>
      </c>
      <c r="R1411">
        <v>1.458443731552407E-3</v>
      </c>
      <c r="S1411">
        <v>0.22846364790747309</v>
      </c>
      <c r="T1411">
        <v>1.3551503226455568</v>
      </c>
      <c r="U1411">
        <v>0.13831175784875716</v>
      </c>
      <c r="V1411">
        <v>0.18591761447932117</v>
      </c>
      <c r="W1411">
        <v>9.2021425606022791E-2</v>
      </c>
      <c r="X1411">
        <v>1.5741796362467236E-2</v>
      </c>
      <c r="Y1411">
        <v>3.9694030614387558E-3</v>
      </c>
    </row>
    <row r="1412" spans="1:25" x14ac:dyDescent="0.25">
      <c r="A1412" s="1096"/>
      <c r="B1412" s="1455">
        <v>1162</v>
      </c>
      <c r="C1412" s="1100">
        <v>0.99909799000220567</v>
      </c>
      <c r="D1412" s="1100">
        <v>1.0062175587571027</v>
      </c>
      <c r="E1412" s="1100">
        <v>1.0347719663474648</v>
      </c>
      <c r="F1412" s="1100">
        <v>1.0203447796838288</v>
      </c>
      <c r="G1412" s="1100">
        <v>1.0038730467616352</v>
      </c>
      <c r="H1412" s="1100">
        <v>1.0398050368537939</v>
      </c>
      <c r="I1412" s="1100">
        <v>0.98731932371287456</v>
      </c>
      <c r="K1412">
        <v>2.2626459579540628</v>
      </c>
      <c r="L1412">
        <v>0</v>
      </c>
      <c r="M1412">
        <v>1.4953476552227705E-3</v>
      </c>
      <c r="N1412">
        <v>0.15109534250287487</v>
      </c>
      <c r="O1412">
        <v>1.9764869811746272E-2</v>
      </c>
      <c r="P1412">
        <v>2.7165775174083726E-2</v>
      </c>
      <c r="Q1412">
        <v>5.7061515426178556E-3</v>
      </c>
      <c r="R1412">
        <v>1.4751349596938141E-3</v>
      </c>
      <c r="S1412">
        <v>0.24134479475600271</v>
      </c>
      <c r="T1412">
        <v>1.3712740236997822</v>
      </c>
      <c r="U1412">
        <v>0.14298176413555724</v>
      </c>
      <c r="V1412">
        <v>0.18524926950410142</v>
      </c>
      <c r="W1412">
        <v>9.7256342218079925E-2</v>
      </c>
      <c r="X1412">
        <v>1.6813006222566148E-2</v>
      </c>
      <c r="Y1412">
        <v>4.014831082177788E-3</v>
      </c>
    </row>
    <row r="1413" spans="1:25" x14ac:dyDescent="0.25">
      <c r="A1413" s="1096"/>
      <c r="B1413" s="1455">
        <v>1163</v>
      </c>
      <c r="C1413" s="1100">
        <v>0.9895362493392964</v>
      </c>
      <c r="D1413" s="1100">
        <v>1.0041881399784118</v>
      </c>
      <c r="E1413" s="1100">
        <v>0.98597091468550202</v>
      </c>
      <c r="F1413" s="1100">
        <v>0.97528240120061482</v>
      </c>
      <c r="G1413" s="1100">
        <v>1.0240435590407395</v>
      </c>
      <c r="H1413" s="1100">
        <v>0.99669668373810394</v>
      </c>
      <c r="I1413" s="1100">
        <v>0.99988412426161888</v>
      </c>
      <c r="K1413">
        <v>2.1881789355617958</v>
      </c>
      <c r="L1413">
        <v>0</v>
      </c>
      <c r="M1413">
        <v>1.6023407823329918E-3</v>
      </c>
      <c r="N1413">
        <v>0.13964432249943093</v>
      </c>
      <c r="O1413">
        <v>1.9933893491738588E-2</v>
      </c>
      <c r="P1413">
        <v>2.5464590987142526E-2</v>
      </c>
      <c r="Q1413">
        <v>5.4809834266121233E-3</v>
      </c>
      <c r="R1413">
        <v>1.5797450797327853E-3</v>
      </c>
      <c r="S1413">
        <v>0.24315710369155186</v>
      </c>
      <c r="T1413">
        <v>1.3106268835469823</v>
      </c>
      <c r="U1413">
        <v>0.1442496543237049</v>
      </c>
      <c r="V1413">
        <v>0.18805922338819098</v>
      </c>
      <c r="W1413">
        <v>9.2509228928845361E-2</v>
      </c>
      <c r="X1413">
        <v>1.4776101635987826E-2</v>
      </c>
      <c r="Y1413">
        <v>4.2995453442070657E-3</v>
      </c>
    </row>
    <row r="1414" spans="1:25" x14ac:dyDescent="0.25">
      <c r="A1414" s="1096"/>
      <c r="B1414" s="1455">
        <v>1164</v>
      </c>
      <c r="C1414" s="1100">
        <v>1.0173533408532052</v>
      </c>
      <c r="D1414" s="1100">
        <v>0.96557327251160174</v>
      </c>
      <c r="E1414" s="1100">
        <v>1.0124384004842575</v>
      </c>
      <c r="F1414" s="1100">
        <v>0.9660835634674475</v>
      </c>
      <c r="G1414" s="1100">
        <v>0.98636287206506368</v>
      </c>
      <c r="H1414" s="1100">
        <v>1.0039648804159038</v>
      </c>
      <c r="I1414" s="1100">
        <v>1.0017528893199916</v>
      </c>
      <c r="K1414">
        <v>2.1673517693976794</v>
      </c>
      <c r="L1414">
        <v>0</v>
      </c>
      <c r="M1414">
        <v>1.4989130542211559E-3</v>
      </c>
      <c r="N1414">
        <v>0.14152063239038734</v>
      </c>
      <c r="O1414">
        <v>1.9573210992741105E-2</v>
      </c>
      <c r="P1414">
        <v>2.5658403400909399E-2</v>
      </c>
      <c r="Q1414">
        <v>5.5269799758334058E-3</v>
      </c>
      <c r="R1414">
        <v>1.477928879302203E-3</v>
      </c>
      <c r="S1414">
        <v>0.24243193674098062</v>
      </c>
      <c r="T1414">
        <v>1.2983053402123521</v>
      </c>
      <c r="U1414">
        <v>0.14036538181903221</v>
      </c>
      <c r="V1414">
        <v>0.18218384401194287</v>
      </c>
      <c r="W1414">
        <v>9.2288009855944986E-2</v>
      </c>
      <c r="X1414">
        <v>1.5496578962138198E-2</v>
      </c>
      <c r="Y1414">
        <v>4.0224352103364735E-3</v>
      </c>
    </row>
    <row r="1415" spans="1:25" x14ac:dyDescent="0.25">
      <c r="A1415" s="1096"/>
      <c r="B1415" s="1455">
        <v>1165</v>
      </c>
      <c r="C1415" s="1100">
        <v>1.0169245041076671</v>
      </c>
      <c r="D1415" s="1100">
        <v>0.95906859940021738</v>
      </c>
      <c r="E1415" s="1100">
        <v>0.96919554509326666</v>
      </c>
      <c r="F1415" s="1100">
        <v>1.007297533272161</v>
      </c>
      <c r="G1415" s="1100">
        <v>1.0188223352875194</v>
      </c>
      <c r="H1415" s="1100">
        <v>0.96318544895678282</v>
      </c>
      <c r="I1415" s="1100">
        <v>0.99326642729700942</v>
      </c>
      <c r="K1415">
        <v>2.2042036592089831</v>
      </c>
      <c r="L1415">
        <v>0</v>
      </c>
      <c r="M1415">
        <v>1.5757817370396598E-3</v>
      </c>
      <c r="N1415">
        <v>0.13046711611717601</v>
      </c>
      <c r="O1415">
        <v>1.9583837017118511E-2</v>
      </c>
      <c r="P1415">
        <v>2.5560888964001612E-2</v>
      </c>
      <c r="Q1415">
        <v>5.2935767908027388E-3</v>
      </c>
      <c r="R1415">
        <v>1.5527874405591197E-3</v>
      </c>
      <c r="S1415">
        <v>0.23775133646093738</v>
      </c>
      <c r="T1415">
        <v>1.3536316076307466</v>
      </c>
      <c r="U1415">
        <v>0.14032681764305838</v>
      </c>
      <c r="V1415">
        <v>0.18584099997679027</v>
      </c>
      <c r="W1415">
        <v>8.7311297740435417E-2</v>
      </c>
      <c r="X1415">
        <v>1.4232999627433789E-2</v>
      </c>
      <c r="Y1415">
        <v>4.2261755369597124E-3</v>
      </c>
    </row>
    <row r="1416" spans="1:25" x14ac:dyDescent="0.25">
      <c r="A1416" s="1096"/>
      <c r="B1416" s="1455">
        <v>1166</v>
      </c>
      <c r="C1416" s="1100">
        <v>0.99175853242165879</v>
      </c>
      <c r="D1416" s="1100">
        <v>1.031370929405375</v>
      </c>
      <c r="E1416" s="1100">
        <v>1.0321045136369551</v>
      </c>
      <c r="F1416" s="1100">
        <v>1.02775069607368</v>
      </c>
      <c r="G1416" s="1100">
        <v>0.97521896621644799</v>
      </c>
      <c r="H1416" s="1100">
        <v>1.0114497313349102</v>
      </c>
      <c r="I1416" s="1100">
        <v>1.0155645896634173</v>
      </c>
      <c r="K1416">
        <v>2.2673552677467792</v>
      </c>
      <c r="L1416">
        <v>0</v>
      </c>
      <c r="M1416">
        <v>1.4655237060452247E-3</v>
      </c>
      <c r="N1416">
        <v>0.14683970716438047</v>
      </c>
      <c r="O1416">
        <v>1.9801598812026366E-2</v>
      </c>
      <c r="P1416">
        <v>2.7275164064220713E-2</v>
      </c>
      <c r="Q1416">
        <v>5.7017266916029336E-3</v>
      </c>
      <c r="R1416">
        <v>1.4451587948118997E-3</v>
      </c>
      <c r="S1416">
        <v>0.24472831700199663</v>
      </c>
      <c r="T1416">
        <v>1.3812207434334298</v>
      </c>
      <c r="U1416">
        <v>0.14403366983518515</v>
      </c>
      <c r="V1416">
        <v>0.1824477107613654</v>
      </c>
      <c r="W1416">
        <v>9.466316288312572E-2</v>
      </c>
      <c r="X1416">
        <v>1.6730586167672153E-2</v>
      </c>
      <c r="Y1416">
        <v>3.9332458430093153E-3</v>
      </c>
    </row>
    <row r="1417" spans="1:25" x14ac:dyDescent="0.25">
      <c r="A1417" s="1096"/>
      <c r="B1417" s="1455">
        <v>1167</v>
      </c>
      <c r="C1417" s="1100">
        <v>1.0092929994802118</v>
      </c>
      <c r="D1417" s="1100">
        <v>0.99834463165901843</v>
      </c>
      <c r="E1417" s="1100">
        <v>0.95487370984355668</v>
      </c>
      <c r="F1417" s="1100">
        <v>1.0265898513656255</v>
      </c>
      <c r="G1417" s="1100">
        <v>0.98289224712007062</v>
      </c>
      <c r="H1417" s="1100">
        <v>0.99714700134258594</v>
      </c>
      <c r="I1417" s="1100">
        <v>0.98276894049999886</v>
      </c>
      <c r="K1417">
        <v>2.2294977054459122</v>
      </c>
      <c r="L1417">
        <v>0</v>
      </c>
      <c r="M1417">
        <v>1.6780545579757067E-3</v>
      </c>
      <c r="N1417">
        <v>0.13310239508286772</v>
      </c>
      <c r="O1417">
        <v>1.9549639138587281E-2</v>
      </c>
      <c r="P1417">
        <v>2.5548345175550949E-2</v>
      </c>
      <c r="Q1417">
        <v>5.2072041060911489E-3</v>
      </c>
      <c r="R1417">
        <v>1.6544018502051418E-3</v>
      </c>
      <c r="S1417">
        <v>0.23480481249204729</v>
      </c>
      <c r="T1417">
        <v>1.3795460017986758</v>
      </c>
      <c r="U1417">
        <v>0.14135539632120372</v>
      </c>
      <c r="V1417">
        <v>0.18220853191566702</v>
      </c>
      <c r="W1417">
        <v>8.9859697732832033E-2</v>
      </c>
      <c r="X1417">
        <v>1.3836597927324336E-2</v>
      </c>
      <c r="Y1417">
        <v>4.5027364628350474E-3</v>
      </c>
    </row>
    <row r="1418" spans="1:25" x14ac:dyDescent="0.25">
      <c r="A1418" s="1096"/>
      <c r="B1418" s="1455">
        <v>1168</v>
      </c>
      <c r="C1418" s="1100">
        <v>1.032675440962374</v>
      </c>
      <c r="D1418" s="1100">
        <v>0.9865078206470741</v>
      </c>
      <c r="E1418" s="1100">
        <v>0.97878108332955716</v>
      </c>
      <c r="F1418" s="1100">
        <v>0.99382388009060907</v>
      </c>
      <c r="G1418" s="1100">
        <v>0.97660602423646437</v>
      </c>
      <c r="H1418" s="1100">
        <v>0.98130571565308744</v>
      </c>
      <c r="I1418" s="1100">
        <v>1.0350692876141394</v>
      </c>
      <c r="K1418">
        <v>2.1830017341305741</v>
      </c>
      <c r="L1418">
        <v>0</v>
      </c>
      <c r="M1418">
        <v>1.5403534110299724E-3</v>
      </c>
      <c r="N1418">
        <v>0.13132437638590336</v>
      </c>
      <c r="O1418">
        <v>1.9171613653367531E-2</v>
      </c>
      <c r="P1418">
        <v>2.5459042630297649E-2</v>
      </c>
      <c r="Q1418">
        <v>5.2330574907403235E-3</v>
      </c>
      <c r="R1418">
        <v>1.5182911497729624E-3</v>
      </c>
      <c r="S1418">
        <v>0.24205428753528724</v>
      </c>
      <c r="T1418">
        <v>1.3355351062997982</v>
      </c>
      <c r="U1418">
        <v>0.13820775602445923</v>
      </c>
      <c r="V1418">
        <v>0.18018708537970612</v>
      </c>
      <c r="W1418">
        <v>8.7375368891496066E-2</v>
      </c>
      <c r="X1418">
        <v>1.4343814095637068E-2</v>
      </c>
      <c r="Y1418">
        <v>4.1322880051389947E-3</v>
      </c>
    </row>
    <row r="1419" spans="1:25" x14ac:dyDescent="0.25">
      <c r="A1419" s="1096"/>
      <c r="B1419" s="1455">
        <v>1169</v>
      </c>
      <c r="C1419" s="1100">
        <v>0.98831811875657949</v>
      </c>
      <c r="D1419" s="1100">
        <v>0.99942700319240707</v>
      </c>
      <c r="E1419" s="1100">
        <v>1.0094173288169437</v>
      </c>
      <c r="F1419" s="1100">
        <v>0.97299167633585881</v>
      </c>
      <c r="G1419" s="1100">
        <v>1.0057443622324909</v>
      </c>
      <c r="H1419" s="1100">
        <v>0.96850968679994365</v>
      </c>
      <c r="I1419" s="1100">
        <v>0.98180726111311611</v>
      </c>
      <c r="K1419">
        <v>2.1764242469771529</v>
      </c>
      <c r="L1419">
        <v>0</v>
      </c>
      <c r="M1419">
        <v>1.4865194903140335E-3</v>
      </c>
      <c r="N1419">
        <v>0.13900402387953603</v>
      </c>
      <c r="O1419">
        <v>1.9994157137075814E-2</v>
      </c>
      <c r="P1419">
        <v>2.5771872318377964E-2</v>
      </c>
      <c r="Q1419">
        <v>5.6288286052861639E-3</v>
      </c>
      <c r="R1419">
        <v>1.4649469834480924E-3</v>
      </c>
      <c r="S1419">
        <v>0.23755554453939631</v>
      </c>
      <c r="T1419">
        <v>1.307583676113429</v>
      </c>
      <c r="U1419">
        <v>0.1444820450186888</v>
      </c>
      <c r="V1419">
        <v>0.18608530673642101</v>
      </c>
      <c r="W1419">
        <v>9.0808395672697634E-2</v>
      </c>
      <c r="X1419">
        <v>1.5544866693805615E-2</v>
      </c>
      <c r="Y1419">
        <v>3.9871027693024015E-3</v>
      </c>
    </row>
    <row r="1420" spans="1:25" x14ac:dyDescent="0.25">
      <c r="A1420" s="1096"/>
      <c r="B1420" s="1455">
        <v>1170</v>
      </c>
      <c r="C1420" s="1100">
        <v>0.99270292012691574</v>
      </c>
      <c r="D1420" s="1100">
        <v>1.0171780489543618</v>
      </c>
      <c r="E1420" s="1100">
        <v>1.0126954220052429</v>
      </c>
      <c r="F1420" s="1100">
        <v>0.99553389472883491</v>
      </c>
      <c r="G1420" s="1100">
        <v>0.99639500139526194</v>
      </c>
      <c r="H1420" s="1100">
        <v>0.99783026807763664</v>
      </c>
      <c r="I1420" s="1100">
        <v>0.99251211103188608</v>
      </c>
      <c r="K1420">
        <v>2.2128112313856199</v>
      </c>
      <c r="L1420">
        <v>0</v>
      </c>
      <c r="M1420">
        <v>1.5085528817038222E-3</v>
      </c>
      <c r="N1420">
        <v>0.14252887986760152</v>
      </c>
      <c r="O1420">
        <v>1.9830951200865182E-2</v>
      </c>
      <c r="P1420">
        <v>2.6249518546975884E-2</v>
      </c>
      <c r="Q1420">
        <v>5.6011961817680929E-3</v>
      </c>
      <c r="R1420">
        <v>1.4873039137257558E-3</v>
      </c>
      <c r="S1420">
        <v>0.23935312029352643</v>
      </c>
      <c r="T1420">
        <v>1.3378836794588669</v>
      </c>
      <c r="U1420">
        <v>0.1438514787555836</v>
      </c>
      <c r="V1420">
        <v>0.18476631124812504</v>
      </c>
      <c r="W1420">
        <v>9.2931447920186233E-2</v>
      </c>
      <c r="X1420">
        <v>1.5787945916542163E-2</v>
      </c>
      <c r="Y1420">
        <v>4.0479509635581168E-3</v>
      </c>
    </row>
    <row r="1421" spans="1:25" x14ac:dyDescent="0.25">
      <c r="A1421" s="1096"/>
      <c r="B1421" s="1455">
        <v>1171</v>
      </c>
      <c r="C1421" s="1100">
        <v>0.99005081485210189</v>
      </c>
      <c r="D1421" s="1100">
        <v>1.0300742422972975</v>
      </c>
      <c r="E1421" s="1100">
        <v>0.97130731324896535</v>
      </c>
      <c r="F1421" s="1100">
        <v>1.0126681543912524</v>
      </c>
      <c r="G1421" s="1100">
        <v>0.9874685801940678</v>
      </c>
      <c r="H1421" s="1100">
        <v>0.99789007016841613</v>
      </c>
      <c r="I1421" s="1100">
        <v>1.0263895461937989</v>
      </c>
      <c r="K1421">
        <v>2.2336441023763882</v>
      </c>
      <c r="L1421">
        <v>0</v>
      </c>
      <c r="M1421">
        <v>1.6435483075009118E-3</v>
      </c>
      <c r="N1421">
        <v>0.13702127142048423</v>
      </c>
      <c r="O1421">
        <v>1.9803126246042597E-2</v>
      </c>
      <c r="P1421">
        <v>2.583789593543849E-2</v>
      </c>
      <c r="Q1421">
        <v>5.3644157945542184E-3</v>
      </c>
      <c r="R1421">
        <v>1.6203992267802391E-3</v>
      </c>
      <c r="S1421">
        <v>0.24632300293452572</v>
      </c>
      <c r="T1421">
        <v>1.3608507897634885</v>
      </c>
      <c r="U1421">
        <v>0.14414070038700591</v>
      </c>
      <c r="V1421">
        <v>0.18388107383456359</v>
      </c>
      <c r="W1421">
        <v>9.1579715423442246E-2</v>
      </c>
      <c r="X1421">
        <v>1.4455067186730463E-2</v>
      </c>
      <c r="Y1421">
        <v>4.410192530834264E-3</v>
      </c>
    </row>
    <row r="1422" spans="1:25" x14ac:dyDescent="0.25">
      <c r="A1422" s="1096"/>
      <c r="B1422" s="1455">
        <v>1172</v>
      </c>
      <c r="C1422" s="1100">
        <v>1.0280101456362027</v>
      </c>
      <c r="D1422" s="1100">
        <v>0.99445557768946646</v>
      </c>
      <c r="E1422" s="1100">
        <v>0.99431128267222335</v>
      </c>
      <c r="F1422" s="1100">
        <v>1.0073079363316846</v>
      </c>
      <c r="G1422" s="1100">
        <v>0.97955757664268706</v>
      </c>
      <c r="H1422" s="1100">
        <v>0.96139657861796057</v>
      </c>
      <c r="I1422" s="1100">
        <v>0.98487354860984833</v>
      </c>
      <c r="K1422">
        <v>2.1887661073291711</v>
      </c>
      <c r="L1422">
        <v>0</v>
      </c>
      <c r="M1422">
        <v>1.4654039477476992E-3</v>
      </c>
      <c r="N1422">
        <v>0.13090279305655542</v>
      </c>
      <c r="O1422">
        <v>1.9234078497261369E-2</v>
      </c>
      <c r="P1422">
        <v>2.5845659104516128E-2</v>
      </c>
      <c r="Q1422">
        <v>5.333332106382792E-3</v>
      </c>
      <c r="R1422">
        <v>1.4439805297340603E-3</v>
      </c>
      <c r="S1422">
        <v>0.22901453904952782</v>
      </c>
      <c r="T1422">
        <v>1.3536757594660056</v>
      </c>
      <c r="U1422">
        <v>0.13886967421988913</v>
      </c>
      <c r="V1422">
        <v>0.18079434219577925</v>
      </c>
      <c r="W1422">
        <v>8.6286136660628635E-2</v>
      </c>
      <c r="X1422">
        <v>1.4901177396755798E-2</v>
      </c>
      <c r="Y1422">
        <v>3.930038993882415E-3</v>
      </c>
    </row>
    <row r="1423" spans="1:25" x14ac:dyDescent="0.25">
      <c r="A1423" s="1096"/>
      <c r="B1423" s="1455">
        <v>1173</v>
      </c>
      <c r="C1423" s="1100">
        <v>0.99109873843060736</v>
      </c>
      <c r="D1423" s="1100">
        <v>1.0258772658681827</v>
      </c>
      <c r="E1423" s="1100">
        <v>1.0282322974337434</v>
      </c>
      <c r="F1423" s="1100">
        <v>1.0041184272680992</v>
      </c>
      <c r="G1423" s="1100">
        <v>1.0148937533881928</v>
      </c>
      <c r="H1423" s="1100">
        <v>1.0409740969792121</v>
      </c>
      <c r="I1423" s="1100">
        <v>1.0013924019978964</v>
      </c>
      <c r="K1423">
        <v>2.2463639987952515</v>
      </c>
      <c r="L1423">
        <v>0</v>
      </c>
      <c r="M1423">
        <v>1.5233234169476759E-3</v>
      </c>
      <c r="N1423">
        <v>0.15092001214854348</v>
      </c>
      <c r="O1423">
        <v>1.9835638758944181E-2</v>
      </c>
      <c r="P1423">
        <v>2.6816544654169269E-2</v>
      </c>
      <c r="Q1423">
        <v>5.6897058206898041E-3</v>
      </c>
      <c r="R1423">
        <v>1.5027556959605257E-3</v>
      </c>
      <c r="S1423">
        <v>0.24446118386602117</v>
      </c>
      <c r="T1423">
        <v>1.3494520196815534</v>
      </c>
      <c r="U1423">
        <v>0.14412051985794588</v>
      </c>
      <c r="V1423">
        <v>0.18696829386663383</v>
      </c>
      <c r="W1423">
        <v>9.7512519954496557E-2</v>
      </c>
      <c r="X1423">
        <v>1.6518122286117872E-2</v>
      </c>
      <c r="Y1423">
        <v>4.0900056211225153E-3</v>
      </c>
    </row>
    <row r="1424" spans="1:25" x14ac:dyDescent="0.25">
      <c r="A1424" s="1096"/>
      <c r="B1424" s="1455">
        <v>1174</v>
      </c>
      <c r="C1424" s="1100">
        <v>0.97084897427829475</v>
      </c>
      <c r="D1424" s="1100">
        <v>0.98187552964921543</v>
      </c>
      <c r="E1424" s="1100">
        <v>1.0079500434635607</v>
      </c>
      <c r="F1424" s="1100">
        <v>1.0102253615638896</v>
      </c>
      <c r="G1424" s="1100">
        <v>0.97153062019010039</v>
      </c>
      <c r="H1424" s="1100">
        <v>1.026687075031965</v>
      </c>
      <c r="I1424" s="1100">
        <v>0.98473690487967025</v>
      </c>
      <c r="K1424">
        <v>2.259455421046964</v>
      </c>
      <c r="L1424">
        <v>0</v>
      </c>
      <c r="M1424">
        <v>1.6153484758761551E-3</v>
      </c>
      <c r="N1424">
        <v>0.15050857307599042</v>
      </c>
      <c r="O1424">
        <v>2.0432468082427865E-2</v>
      </c>
      <c r="P1424">
        <v>2.659138876899075E-2</v>
      </c>
      <c r="Q1424">
        <v>5.7437864689851223E-3</v>
      </c>
      <c r="R1424">
        <v>1.5932347404940819E-3</v>
      </c>
      <c r="S1424">
        <v>0.24945991921981836</v>
      </c>
      <c r="T1424">
        <v>1.3576186281209539</v>
      </c>
      <c r="U1424">
        <v>0.14707832423886391</v>
      </c>
      <c r="V1424">
        <v>0.1832968793451544</v>
      </c>
      <c r="W1424">
        <v>9.8409272351747304E-2</v>
      </c>
      <c r="X1424">
        <v>1.6002035355481652E-2</v>
      </c>
      <c r="Y1424">
        <v>4.3362597539338393E-3</v>
      </c>
    </row>
    <row r="1425" spans="1:25" x14ac:dyDescent="0.25">
      <c r="A1425" s="1096"/>
      <c r="B1425" s="1455">
        <v>1175</v>
      </c>
      <c r="C1425" s="1100">
        <v>0.97205873099135276</v>
      </c>
      <c r="D1425" s="1100">
        <v>1.0032295205727269</v>
      </c>
      <c r="E1425" s="1100">
        <v>0.99001874349786489</v>
      </c>
      <c r="F1425" s="1100">
        <v>1.0084449780086626</v>
      </c>
      <c r="G1425" s="1100">
        <v>1.0218591655379883</v>
      </c>
      <c r="H1425" s="1100">
        <v>1.0329209214332151</v>
      </c>
      <c r="I1425" s="1100">
        <v>1.0115513876149196</v>
      </c>
      <c r="K1425">
        <v>2.2623781382998982</v>
      </c>
      <c r="L1425">
        <v>0</v>
      </c>
      <c r="M1425">
        <v>1.6766782199540385E-3</v>
      </c>
      <c r="N1425">
        <v>0.14799660274083259</v>
      </c>
      <c r="O1425">
        <v>2.0299161541532138E-2</v>
      </c>
      <c r="P1425">
        <v>2.633378283369614E-2</v>
      </c>
      <c r="Q1425">
        <v>5.6043249613840001E-3</v>
      </c>
      <c r="R1425">
        <v>1.6538634220659514E-3</v>
      </c>
      <c r="S1425">
        <v>0.25358632591376784</v>
      </c>
      <c r="T1425">
        <v>1.3551976255146465</v>
      </c>
      <c r="U1425">
        <v>0.14685281757101309</v>
      </c>
      <c r="V1425">
        <v>0.18889353614947357</v>
      </c>
      <c r="W1425">
        <v>9.7804476421858355E-2</v>
      </c>
      <c r="X1425">
        <v>1.5331028410647096E-2</v>
      </c>
      <c r="Y1425">
        <v>4.5012710389329613E-3</v>
      </c>
    </row>
    <row r="1426" spans="1:25" x14ac:dyDescent="0.25">
      <c r="A1426" s="1096"/>
      <c r="B1426" s="1455">
        <v>1176</v>
      </c>
      <c r="C1426" s="1100">
        <v>0.96213960106869989</v>
      </c>
      <c r="D1426" s="1100">
        <v>0.98743595851820365</v>
      </c>
      <c r="E1426" s="1100">
        <v>0.97803296773328274</v>
      </c>
      <c r="F1426" s="1100">
        <v>1.0152582286844904</v>
      </c>
      <c r="G1426" s="1100">
        <v>0.99681703402843636</v>
      </c>
      <c r="H1426" s="1100">
        <v>1.0113712426386248</v>
      </c>
      <c r="I1426" s="1100">
        <v>1.0091701144710929</v>
      </c>
      <c r="K1426">
        <v>2.2688981846258702</v>
      </c>
      <c r="L1426">
        <v>0</v>
      </c>
      <c r="M1426">
        <v>1.7062167990525878E-3</v>
      </c>
      <c r="N1426">
        <v>0.14519898751120275</v>
      </c>
      <c r="O1426">
        <v>2.0572370216850891E-2</v>
      </c>
      <c r="P1426">
        <v>2.6237488300030004E-2</v>
      </c>
      <c r="Q1426">
        <v>5.6111340686081793E-3</v>
      </c>
      <c r="R1426">
        <v>1.6825053776038561E-3</v>
      </c>
      <c r="S1426">
        <v>0.25570581849903468</v>
      </c>
      <c r="T1426">
        <v>1.3643384795613891</v>
      </c>
      <c r="U1426">
        <v>0.14833818172382973</v>
      </c>
      <c r="V1426">
        <v>0.18668120179683864</v>
      </c>
      <c r="W1426">
        <v>9.6650408679682193E-2</v>
      </c>
      <c r="X1426">
        <v>1.5008600689761195E-2</v>
      </c>
      <c r="Y1426">
        <v>4.5792250000890322E-3</v>
      </c>
    </row>
    <row r="1427" spans="1:25" x14ac:dyDescent="0.25">
      <c r="A1427" s="1096"/>
      <c r="B1427" s="1455">
        <v>1177</v>
      </c>
      <c r="C1427" s="1100">
        <v>0.98066002888152659</v>
      </c>
      <c r="D1427" s="1100">
        <v>0.99476296014096877</v>
      </c>
      <c r="E1427" s="1100">
        <v>1.0147907172698001</v>
      </c>
      <c r="F1427" s="1100">
        <v>1.0046842307567478</v>
      </c>
      <c r="G1427" s="1100">
        <v>0.9922683855973784</v>
      </c>
      <c r="H1427" s="1100">
        <v>1.0128024337216834</v>
      </c>
      <c r="I1427" s="1100">
        <v>1.0149852170026066</v>
      </c>
      <c r="K1427">
        <v>2.2489916479918985</v>
      </c>
      <c r="L1427">
        <v>0</v>
      </c>
      <c r="M1427">
        <v>1.5508396318970428E-3</v>
      </c>
      <c r="N1427">
        <v>0.14748484530936676</v>
      </c>
      <c r="O1427">
        <v>2.0174473984478383E-2</v>
      </c>
      <c r="P1427">
        <v>2.6659696757504917E-2</v>
      </c>
      <c r="Q1427">
        <v>5.7101462069707029E-3</v>
      </c>
      <c r="R1427">
        <v>1.5293179537874207E-3</v>
      </c>
      <c r="S1427">
        <v>0.2518046956074374</v>
      </c>
      <c r="T1427">
        <v>1.350184660636766</v>
      </c>
      <c r="U1427">
        <v>0.1456229611270273</v>
      </c>
      <c r="V1427">
        <v>0.18503583095484941</v>
      </c>
      <c r="W1427">
        <v>9.6044437541372554E-2</v>
      </c>
      <c r="X1427">
        <v>1.612912221355161E-2</v>
      </c>
      <c r="Y1427">
        <v>4.162299330681382E-3</v>
      </c>
    </row>
    <row r="1428" spans="1:25" x14ac:dyDescent="0.25">
      <c r="A1428" s="1096"/>
      <c r="B1428" s="1455">
        <v>1178</v>
      </c>
      <c r="C1428" s="1100">
        <v>1.0122468324440339</v>
      </c>
      <c r="D1428" s="1100">
        <v>0.98478326412435657</v>
      </c>
      <c r="E1428" s="1100">
        <v>1.0001642873162144</v>
      </c>
      <c r="F1428" s="1100">
        <v>1.0462862954337193</v>
      </c>
      <c r="G1428" s="1100">
        <v>1.0117467809800926</v>
      </c>
      <c r="H1428" s="1100">
        <v>1.0005281401296935</v>
      </c>
      <c r="I1428" s="1100">
        <v>0.99415560396008673</v>
      </c>
      <c r="K1428">
        <v>2.2742609234571782</v>
      </c>
      <c r="L1428">
        <v>0</v>
      </c>
      <c r="M1428">
        <v>1.5334105129168726E-3</v>
      </c>
      <c r="N1428">
        <v>0.13950288652607248</v>
      </c>
      <c r="O1428">
        <v>1.957927293649828E-2</v>
      </c>
      <c r="P1428">
        <v>2.690269256292414E-2</v>
      </c>
      <c r="Q1428">
        <v>5.4611337051152483E-3</v>
      </c>
      <c r="R1428">
        <v>1.5118696495750787E-3</v>
      </c>
      <c r="S1428">
        <v>0.23906529487808398</v>
      </c>
      <c r="T1428">
        <v>1.4060664023490801</v>
      </c>
      <c r="U1428">
        <v>0.14104554250434109</v>
      </c>
      <c r="V1428">
        <v>0.18533654282337755</v>
      </c>
      <c r="W1428">
        <v>9.163496576045066E-2</v>
      </c>
      <c r="X1428">
        <v>1.5572919476126514E-2</v>
      </c>
      <c r="Y1428">
        <v>4.1148107984473273E-3</v>
      </c>
    </row>
    <row r="1429" spans="1:25" x14ac:dyDescent="0.25">
      <c r="A1429" s="1096"/>
      <c r="B1429" s="1455">
        <v>1179</v>
      </c>
      <c r="C1429" s="1100">
        <v>1.0378611160109998</v>
      </c>
      <c r="D1429" s="1100">
        <v>0.99173834643401781</v>
      </c>
      <c r="E1429" s="1100">
        <v>0.97932498296379877</v>
      </c>
      <c r="F1429" s="1100">
        <v>1.0363188451111525</v>
      </c>
      <c r="G1429" s="1100">
        <v>0.97890516497560209</v>
      </c>
      <c r="H1429" s="1100">
        <v>1.0088352983469873</v>
      </c>
      <c r="I1429" s="1100">
        <v>1.0098136058449463</v>
      </c>
      <c r="K1429">
        <v>2.2396309323254275</v>
      </c>
      <c r="L1429">
        <v>0</v>
      </c>
      <c r="M1429">
        <v>1.5720534717542684E-3</v>
      </c>
      <c r="N1429">
        <v>0.13430098916498404</v>
      </c>
      <c r="O1429">
        <v>1.9053970127806286E-2</v>
      </c>
      <c r="P1429">
        <v>2.61523676414726E-2</v>
      </c>
      <c r="Q1429">
        <v>5.2038231646513331E-3</v>
      </c>
      <c r="R1429">
        <v>1.5501516105987532E-3</v>
      </c>
      <c r="S1429">
        <v>0.2364985295037339</v>
      </c>
      <c r="T1429">
        <v>1.3926419576482627</v>
      </c>
      <c r="U1429">
        <v>0.13751840318891426</v>
      </c>
      <c r="V1429">
        <v>0.18016049354189442</v>
      </c>
      <c r="W1429">
        <v>8.9326465234761246E-2</v>
      </c>
      <c r="X1429">
        <v>1.4576833293394119E-2</v>
      </c>
      <c r="Y1429">
        <v>4.2190016767087082E-3</v>
      </c>
    </row>
    <row r="1430" spans="1:25" x14ac:dyDescent="0.25">
      <c r="A1430" s="1096"/>
      <c r="B1430" s="1455">
        <v>1180</v>
      </c>
      <c r="C1430" s="1100">
        <v>0.99470839422377288</v>
      </c>
      <c r="D1430" s="1100">
        <v>0.95908970621559952</v>
      </c>
      <c r="E1430" s="1100">
        <v>1.0320772038871446</v>
      </c>
      <c r="F1430" s="1100">
        <v>0.98820329864670509</v>
      </c>
      <c r="G1430" s="1100">
        <v>0.99787057425308023</v>
      </c>
      <c r="H1430" s="1100">
        <v>0.98365934666544752</v>
      </c>
      <c r="I1430" s="1100">
        <v>1.0266063912715231</v>
      </c>
      <c r="K1430">
        <v>2.2207213095535052</v>
      </c>
      <c r="L1430">
        <v>0</v>
      </c>
      <c r="M1430">
        <v>1.4440106515578154E-3</v>
      </c>
      <c r="N1430">
        <v>0.14461467734909239</v>
      </c>
      <c r="O1430">
        <v>2.0060986597629168E-2</v>
      </c>
      <c r="P1430">
        <v>2.6681090786825186E-2</v>
      </c>
      <c r="Q1430">
        <v>5.7762597342198721E-3</v>
      </c>
      <c r="R1430">
        <v>1.4233777811372555E-3</v>
      </c>
      <c r="S1430">
        <v>0.25342788244309211</v>
      </c>
      <c r="T1430">
        <v>1.3280719116000352</v>
      </c>
      <c r="U1430">
        <v>0.14360646664440471</v>
      </c>
      <c r="V1430">
        <v>0.18483046817695636</v>
      </c>
      <c r="W1430">
        <v>9.3230228289572656E-2</v>
      </c>
      <c r="X1430">
        <v>1.6568005698198825E-2</v>
      </c>
      <c r="Y1430">
        <v>3.8739651038961634E-3</v>
      </c>
    </row>
    <row r="1431" spans="1:25" x14ac:dyDescent="0.25">
      <c r="A1431" s="1096"/>
      <c r="B1431" s="1455">
        <v>1181</v>
      </c>
      <c r="C1431" s="1100">
        <v>0.97886321763634054</v>
      </c>
      <c r="D1431" s="1100">
        <v>0.96815228245202534</v>
      </c>
      <c r="E1431" s="1100">
        <v>1.0059914580806413</v>
      </c>
      <c r="F1431" s="1100">
        <v>1.0050835380686396</v>
      </c>
      <c r="G1431" s="1100">
        <v>1.00500780552477</v>
      </c>
      <c r="H1431" s="1100">
        <v>0.9984696174079658</v>
      </c>
      <c r="I1431" s="1100">
        <v>1.0227363764551649</v>
      </c>
      <c r="K1431">
        <v>2.2526168148383774</v>
      </c>
      <c r="L1431">
        <v>0</v>
      </c>
      <c r="M1431">
        <v>1.5692920381668517E-3</v>
      </c>
      <c r="N1431">
        <v>0.14529807409424322</v>
      </c>
      <c r="O1431">
        <v>2.0326770311579485E-2</v>
      </c>
      <c r="P1431">
        <v>2.6581386613493692E-2</v>
      </c>
      <c r="Q1431">
        <v>5.7028784820500108E-3</v>
      </c>
      <c r="R1431">
        <v>1.5472016730519709E-3</v>
      </c>
      <c r="S1431">
        <v>0.25638193955301891</v>
      </c>
      <c r="T1431">
        <v>1.3507052185951574</v>
      </c>
      <c r="U1431">
        <v>0.14586953875490641</v>
      </c>
      <c r="V1431">
        <v>0.18657880328191445</v>
      </c>
      <c r="W1431">
        <v>9.5112461043112051E-2</v>
      </c>
      <c r="X1431">
        <v>1.5870861554862139E-2</v>
      </c>
      <c r="Y1431">
        <v>4.2109729191530179E-3</v>
      </c>
    </row>
    <row r="1432" spans="1:25" x14ac:dyDescent="0.25">
      <c r="A1432" s="1096"/>
      <c r="B1432" s="1455">
        <v>1182</v>
      </c>
      <c r="C1432" s="1100">
        <v>0.96111074475767244</v>
      </c>
      <c r="D1432" s="1100">
        <v>0.98094929747951154</v>
      </c>
      <c r="E1432" s="1100">
        <v>1.0090538365108048</v>
      </c>
      <c r="F1432" s="1100">
        <v>0.98974918995752748</v>
      </c>
      <c r="G1432" s="1100">
        <v>1.0011151050315898</v>
      </c>
      <c r="H1432" s="1100">
        <v>1.0333268738029608</v>
      </c>
      <c r="I1432" s="1100">
        <v>0.98344234773843542</v>
      </c>
      <c r="K1432">
        <v>2.2448179160067405</v>
      </c>
      <c r="L1432">
        <v>0</v>
      </c>
      <c r="M1432">
        <v>1.6388477320077493E-3</v>
      </c>
      <c r="N1432">
        <v>0.15322150646011348</v>
      </c>
      <c r="O1432">
        <v>2.0644502512870297E-2</v>
      </c>
      <c r="P1432">
        <v>2.6349593970865684E-2</v>
      </c>
      <c r="Q1432">
        <v>5.8098038947249362E-3</v>
      </c>
      <c r="R1432">
        <v>1.6165564597062059E-3</v>
      </c>
      <c r="S1432">
        <v>0.25233041300739861</v>
      </c>
      <c r="T1432">
        <v>1.3301031123556244</v>
      </c>
      <c r="U1432">
        <v>0.14857120850496236</v>
      </c>
      <c r="V1432">
        <v>0.1872611735991021</v>
      </c>
      <c r="W1432">
        <v>0.10011784719898356</v>
      </c>
      <c r="X1432">
        <v>1.6031311988767991E-2</v>
      </c>
      <c r="Y1432">
        <v>4.3997337856265702E-3</v>
      </c>
    </row>
    <row r="1433" spans="1:25" x14ac:dyDescent="0.25">
      <c r="A1433" s="1096"/>
      <c r="B1433" s="1455">
        <v>1183</v>
      </c>
      <c r="C1433" s="1100">
        <v>1.0026497185047509</v>
      </c>
      <c r="D1433" s="1100">
        <v>0.98145065740152215</v>
      </c>
      <c r="E1433" s="1100">
        <v>0.99698220484213007</v>
      </c>
      <c r="F1433" s="1100">
        <v>0.99216923666959211</v>
      </c>
      <c r="G1433" s="1100">
        <v>1.0098648687523042</v>
      </c>
      <c r="H1433" s="1100">
        <v>0.997807560411343</v>
      </c>
      <c r="I1433" s="1100">
        <v>1.0194671222030258</v>
      </c>
      <c r="K1433">
        <v>2.212076117785541</v>
      </c>
      <c r="L1433">
        <v>0</v>
      </c>
      <c r="M1433">
        <v>1.5552598675276567E-3</v>
      </c>
      <c r="N1433">
        <v>0.14013131979794829</v>
      </c>
      <c r="O1433">
        <v>1.9779437422949141E-2</v>
      </c>
      <c r="P1433">
        <v>2.5989010017027542E-2</v>
      </c>
      <c r="Q1433">
        <v>5.4993323619420883E-3</v>
      </c>
      <c r="R1433">
        <v>1.5333525021261627E-3</v>
      </c>
      <c r="S1433">
        <v>0.24767154375580955</v>
      </c>
      <c r="T1433">
        <v>1.3333355110437199</v>
      </c>
      <c r="U1433">
        <v>0.1423882902226489</v>
      </c>
      <c r="V1433">
        <v>0.18568201137841503</v>
      </c>
      <c r="W1433">
        <v>9.2222210618277456E-2</v>
      </c>
      <c r="X1433">
        <v>1.5226078490929967E-2</v>
      </c>
      <c r="Y1433">
        <v>4.1732800412709369E-3</v>
      </c>
    </row>
    <row r="1434" spans="1:25" x14ac:dyDescent="0.25">
      <c r="A1434" s="1096"/>
      <c r="B1434" s="1455">
        <v>1184</v>
      </c>
      <c r="C1434" s="1100">
        <v>0.97366986792357468</v>
      </c>
      <c r="D1434" s="1100">
        <v>0.97497492009905828</v>
      </c>
      <c r="E1434" s="1100">
        <v>0.99882206178898814</v>
      </c>
      <c r="F1434" s="1100">
        <v>0.9975199026289111</v>
      </c>
      <c r="G1434" s="1100">
        <v>0.99129947609996505</v>
      </c>
      <c r="H1434" s="1100">
        <v>1.0071148502840439</v>
      </c>
      <c r="I1434" s="1100">
        <v>1.0179981616742988</v>
      </c>
      <c r="K1434">
        <v>2.2433000610924743</v>
      </c>
      <c r="L1434">
        <v>0</v>
      </c>
      <c r="M1434">
        <v>1.6126802748797926E-3</v>
      </c>
      <c r="N1434">
        <v>0.14613434682814447</v>
      </c>
      <c r="O1434">
        <v>2.0399015604117467E-2</v>
      </c>
      <c r="P1434">
        <v>2.6294029301163008E-2</v>
      </c>
      <c r="Q1434">
        <v>5.6821063046270139E-3</v>
      </c>
      <c r="R1434">
        <v>1.5901740190579863E-3</v>
      </c>
      <c r="S1434">
        <v>0.25632190660464649</v>
      </c>
      <c r="T1434">
        <v>1.3405288896599603</v>
      </c>
      <c r="U1434">
        <v>0.14663061716389761</v>
      </c>
      <c r="V1434">
        <v>0.18534603926884449</v>
      </c>
      <c r="W1434">
        <v>9.6067596620460716E-2</v>
      </c>
      <c r="X1434">
        <v>1.5590090513281401E-2</v>
      </c>
      <c r="Y1434">
        <v>4.3279294791513379E-3</v>
      </c>
    </row>
    <row r="1435" spans="1:25" x14ac:dyDescent="0.25">
      <c r="A1435" s="1096"/>
      <c r="B1435" s="1455">
        <v>1185</v>
      </c>
      <c r="C1435" s="1100">
        <v>0.98327983551538822</v>
      </c>
      <c r="D1435" s="1100">
        <v>1.0042894897987391</v>
      </c>
      <c r="E1435" s="1100">
        <v>0.99215770719519791</v>
      </c>
      <c r="F1435" s="1100">
        <v>0.9799116897161072</v>
      </c>
      <c r="G1435" s="1100">
        <v>0.99712061500848259</v>
      </c>
      <c r="H1435" s="1100">
        <v>0.98144473509518027</v>
      </c>
      <c r="I1435" s="1100">
        <v>0.98195950365646645</v>
      </c>
      <c r="K1435">
        <v>2.1880050613636608</v>
      </c>
      <c r="L1435">
        <v>0</v>
      </c>
      <c r="M1435">
        <v>1.5676126144123887E-3</v>
      </c>
      <c r="N1435">
        <v>0.13916653042307492</v>
      </c>
      <c r="O1435">
        <v>2.0064203401721086E-2</v>
      </c>
      <c r="P1435">
        <v>2.5589997112834519E-2</v>
      </c>
      <c r="Q1435">
        <v>5.5514381495152627E-3</v>
      </c>
      <c r="R1435">
        <v>1.5451631038633324E-3</v>
      </c>
      <c r="S1435">
        <v>0.23913326809540578</v>
      </c>
      <c r="T1435">
        <v>1.3168561288011233</v>
      </c>
      <c r="U1435">
        <v>0.14518194714421276</v>
      </c>
      <c r="V1435">
        <v>0.18540265342660847</v>
      </c>
      <c r="W1435">
        <v>9.1851398520919961E-2</v>
      </c>
      <c r="X1435">
        <v>1.5024521192956568E-2</v>
      </c>
      <c r="Y1435">
        <v>4.2054246058356977E-3</v>
      </c>
    </row>
    <row r="1436" spans="1:25" x14ac:dyDescent="0.25">
      <c r="A1436" s="1096"/>
      <c r="B1436" s="1455">
        <v>1186</v>
      </c>
      <c r="C1436" s="1100">
        <v>0.97526826591866067</v>
      </c>
      <c r="D1436" s="1100">
        <v>1.0082810944298686</v>
      </c>
      <c r="E1436" s="1100">
        <v>1.030783602865337</v>
      </c>
      <c r="F1436" s="1100">
        <v>0.97225281572730038</v>
      </c>
      <c r="G1436" s="1100">
        <v>1.0046140615357189</v>
      </c>
      <c r="H1436" s="1100">
        <v>0.97791631752878416</v>
      </c>
      <c r="I1436" s="1100">
        <v>1.0059527711839988</v>
      </c>
      <c r="K1436">
        <v>2.1974001199292692</v>
      </c>
      <c r="L1436">
        <v>0</v>
      </c>
      <c r="M1436">
        <v>1.4520817056953006E-3</v>
      </c>
      <c r="N1436">
        <v>0.14484470928905954</v>
      </c>
      <c r="O1436">
        <v>2.0236118660528459E-2</v>
      </c>
      <c r="P1436">
        <v>2.6327449406100899E-2</v>
      </c>
      <c r="Q1436">
        <v>5.8192447907851903E-3</v>
      </c>
      <c r="R1436">
        <v>1.4312116629783872E-3</v>
      </c>
      <c r="S1436">
        <v>0.24650999923068972</v>
      </c>
      <c r="T1436">
        <v>1.3066327961279105</v>
      </c>
      <c r="U1436">
        <v>0.14646592169891684</v>
      </c>
      <c r="V1436">
        <v>0.18678085433291888</v>
      </c>
      <c r="W1436">
        <v>9.3448591273827458E-2</v>
      </c>
      <c r="X1436">
        <v>1.6460018813417424E-2</v>
      </c>
      <c r="Y1436">
        <v>3.895286347829268E-3</v>
      </c>
    </row>
    <row r="1437" spans="1:25" x14ac:dyDescent="0.25">
      <c r="A1437" s="1096"/>
      <c r="B1437" s="1455">
        <v>1187</v>
      </c>
      <c r="C1437" s="1100">
        <v>0.98920475266989849</v>
      </c>
      <c r="D1437" s="1100">
        <v>1.0009324686641135</v>
      </c>
      <c r="E1437" s="1100">
        <v>1.0062205606927064</v>
      </c>
      <c r="F1437" s="1100">
        <v>1.0029696263993122</v>
      </c>
      <c r="G1437" s="1100">
        <v>1.01080244024531</v>
      </c>
      <c r="H1437" s="1100">
        <v>0.98080174153757149</v>
      </c>
      <c r="I1437" s="1100">
        <v>0.95602075129842068</v>
      </c>
      <c r="K1437">
        <v>2.214037311041249</v>
      </c>
      <c r="L1437">
        <v>0</v>
      </c>
      <c r="M1437">
        <v>1.5135540473181839E-3</v>
      </c>
      <c r="N1437">
        <v>0.1401983099906248</v>
      </c>
      <c r="O1437">
        <v>1.9967601522680522E-2</v>
      </c>
      <c r="P1437">
        <v>2.619018368791854E-2</v>
      </c>
      <c r="Q1437">
        <v>5.6033959941138994E-3</v>
      </c>
      <c r="R1437">
        <v>1.4918644902937521E-3</v>
      </c>
      <c r="S1437">
        <v>0.23186315364366394</v>
      </c>
      <c r="T1437">
        <v>1.347864784762727</v>
      </c>
      <c r="U1437">
        <v>0.14434509502999937</v>
      </c>
      <c r="V1437">
        <v>0.1866003525834756</v>
      </c>
      <c r="W1437">
        <v>9.1761707845930199E-2</v>
      </c>
      <c r="X1437">
        <v>1.5604052187555508E-2</v>
      </c>
      <c r="Y1437">
        <v>4.06036334958254E-3</v>
      </c>
    </row>
    <row r="1438" spans="1:25" x14ac:dyDescent="0.25">
      <c r="A1438" s="1096"/>
      <c r="B1438" s="1455">
        <v>1188</v>
      </c>
      <c r="C1438" s="1100">
        <v>1.034576993940854</v>
      </c>
      <c r="D1438" s="1100">
        <v>0.97818391936968085</v>
      </c>
      <c r="E1438" s="1100">
        <v>0.99777818577640209</v>
      </c>
      <c r="F1438" s="1100">
        <v>0.98934908583180925</v>
      </c>
      <c r="G1438" s="1100">
        <v>0.97941547314447175</v>
      </c>
      <c r="H1438" s="1100">
        <v>0.98398409326275815</v>
      </c>
      <c r="I1438" s="1100">
        <v>1.0035350219852346</v>
      </c>
      <c r="K1438">
        <v>2.1749388308045647</v>
      </c>
      <c r="L1438">
        <v>0</v>
      </c>
      <c r="M1438">
        <v>1.4850204919978122E-3</v>
      </c>
      <c r="N1438">
        <v>0.13409794459674923</v>
      </c>
      <c r="O1438">
        <v>1.9183587741933131E-2</v>
      </c>
      <c r="P1438">
        <v>2.5656786012039912E-2</v>
      </c>
      <c r="Q1438">
        <v>5.3379419992885258E-3</v>
      </c>
      <c r="R1438">
        <v>1.4638086518490722E-3</v>
      </c>
      <c r="S1438">
        <v>0.23559891008206169</v>
      </c>
      <c r="T1438">
        <v>1.3295468350197035</v>
      </c>
      <c r="U1438">
        <v>0.13799592663651394</v>
      </c>
      <c r="V1438">
        <v>0.1804149556009601</v>
      </c>
      <c r="W1438">
        <v>8.8209742107601991E-2</v>
      </c>
      <c r="X1438">
        <v>1.4933408241919929E-2</v>
      </c>
      <c r="Y1438">
        <v>3.9840046059407786E-3</v>
      </c>
    </row>
    <row r="1439" spans="1:25" x14ac:dyDescent="0.25">
      <c r="A1439" s="1096"/>
      <c r="B1439" s="1455">
        <v>1189</v>
      </c>
      <c r="C1439" s="1100">
        <v>0.99323717699942404</v>
      </c>
      <c r="D1439" s="1100">
        <v>1.0038791909871292</v>
      </c>
      <c r="E1439" s="1100">
        <v>0.96852644606905192</v>
      </c>
      <c r="F1439" s="1100">
        <v>1.0347560741481663</v>
      </c>
      <c r="G1439" s="1100">
        <v>0.98293663533538211</v>
      </c>
      <c r="H1439" s="1100">
        <v>1.0078008295266754</v>
      </c>
      <c r="I1439" s="1100">
        <v>0.98215184717463966</v>
      </c>
      <c r="K1439">
        <v>2.2573351842732547</v>
      </c>
      <c r="L1439">
        <v>0</v>
      </c>
      <c r="M1439">
        <v>1.6735296391793453E-3</v>
      </c>
      <c r="N1439">
        <v>0.13837036586061424</v>
      </c>
      <c r="O1439">
        <v>1.985004006882023E-2</v>
      </c>
      <c r="P1439">
        <v>2.606155568657088E-2</v>
      </c>
      <c r="Q1439">
        <v>5.3618619618558717E-3</v>
      </c>
      <c r="R1439">
        <v>1.6501900786765962E-3</v>
      </c>
      <c r="S1439">
        <v>0.238738816598073</v>
      </c>
      <c r="T1439">
        <v>1.3905304528808236</v>
      </c>
      <c r="U1439">
        <v>0.14367187424053923</v>
      </c>
      <c r="V1439">
        <v>0.18317428746625322</v>
      </c>
      <c r="W1439">
        <v>9.2638068245133473E-2</v>
      </c>
      <c r="X1439">
        <v>1.446992741592905E-2</v>
      </c>
      <c r="Y1439">
        <v>4.4912734091444584E-3</v>
      </c>
    </row>
    <row r="1440" spans="1:25" x14ac:dyDescent="0.25">
      <c r="A1440" s="1096"/>
      <c r="B1440" s="1455">
        <v>1190</v>
      </c>
      <c r="C1440" s="1100">
        <v>1.0196579481118735</v>
      </c>
      <c r="D1440" s="1100">
        <v>0.99199819949203227</v>
      </c>
      <c r="E1440" s="1100">
        <v>1.0122146686899391</v>
      </c>
      <c r="F1440" s="1100">
        <v>1.0022854686374079</v>
      </c>
      <c r="G1440" s="1100">
        <v>1.0099730392323756</v>
      </c>
      <c r="H1440" s="1100">
        <v>1.0005409792016429</v>
      </c>
      <c r="I1440" s="1100">
        <v>0.98849686205640952</v>
      </c>
      <c r="K1440">
        <v>2.2087359933411195</v>
      </c>
      <c r="L1440">
        <v>0</v>
      </c>
      <c r="M1440">
        <v>1.4822873397592224E-3</v>
      </c>
      <c r="N1440">
        <v>0.13984963068215053</v>
      </c>
      <c r="O1440">
        <v>1.9413179236497154E-2</v>
      </c>
      <c r="P1440">
        <v>2.6255006844893826E-2</v>
      </c>
      <c r="Q1440">
        <v>5.4805667551232062E-3</v>
      </c>
      <c r="R1440">
        <v>1.4614649056990849E-3</v>
      </c>
      <c r="S1440">
        <v>0.23520756349604063</v>
      </c>
      <c r="T1440">
        <v>1.3469561256969544</v>
      </c>
      <c r="U1440">
        <v>0.14004762510548555</v>
      </c>
      <c r="V1440">
        <v>0.18472054786967854</v>
      </c>
      <c r="W1440">
        <v>9.1210331731045091E-2</v>
      </c>
      <c r="X1440">
        <v>1.5638612655772759E-2</v>
      </c>
      <c r="Y1440">
        <v>3.9776257015362243E-3</v>
      </c>
    </row>
    <row r="1441" spans="1:25" x14ac:dyDescent="0.25">
      <c r="A1441" s="1096"/>
      <c r="B1441" s="1455">
        <v>1191</v>
      </c>
      <c r="C1441" s="1100">
        <v>0.98232280631896085</v>
      </c>
      <c r="D1441" s="1100">
        <v>0.98442774963413293</v>
      </c>
      <c r="E1441" s="1100">
        <v>0.97662666054669156</v>
      </c>
      <c r="F1441" s="1100">
        <v>0.99430317995459616</v>
      </c>
      <c r="G1441" s="1100">
        <v>0.99752104719271673</v>
      </c>
      <c r="H1441" s="1100">
        <v>0.96794139814778979</v>
      </c>
      <c r="I1441" s="1100">
        <v>0.98123775963445892</v>
      </c>
      <c r="K1441">
        <v>2.2039468667183395</v>
      </c>
      <c r="L1441">
        <v>0</v>
      </c>
      <c r="M1441">
        <v>1.605130785594703E-3</v>
      </c>
      <c r="N1441">
        <v>0.13593046648638465</v>
      </c>
      <c r="O1441">
        <v>2.0162317808503156E-2</v>
      </c>
      <c r="P1441">
        <v>2.5569760769320684E-2</v>
      </c>
      <c r="Q1441">
        <v>5.4914253034356146E-3</v>
      </c>
      <c r="R1441">
        <v>1.5818233047185742E-3</v>
      </c>
      <c r="S1441">
        <v>0.24039455027520315</v>
      </c>
      <c r="T1441">
        <v>1.3361768418097941</v>
      </c>
      <c r="U1441">
        <v>0.14528708092748546</v>
      </c>
      <c r="V1441">
        <v>0.18549316682687031</v>
      </c>
      <c r="W1441">
        <v>9.0557928943491961E-2</v>
      </c>
      <c r="X1441">
        <v>1.4601433461195232E-2</v>
      </c>
      <c r="Y1441">
        <v>4.3052015875317019E-3</v>
      </c>
    </row>
    <row r="1442" spans="1:25" x14ac:dyDescent="0.25">
      <c r="A1442" s="1096"/>
      <c r="B1442" s="1455">
        <v>1192</v>
      </c>
      <c r="C1442" s="1100">
        <v>0.97835917035704723</v>
      </c>
      <c r="D1442" s="1100">
        <v>0.97715589979082096</v>
      </c>
      <c r="E1442" s="1100">
        <v>1.005079805030793</v>
      </c>
      <c r="F1442" s="1100">
        <v>0.97647260802680835</v>
      </c>
      <c r="G1442" s="1100">
        <v>1.0021613893948191</v>
      </c>
      <c r="H1442" s="1100">
        <v>1.0193282476683387</v>
      </c>
      <c r="I1442" s="1100">
        <v>0.97904509046180677</v>
      </c>
      <c r="K1442">
        <v>2.2073230751576771</v>
      </c>
      <c r="L1442">
        <v>0</v>
      </c>
      <c r="M1442">
        <v>1.6026703417087781E-3</v>
      </c>
      <c r="N1442">
        <v>0.14802377045842155</v>
      </c>
      <c r="O1442">
        <v>2.0295282392897119E-2</v>
      </c>
      <c r="P1442">
        <v>2.5892869715293407E-2</v>
      </c>
      <c r="Q1442">
        <v>5.6888446792418565E-3</v>
      </c>
      <c r="R1442">
        <v>1.5805717744511141E-3</v>
      </c>
      <c r="S1442">
        <v>0.24609086878799366</v>
      </c>
      <c r="T1442">
        <v>1.3122542214014117</v>
      </c>
      <c r="U1442">
        <v>0.14594254305080825</v>
      </c>
      <c r="V1442">
        <v>0.18628745774050662</v>
      </c>
      <c r="W1442">
        <v>9.6948995761624732E-2</v>
      </c>
      <c r="X1442">
        <v>1.561852440202594E-2</v>
      </c>
      <c r="Y1442">
        <v>4.301795334710516E-3</v>
      </c>
    </row>
    <row r="1443" spans="1:25" x14ac:dyDescent="0.25">
      <c r="A1443" s="1096"/>
      <c r="B1443" s="1455">
        <v>1193</v>
      </c>
      <c r="C1443" s="1100">
        <v>0.98902884919468403</v>
      </c>
      <c r="D1443" s="1100">
        <v>0.98869300671444627</v>
      </c>
      <c r="E1443" s="1100">
        <v>1.035325703772183</v>
      </c>
      <c r="F1443" s="1100">
        <v>1.0033881840389163</v>
      </c>
      <c r="G1443" s="1100">
        <v>1.0022450510429719</v>
      </c>
      <c r="H1443" s="1100">
        <v>1.0160701811789965</v>
      </c>
      <c r="I1443" s="1100">
        <v>0.97956412393461045</v>
      </c>
      <c r="K1443">
        <v>2.2403065068892247</v>
      </c>
      <c r="L1443">
        <v>0</v>
      </c>
      <c r="M1443">
        <v>1.4800973821907106E-3</v>
      </c>
      <c r="N1443">
        <v>0.14975621515022453</v>
      </c>
      <c r="O1443">
        <v>2.0043770194644327E-2</v>
      </c>
      <c r="P1443">
        <v>2.6894692542831646E-2</v>
      </c>
      <c r="Q1443">
        <v>5.7898307291021937E-3</v>
      </c>
      <c r="R1443">
        <v>1.4596234829719482E-3</v>
      </c>
      <c r="S1443">
        <v>0.24211508344487567</v>
      </c>
      <c r="T1443">
        <v>1.3484868133005008</v>
      </c>
      <c r="U1443">
        <v>0.14443873385697142</v>
      </c>
      <c r="V1443">
        <v>0.18567063941064396</v>
      </c>
      <c r="W1443">
        <v>9.6363522226033782E-2</v>
      </c>
      <c r="X1443">
        <v>1.6795065976717878E-2</v>
      </c>
      <c r="Y1443">
        <v>3.9726139558977983E-3</v>
      </c>
    </row>
    <row r="1444" spans="1:25" x14ac:dyDescent="0.25">
      <c r="A1444" s="1096"/>
      <c r="B1444" s="1455">
        <v>1194</v>
      </c>
      <c r="C1444" s="1100">
        <v>0.9546609493964564</v>
      </c>
      <c r="D1444" s="1100">
        <v>1.0151662251145464</v>
      </c>
      <c r="E1444" s="1100">
        <v>1.0068050174927909</v>
      </c>
      <c r="F1444" s="1100">
        <v>0.98812490708150302</v>
      </c>
      <c r="G1444" s="1100">
        <v>0.97587554849866576</v>
      </c>
      <c r="H1444" s="1100">
        <v>0.99927819261146966</v>
      </c>
      <c r="I1444" s="1100">
        <v>1.0415319754171515</v>
      </c>
      <c r="K1444">
        <v>2.2410880571573402</v>
      </c>
      <c r="L1444">
        <v>0</v>
      </c>
      <c r="M1444">
        <v>1.590977301680794E-3</v>
      </c>
      <c r="N1444">
        <v>0.14766992524643691</v>
      </c>
      <c r="O1444">
        <v>2.0626324554865013E-2</v>
      </c>
      <c r="P1444">
        <v>2.6382071178868614E-2</v>
      </c>
      <c r="Q1444">
        <v>5.7916390135022821E-3</v>
      </c>
      <c r="R1444">
        <v>1.5685998024586813E-3</v>
      </c>
      <c r="S1444">
        <v>0.26151814247788424</v>
      </c>
      <c r="T1444">
        <v>1.3279163536224088</v>
      </c>
      <c r="U1444">
        <v>0.14956954202953363</v>
      </c>
      <c r="V1444">
        <v>0.18482320815087458</v>
      </c>
      <c r="W1444">
        <v>9.6618585962982895E-2</v>
      </c>
      <c r="X1444">
        <v>1.5925430845697471E-2</v>
      </c>
      <c r="Y1444">
        <v>4.26921157350662E-3</v>
      </c>
    </row>
    <row r="1445" spans="1:25" x14ac:dyDescent="0.25">
      <c r="A1445" s="1096"/>
      <c r="B1445" s="1455">
        <v>1195</v>
      </c>
      <c r="C1445" s="1100">
        <v>1.0027070525375223</v>
      </c>
      <c r="D1445" s="1100">
        <v>1.0319778683484946</v>
      </c>
      <c r="E1445" s="1100">
        <v>0.99533162026893796</v>
      </c>
      <c r="F1445" s="1100">
        <v>1.0354070751062174</v>
      </c>
      <c r="G1445" s="1100">
        <v>1.0124764672665676</v>
      </c>
      <c r="H1445" s="1100">
        <v>0.99833675197011085</v>
      </c>
      <c r="I1445" s="1100">
        <v>1.0218204900876628</v>
      </c>
      <c r="K1445">
        <v>2.2626940068618291</v>
      </c>
      <c r="L1445">
        <v>0</v>
      </c>
      <c r="M1445">
        <v>1.5441804022467132E-3</v>
      </c>
      <c r="N1445">
        <v>0.13844179876414575</v>
      </c>
      <c r="O1445">
        <v>1.9560052733731032E-2</v>
      </c>
      <c r="P1445">
        <v>2.667528925278901E-2</v>
      </c>
      <c r="Q1445">
        <v>5.4293015880314353E-3</v>
      </c>
      <c r="R1445">
        <v>1.5224406317957723E-3</v>
      </c>
      <c r="S1445">
        <v>0.242129746308617</v>
      </c>
      <c r="T1445">
        <v>1.3914384892289224</v>
      </c>
      <c r="U1445">
        <v>0.14237636095181586</v>
      </c>
      <c r="V1445">
        <v>0.18597240494352232</v>
      </c>
      <c r="W1445">
        <v>9.1200011865709418E-2</v>
      </c>
      <c r="X1445">
        <v>1.534870946766616E-2</v>
      </c>
      <c r="Y1445">
        <v>4.143581527328701E-3</v>
      </c>
    </row>
    <row r="1446" spans="1:25" x14ac:dyDescent="0.25">
      <c r="A1446" s="1096"/>
      <c r="B1446" s="1455">
        <v>1196</v>
      </c>
      <c r="C1446" s="1100">
        <v>0.99499075552814487</v>
      </c>
      <c r="D1446" s="1100">
        <v>0.9939900373178886</v>
      </c>
      <c r="E1446" s="1100">
        <v>0.95942306739915928</v>
      </c>
      <c r="F1446" s="1100">
        <v>0.99086635686012059</v>
      </c>
      <c r="G1446" s="1100">
        <v>1.0017449150960529</v>
      </c>
      <c r="H1446" s="1100">
        <v>0.9894528254445154</v>
      </c>
      <c r="I1446" s="1100">
        <v>0.99976144827214819</v>
      </c>
      <c r="K1446">
        <v>2.1964355040923271</v>
      </c>
      <c r="L1446">
        <v>0</v>
      </c>
      <c r="M1446">
        <v>1.6748947938498013E-3</v>
      </c>
      <c r="N1446">
        <v>0.13468123414627703</v>
      </c>
      <c r="O1446">
        <v>1.9852570461698076E-2</v>
      </c>
      <c r="P1446">
        <v>2.5168468136937978E-2</v>
      </c>
      <c r="Q1446">
        <v>5.3127152147195936E-3</v>
      </c>
      <c r="R1446">
        <v>1.6511030422704106E-3</v>
      </c>
      <c r="S1446">
        <v>0.24224295676760413</v>
      </c>
      <c r="T1446">
        <v>1.3315431753091018</v>
      </c>
      <c r="U1446">
        <v>0.14339772603717668</v>
      </c>
      <c r="V1446">
        <v>0.18518778701674923</v>
      </c>
      <c r="W1446">
        <v>9.0671605123201202E-2</v>
      </c>
      <c r="X1446">
        <v>1.3907299435352431E-2</v>
      </c>
      <c r="Y1446">
        <v>4.4937581950884537E-3</v>
      </c>
    </row>
    <row r="1447" spans="1:25" x14ac:dyDescent="0.25">
      <c r="A1447" s="1096"/>
      <c r="B1447" s="1455">
        <v>1197</v>
      </c>
      <c r="C1447" s="1100">
        <v>0.97398644994477213</v>
      </c>
      <c r="D1447" s="1100">
        <v>1.0278067905449948</v>
      </c>
      <c r="E1447" s="1100">
        <v>1.0079137609093205</v>
      </c>
      <c r="F1447" s="1100">
        <v>0.97397644045757625</v>
      </c>
      <c r="G1447" s="1100">
        <v>0.9853934773142552</v>
      </c>
      <c r="H1447" s="1100">
        <v>0.99438094841368374</v>
      </c>
      <c r="I1447" s="1100">
        <v>0.98637167275687976</v>
      </c>
      <c r="K1447">
        <v>2.1902202205947949</v>
      </c>
      <c r="L1447">
        <v>0</v>
      </c>
      <c r="M1447">
        <v>1.5439893592277916E-3</v>
      </c>
      <c r="N1447">
        <v>0.14377913072663581</v>
      </c>
      <c r="O1447">
        <v>2.0162806455448965E-2</v>
      </c>
      <c r="P1447">
        <v>2.5816681394274638E-2</v>
      </c>
      <c r="Q1447">
        <v>5.6677758805289578E-3</v>
      </c>
      <c r="R1447">
        <v>1.5221658048583892E-3</v>
      </c>
      <c r="S1447">
        <v>0.2408816694509627</v>
      </c>
      <c r="T1447">
        <v>1.3089044744466103</v>
      </c>
      <c r="U1447">
        <v>0.14660445902226465</v>
      </c>
      <c r="V1447">
        <v>0.18466695729372273</v>
      </c>
      <c r="W1447">
        <v>9.4011274995939975E-2</v>
      </c>
      <c r="X1447">
        <v>1.5603980943771698E-2</v>
      </c>
      <c r="Y1447">
        <v>4.14283353900182E-3</v>
      </c>
    </row>
    <row r="1448" spans="1:25" x14ac:dyDescent="0.25">
      <c r="A1448" s="1096"/>
      <c r="B1448" s="1455">
        <v>1198</v>
      </c>
      <c r="C1448" s="1100">
        <v>1.0045443325511343</v>
      </c>
      <c r="D1448" s="1100">
        <v>0.98137330748458707</v>
      </c>
      <c r="E1448" s="1100">
        <v>0.99621441417560841</v>
      </c>
      <c r="F1448" s="1100">
        <v>1.0051733023377822</v>
      </c>
      <c r="G1448" s="1100">
        <v>0.99664817613840406</v>
      </c>
      <c r="H1448" s="1100">
        <v>0.96934947795264281</v>
      </c>
      <c r="I1448" s="1100">
        <v>1.0186113148786167</v>
      </c>
      <c r="K1448">
        <v>2.2173932685676325</v>
      </c>
      <c r="L1448">
        <v>0</v>
      </c>
      <c r="M1448">
        <v>1.5104818826756686E-3</v>
      </c>
      <c r="N1448">
        <v>0.13572439033464573</v>
      </c>
      <c r="O1448">
        <v>1.9741995695389442E-2</v>
      </c>
      <c r="P1448">
        <v>2.6145562841909907E-2</v>
      </c>
      <c r="Q1448">
        <v>5.4846798169895065E-3</v>
      </c>
      <c r="R1448">
        <v>1.4885806218810215E-3</v>
      </c>
      <c r="S1448">
        <v>0.24467893461840834</v>
      </c>
      <c r="T1448">
        <v>1.3508099694803932</v>
      </c>
      <c r="U1448">
        <v>0.14211798099183121</v>
      </c>
      <c r="V1448">
        <v>0.18407578227564705</v>
      </c>
      <c r="W1448">
        <v>8.9362833608612802E-2</v>
      </c>
      <c r="X1448">
        <v>1.5221614422308035E-2</v>
      </c>
      <c r="Y1448">
        <v>4.0514257422900185E-3</v>
      </c>
    </row>
    <row r="1449" spans="1:25" x14ac:dyDescent="0.25">
      <c r="A1449" s="1096"/>
      <c r="B1449" s="1455">
        <v>1199</v>
      </c>
      <c r="C1449" s="1100">
        <v>1.0016857716843861</v>
      </c>
      <c r="D1449" s="1100">
        <v>0.97284373477627106</v>
      </c>
      <c r="E1449" s="1100">
        <v>0.96185873505962305</v>
      </c>
      <c r="F1449" s="1100">
        <v>0.98431630565262229</v>
      </c>
      <c r="G1449" s="1100">
        <v>0.98970079541841538</v>
      </c>
      <c r="H1449" s="1100">
        <v>0.98223946271713014</v>
      </c>
      <c r="I1449" s="1100">
        <v>0.97222530209252922</v>
      </c>
      <c r="K1449">
        <v>2.1766607430108058</v>
      </c>
      <c r="L1449">
        <v>0</v>
      </c>
      <c r="M1449">
        <v>1.6510927648146266E-3</v>
      </c>
      <c r="N1449">
        <v>0.13373656600326481</v>
      </c>
      <c r="O1449">
        <v>1.9814911302264062E-2</v>
      </c>
      <c r="P1449">
        <v>2.4980399200074326E-2</v>
      </c>
      <c r="Q1449">
        <v>5.3159237066630581E-3</v>
      </c>
      <c r="R1449">
        <v>1.6274668805200624E-3</v>
      </c>
      <c r="S1449">
        <v>0.2359895564352833</v>
      </c>
      <c r="T1449">
        <v>1.3227428407934947</v>
      </c>
      <c r="U1449">
        <v>0.14244485360258016</v>
      </c>
      <c r="V1449">
        <v>0.18342995526632488</v>
      </c>
      <c r="W1449">
        <v>8.9901257377172125E-2</v>
      </c>
      <c r="X1449">
        <v>1.3898676853514098E-2</v>
      </c>
      <c r="Y1449">
        <v>4.4294283544626329E-3</v>
      </c>
    </row>
    <row r="1450" spans="1:25" x14ac:dyDescent="0.25">
      <c r="A1450" s="1096"/>
      <c r="B1450" s="1455">
        <v>1200</v>
      </c>
      <c r="C1450" s="1100">
        <v>1.0015709498668719</v>
      </c>
      <c r="D1450" s="1100">
        <v>1.0145413957212597</v>
      </c>
      <c r="E1450" s="1100">
        <v>1.0160807355565356</v>
      </c>
      <c r="F1450" s="1100">
        <v>0.98128105683267752</v>
      </c>
      <c r="G1450" s="1100">
        <v>0.98969245156072061</v>
      </c>
      <c r="H1450" s="1100">
        <v>1.032573479937579</v>
      </c>
      <c r="I1450" s="1100">
        <v>0.98102543145350007</v>
      </c>
      <c r="K1450">
        <v>2.1958039442556476</v>
      </c>
      <c r="L1450">
        <v>0</v>
      </c>
      <c r="M1450">
        <v>1.5372834692853115E-3</v>
      </c>
      <c r="N1450">
        <v>0.14680545149098143</v>
      </c>
      <c r="O1450">
        <v>1.9668701507180617E-2</v>
      </c>
      <c r="P1450">
        <v>2.5990336635943224E-2</v>
      </c>
      <c r="Q1450">
        <v>5.5741553321785259E-3</v>
      </c>
      <c r="R1450">
        <v>1.5163583969784473E-3</v>
      </c>
      <c r="S1450">
        <v>0.2375358201329677</v>
      </c>
      <c r="T1450">
        <v>1.3187358162715292</v>
      </c>
      <c r="U1450">
        <v>0.14258559950906613</v>
      </c>
      <c r="V1450">
        <v>0.18348253501853792</v>
      </c>
      <c r="W1450">
        <v>9.5529619923687054E-2</v>
      </c>
      <c r="X1450">
        <v>1.5789805816719741E-2</v>
      </c>
      <c r="Y1450">
        <v>4.1270276891641122E-3</v>
      </c>
    </row>
    <row r="1451" spans="1:25" x14ac:dyDescent="0.25">
      <c r="A1451" s="1096"/>
      <c r="B1451" s="1455">
        <v>1201</v>
      </c>
      <c r="C1451" s="1100">
        <v>0.97708025795441478</v>
      </c>
      <c r="D1451" s="1100">
        <v>1.037158159833321</v>
      </c>
      <c r="E1451" s="1100">
        <v>1.0051491507988355</v>
      </c>
      <c r="F1451" s="1100">
        <v>0.9858585605181982</v>
      </c>
      <c r="G1451" s="1100">
        <v>0.98159030024705685</v>
      </c>
      <c r="H1451" s="1100">
        <v>0.98263561519772058</v>
      </c>
      <c r="I1451" s="1100">
        <v>0.99134586742658348</v>
      </c>
      <c r="K1451">
        <v>2.1988168176048433</v>
      </c>
      <c r="L1451">
        <v>0</v>
      </c>
      <c r="M1451">
        <v>1.5266319749556668E-3</v>
      </c>
      <c r="N1451">
        <v>0.14095671680687683</v>
      </c>
      <c r="O1451">
        <v>2.0057199059388742E-2</v>
      </c>
      <c r="P1451">
        <v>2.5945523482224075E-2</v>
      </c>
      <c r="Q1451">
        <v>5.622499812572926E-3</v>
      </c>
      <c r="R1451">
        <v>1.5047958369536665E-3</v>
      </c>
      <c r="S1451">
        <v>0.23928168007631923</v>
      </c>
      <c r="T1451">
        <v>1.3248678568046588</v>
      </c>
      <c r="U1451">
        <v>0.14613373257684256</v>
      </c>
      <c r="V1451">
        <v>0.18404164811221665</v>
      </c>
      <c r="W1451">
        <v>9.2316599862936513E-2</v>
      </c>
      <c r="X1451">
        <v>1.5519638936434382E-2</v>
      </c>
      <c r="Y1451">
        <v>4.0955582123735458E-3</v>
      </c>
    </row>
    <row r="1452" spans="1:25" x14ac:dyDescent="0.25">
      <c r="A1452" s="1096"/>
      <c r="B1452" s="1455">
        <v>1202</v>
      </c>
      <c r="C1452" s="1100">
        <v>1.0037687000628155</v>
      </c>
      <c r="D1452" s="1100">
        <v>1.0336970492314743</v>
      </c>
      <c r="E1452" s="1100">
        <v>0.97015151124064281</v>
      </c>
      <c r="F1452" s="1100">
        <v>0.98517767652001165</v>
      </c>
      <c r="G1452" s="1100">
        <v>1.0000737612818544</v>
      </c>
      <c r="H1452" s="1100">
        <v>1.0030835711573567</v>
      </c>
      <c r="I1452" s="1100">
        <v>0.98291271876831332</v>
      </c>
      <c r="K1452">
        <v>2.177895767501469</v>
      </c>
      <c r="L1452">
        <v>0</v>
      </c>
      <c r="M1452">
        <v>1.6321560461335541E-3</v>
      </c>
      <c r="N1452">
        <v>0.13560619423368558</v>
      </c>
      <c r="O1452">
        <v>1.9516697641812707E-2</v>
      </c>
      <c r="P1452">
        <v>2.5121668853084044E-2</v>
      </c>
      <c r="Q1452">
        <v>5.2805867184732335E-3</v>
      </c>
      <c r="R1452">
        <v>1.6092864477691496E-3</v>
      </c>
      <c r="S1452">
        <v>0.23265715682082408</v>
      </c>
      <c r="T1452">
        <v>1.3239072630045643</v>
      </c>
      <c r="U1452">
        <v>0.14216818028412609</v>
      </c>
      <c r="V1452">
        <v>0.18448655423595564</v>
      </c>
      <c r="W1452">
        <v>9.0697675382008097E-2</v>
      </c>
      <c r="X1452">
        <v>1.4096712715607151E-2</v>
      </c>
      <c r="Y1452">
        <v>4.3799472096926933E-3</v>
      </c>
    </row>
    <row r="1453" spans="1:25" x14ac:dyDescent="0.25">
      <c r="A1453" s="1096"/>
      <c r="B1453" s="1455">
        <v>1203</v>
      </c>
      <c r="C1453" s="1100">
        <v>0.95595885563357685</v>
      </c>
      <c r="D1453" s="1100">
        <v>1.0402554995472306</v>
      </c>
      <c r="E1453" s="1100">
        <v>0.9994405387626637</v>
      </c>
      <c r="F1453" s="1100">
        <v>1.0162018340586523</v>
      </c>
      <c r="G1453" s="1100">
        <v>1.0071236571290252</v>
      </c>
      <c r="H1453" s="1100">
        <v>1.0049233025936133</v>
      </c>
      <c r="I1453" s="1100">
        <v>1.023290679888651</v>
      </c>
      <c r="K1453">
        <v>2.2729065334799925</v>
      </c>
      <c r="L1453">
        <v>0</v>
      </c>
      <c r="M1453">
        <v>1.6137096194631735E-3</v>
      </c>
      <c r="N1453">
        <v>0.14649660670746875</v>
      </c>
      <c r="O1453">
        <v>2.0483208538676762E-2</v>
      </c>
      <c r="P1453">
        <v>2.6692755911182621E-2</v>
      </c>
      <c r="Q1453">
        <v>5.709107925880059E-3</v>
      </c>
      <c r="R1453">
        <v>1.5911398850902297E-3</v>
      </c>
      <c r="S1453">
        <v>0.25392650142213308</v>
      </c>
      <c r="T1453">
        <v>1.365635812377145</v>
      </c>
      <c r="U1453">
        <v>0.14934872619475409</v>
      </c>
      <c r="V1453">
        <v>0.18826411093290304</v>
      </c>
      <c r="W1453">
        <v>9.6270324789858017E-2</v>
      </c>
      <c r="X1453">
        <v>1.5771390166271857E-2</v>
      </c>
      <c r="Y1453">
        <v>4.330558248093452E-3</v>
      </c>
    </row>
    <row r="1454" spans="1:25" x14ac:dyDescent="0.25">
      <c r="A1454" s="1096"/>
      <c r="B1454" s="1455">
        <v>1204</v>
      </c>
      <c r="C1454" s="1100">
        <v>1.0105738320351934</v>
      </c>
      <c r="D1454" s="1100">
        <v>0.99267971403011612</v>
      </c>
      <c r="E1454" s="1100">
        <v>1.0329965314049745</v>
      </c>
      <c r="F1454" s="1100">
        <v>0.99907102423391625</v>
      </c>
      <c r="G1454" s="1100">
        <v>0.99259859595947253</v>
      </c>
      <c r="H1454" s="1100">
        <v>0.97783359694652305</v>
      </c>
      <c r="I1454" s="1100">
        <v>0.99103252996903646</v>
      </c>
      <c r="K1454">
        <v>2.2066261352993219</v>
      </c>
      <c r="L1454">
        <v>0</v>
      </c>
      <c r="M1454">
        <v>1.3995779792054948E-3</v>
      </c>
      <c r="N1454">
        <v>0.14054161495292689</v>
      </c>
      <c r="O1454">
        <v>1.9597637308924644E-2</v>
      </c>
      <c r="P1454">
        <v>2.660947867326911E-2</v>
      </c>
      <c r="Q1454">
        <v>5.6479694322280382E-3</v>
      </c>
      <c r="R1454">
        <v>1.3794608445593067E-3</v>
      </c>
      <c r="S1454">
        <v>0.23621657313679936</v>
      </c>
      <c r="T1454">
        <v>1.3426794311560699</v>
      </c>
      <c r="U1454">
        <v>0.14135403098554972</v>
      </c>
      <c r="V1454">
        <v>0.18329864431239656</v>
      </c>
      <c r="W1454">
        <v>9.0556163531092623E-2</v>
      </c>
      <c r="X1454">
        <v>1.6390271264968215E-2</v>
      </c>
      <c r="Y1454">
        <v>3.7544376797452391E-3</v>
      </c>
    </row>
    <row r="1455" spans="1:25" x14ac:dyDescent="0.25">
      <c r="A1455" s="1096"/>
      <c r="B1455" s="1455">
        <v>1205</v>
      </c>
      <c r="C1455" s="1100">
        <v>1.0101329260655481</v>
      </c>
      <c r="D1455" s="1100">
        <v>0.96962820988982823</v>
      </c>
      <c r="E1455" s="1100">
        <v>1.0378188921991027</v>
      </c>
      <c r="F1455" s="1100">
        <v>1.0312195549964382</v>
      </c>
      <c r="G1455" s="1100">
        <v>0.9563627390026308</v>
      </c>
      <c r="H1455" s="1100">
        <v>1.0041998354228781</v>
      </c>
      <c r="I1455" s="1100">
        <v>0.99187991414595589</v>
      </c>
      <c r="K1455">
        <v>2.2610201082836898</v>
      </c>
      <c r="L1455">
        <v>0</v>
      </c>
      <c r="M1455">
        <v>1.4309322292364343E-3</v>
      </c>
      <c r="N1455">
        <v>0.14584923552019866</v>
      </c>
      <c r="O1455">
        <v>1.9710816108900828E-2</v>
      </c>
      <c r="P1455">
        <v>2.732615029070376E-2</v>
      </c>
      <c r="Q1455">
        <v>5.7076553870761592E-3</v>
      </c>
      <c r="R1455">
        <v>1.4109044453441747E-3</v>
      </c>
      <c r="S1455">
        <v>0.2414627560651588</v>
      </c>
      <c r="T1455">
        <v>1.3858964251032617</v>
      </c>
      <c r="U1455">
        <v>0.14142677911593068</v>
      </c>
      <c r="V1455">
        <v>0.17923314813891811</v>
      </c>
      <c r="W1455">
        <v>9.371447395955558E-2</v>
      </c>
      <c r="X1455">
        <v>1.6872679582176576E-2</v>
      </c>
      <c r="Y1455">
        <v>3.8400167957014356E-3</v>
      </c>
    </row>
    <row r="1456" spans="1:25" x14ac:dyDescent="0.25">
      <c r="A1456" s="1096"/>
      <c r="B1456" s="1455">
        <v>1206</v>
      </c>
      <c r="C1456" s="1100">
        <v>1.0449164496177539</v>
      </c>
      <c r="D1456" s="1100">
        <v>0.97095963237007887</v>
      </c>
      <c r="E1456" s="1100">
        <v>0.98419870973745116</v>
      </c>
      <c r="F1456" s="1100">
        <v>1.0248053795886767</v>
      </c>
      <c r="G1456" s="1100">
        <v>1.0120903701851156</v>
      </c>
      <c r="H1456" s="1100">
        <v>0.98623096739438698</v>
      </c>
      <c r="I1456" s="1100">
        <v>1.0206454543808372</v>
      </c>
      <c r="K1456">
        <v>2.2234112932544132</v>
      </c>
      <c r="L1456">
        <v>0</v>
      </c>
      <c r="M1456">
        <v>1.5181982573694798E-3</v>
      </c>
      <c r="N1456">
        <v>0.13158400651471003</v>
      </c>
      <c r="O1456">
        <v>1.9016607471954609E-2</v>
      </c>
      <c r="P1456">
        <v>2.6096727740248307E-2</v>
      </c>
      <c r="Q1456">
        <v>5.219384921998086E-3</v>
      </c>
      <c r="R1456">
        <v>1.496561915730999E-3</v>
      </c>
      <c r="S1456">
        <v>0.23820682430944107</v>
      </c>
      <c r="T1456">
        <v>1.3771757146780397</v>
      </c>
      <c r="U1456">
        <v>0.13660057844880172</v>
      </c>
      <c r="V1456">
        <v>0.18352991862179177</v>
      </c>
      <c r="W1456">
        <v>8.7262520533429158E-2</v>
      </c>
      <c r="X1456">
        <v>1.466749816252021E-2</v>
      </c>
      <c r="Y1456">
        <v>4.0731481931168484E-3</v>
      </c>
    </row>
    <row r="1457" spans="1:25" x14ac:dyDescent="0.25">
      <c r="A1457" s="1096"/>
      <c r="B1457" s="1455">
        <v>1207</v>
      </c>
      <c r="C1457" s="1100">
        <v>0.9677610249158678</v>
      </c>
      <c r="D1457" s="1100">
        <v>0.98489395218702702</v>
      </c>
      <c r="E1457" s="1100">
        <v>0.98571889519238176</v>
      </c>
      <c r="F1457" s="1100">
        <v>1.026027549351229</v>
      </c>
      <c r="G1457" s="1100">
        <v>1.0240861997572441</v>
      </c>
      <c r="H1457" s="1100">
        <v>1.0175656099103489</v>
      </c>
      <c r="I1457" s="1100">
        <v>1.0027460374404744</v>
      </c>
      <c r="K1457">
        <v>2.2851389551782617</v>
      </c>
      <c r="L1457">
        <v>0</v>
      </c>
      <c r="M1457">
        <v>1.6807303459165197E-3</v>
      </c>
      <c r="N1457">
        <v>0.14640732271606535</v>
      </c>
      <c r="O1457">
        <v>2.0469436853132007E-2</v>
      </c>
      <c r="P1457">
        <v>2.6581989227218685E-2</v>
      </c>
      <c r="Q1457">
        <v>5.6267985333105256E-3</v>
      </c>
      <c r="R1457">
        <v>1.6575152973071006E-3</v>
      </c>
      <c r="S1457">
        <v>0.25350478085411288</v>
      </c>
      <c r="T1457">
        <v>1.3788200876206298</v>
      </c>
      <c r="U1457">
        <v>0.14749476297815575</v>
      </c>
      <c r="V1457">
        <v>0.18941245881927793</v>
      </c>
      <c r="W1457">
        <v>9.7004160225205804E-2</v>
      </c>
      <c r="X1457">
        <v>1.5329162160261057E-2</v>
      </c>
      <c r="Y1457">
        <v>4.5112102394990186E-3</v>
      </c>
    </row>
    <row r="1458" spans="1:25" x14ac:dyDescent="0.25">
      <c r="A1458" s="1096"/>
      <c r="B1458" s="1455">
        <v>1208</v>
      </c>
      <c r="C1458" s="1100">
        <v>0.99064864752472848</v>
      </c>
      <c r="D1458" s="1100">
        <v>1.042311546887952</v>
      </c>
      <c r="E1458" s="1100">
        <v>1.0168236827685453</v>
      </c>
      <c r="F1458" s="1100">
        <v>0.99316265608822452</v>
      </c>
      <c r="G1458" s="1100">
        <v>0.99650359294547153</v>
      </c>
      <c r="H1458" s="1100">
        <v>0.99861172590756597</v>
      </c>
      <c r="I1458" s="1100">
        <v>0.96433100459073573</v>
      </c>
      <c r="K1458">
        <v>2.2010430692831151</v>
      </c>
      <c r="L1458">
        <v>0</v>
      </c>
      <c r="M1458">
        <v>1.4919031370058927E-3</v>
      </c>
      <c r="N1458">
        <v>0.1427245325864186</v>
      </c>
      <c r="O1458">
        <v>1.9768233933410751E-2</v>
      </c>
      <c r="P1458">
        <v>2.6166970939521503E-2</v>
      </c>
      <c r="Q1458">
        <v>5.6065105637696207E-3</v>
      </c>
      <c r="R1458">
        <v>1.4709051364584526E-3</v>
      </c>
      <c r="S1458">
        <v>0.23033053944561377</v>
      </c>
      <c r="T1458">
        <v>1.3347048397150179</v>
      </c>
      <c r="U1458">
        <v>0.14415939446495621</v>
      </c>
      <c r="V1458">
        <v>0.18490630685139861</v>
      </c>
      <c r="W1458">
        <v>9.2833600943681538E-2</v>
      </c>
      <c r="X1458">
        <v>1.5859818942180127E-2</v>
      </c>
      <c r="Y1458">
        <v>4.0033188976919898E-3</v>
      </c>
    </row>
    <row r="1459" spans="1:25" x14ac:dyDescent="0.25">
      <c r="A1459" s="1096"/>
      <c r="B1459" s="1455">
        <v>1209</v>
      </c>
      <c r="C1459" s="1100">
        <v>0.98597216918037145</v>
      </c>
      <c r="D1459" s="1100">
        <v>0.98697379868603463</v>
      </c>
      <c r="E1459" s="1100">
        <v>1.01400768084563</v>
      </c>
      <c r="F1459" s="1100">
        <v>1.0224105402011752</v>
      </c>
      <c r="G1459" s="1100">
        <v>0.96977230550370175</v>
      </c>
      <c r="H1459" s="1100">
        <v>1.0004100328404757</v>
      </c>
      <c r="I1459" s="1100">
        <v>0.99386191652592559</v>
      </c>
      <c r="K1459">
        <v>2.258509241023507</v>
      </c>
      <c r="L1459">
        <v>0</v>
      </c>
      <c r="M1459">
        <v>1.5287344586554449E-3</v>
      </c>
      <c r="N1459">
        <v>0.14501419374724159</v>
      </c>
      <c r="O1459">
        <v>2.010001308517179E-2</v>
      </c>
      <c r="P1459">
        <v>2.6831071761329421E-2</v>
      </c>
      <c r="Q1459">
        <v>5.6846303168928275E-3</v>
      </c>
      <c r="R1459">
        <v>1.5072567477019702E-3</v>
      </c>
      <c r="S1459">
        <v>0.24518866989734622</v>
      </c>
      <c r="T1459">
        <v>1.3740053395853193</v>
      </c>
      <c r="U1459">
        <v>0.14483655313773666</v>
      </c>
      <c r="V1459">
        <v>0.182166323836431</v>
      </c>
      <c r="W1459">
        <v>9.4478974253593098E-2</v>
      </c>
      <c r="X1459">
        <v>1.6122693113207579E-2</v>
      </c>
      <c r="Y1459">
        <v>4.1022560001914184E-3</v>
      </c>
    </row>
    <row r="1460" spans="1:25" x14ac:dyDescent="0.25">
      <c r="A1460" s="1096"/>
      <c r="B1460" s="1455">
        <v>1210</v>
      </c>
      <c r="C1460" s="1100">
        <v>0.95506350649445215</v>
      </c>
      <c r="D1460" s="1100">
        <v>1.0231374368088573</v>
      </c>
      <c r="E1460" s="1100">
        <v>1.0001109571040578</v>
      </c>
      <c r="F1460" s="1100">
        <v>0.98635493292973897</v>
      </c>
      <c r="G1460" s="1100">
        <v>1.0227410616088053</v>
      </c>
      <c r="H1460" s="1100">
        <v>0.99039256181461555</v>
      </c>
      <c r="I1460" s="1100">
        <v>0.97880739998773614</v>
      </c>
      <c r="K1460">
        <v>2.2216703608439428</v>
      </c>
      <c r="L1460">
        <v>0</v>
      </c>
      <c r="M1460">
        <v>1.5954683331205531E-3</v>
      </c>
      <c r="N1460">
        <v>0.14510408636523794</v>
      </c>
      <c r="O1460">
        <v>2.057782521591742E-2</v>
      </c>
      <c r="P1460">
        <v>2.604930455430704E-2</v>
      </c>
      <c r="Q1460">
        <v>5.7393464840802301E-3</v>
      </c>
      <c r="R1460">
        <v>1.5728263326211579E-3</v>
      </c>
      <c r="S1460">
        <v>0.24393534681857257</v>
      </c>
      <c r="T1460">
        <v>1.3255267227031684</v>
      </c>
      <c r="U1460">
        <v>0.14949035312711345</v>
      </c>
      <c r="V1460">
        <v>0.19008823548913908</v>
      </c>
      <c r="W1460">
        <v>9.5317234893754543E-2</v>
      </c>
      <c r="X1460">
        <v>1.558383239781477E-2</v>
      </c>
      <c r="Y1460">
        <v>4.2807147953335886E-3</v>
      </c>
    </row>
    <row r="1461" spans="1:25" x14ac:dyDescent="0.25">
      <c r="A1461" s="1096"/>
      <c r="B1461" s="1455">
        <v>1211</v>
      </c>
      <c r="C1461" s="1100">
        <v>0.99517355687136444</v>
      </c>
      <c r="D1461" s="1100">
        <v>1.0083279030255228</v>
      </c>
      <c r="E1461" s="1100">
        <v>0.99863058362236257</v>
      </c>
      <c r="F1461" s="1100">
        <v>0.99650035281752214</v>
      </c>
      <c r="G1461" s="1100">
        <v>0.97832315753342114</v>
      </c>
      <c r="H1461" s="1100">
        <v>1.0416123770137933</v>
      </c>
      <c r="I1461" s="1100">
        <v>1.0125841397279234</v>
      </c>
      <c r="K1461">
        <v>2.2277361008141039</v>
      </c>
      <c r="L1461">
        <v>0</v>
      </c>
      <c r="M1461">
        <v>1.6204921598059361E-3</v>
      </c>
      <c r="N1461">
        <v>0.14682608840693387</v>
      </c>
      <c r="O1461">
        <v>1.9810965791470323E-2</v>
      </c>
      <c r="P1461">
        <v>2.6078388603135241E-2</v>
      </c>
      <c r="Q1461">
        <v>5.5172434133223102E-3</v>
      </c>
      <c r="R1461">
        <v>1.5986258861342376E-3</v>
      </c>
      <c r="S1461">
        <v>0.2481025523171011</v>
      </c>
      <c r="T1461">
        <v>1.3391584571150121</v>
      </c>
      <c r="U1461">
        <v>0.1434617830291498</v>
      </c>
      <c r="V1461">
        <v>0.18256256128848367</v>
      </c>
      <c r="W1461">
        <v>9.6533338539151678E-2</v>
      </c>
      <c r="X1461">
        <v>1.5355655908836944E-2</v>
      </c>
      <c r="Y1461">
        <v>4.3509326751756602E-3</v>
      </c>
    </row>
    <row r="1462" spans="1:25" x14ac:dyDescent="0.25">
      <c r="A1462" s="1096"/>
      <c r="B1462" s="1455">
        <v>1212</v>
      </c>
      <c r="C1462" s="1100">
        <v>1.0043895843376887</v>
      </c>
      <c r="D1462" s="1100">
        <v>0.99337746457458098</v>
      </c>
      <c r="E1462" s="1100">
        <v>0.973674465772839</v>
      </c>
      <c r="F1462" s="1100">
        <v>1.0008388298755582</v>
      </c>
      <c r="G1462" s="1100">
        <v>0.96468083420982487</v>
      </c>
      <c r="H1462" s="1100">
        <v>1.009744167041368</v>
      </c>
      <c r="I1462" s="1100">
        <v>0.97698164393216591</v>
      </c>
      <c r="K1462">
        <v>2.2032733248833316</v>
      </c>
      <c r="L1462">
        <v>0</v>
      </c>
      <c r="M1462">
        <v>1.6444063018166545E-3</v>
      </c>
      <c r="N1462">
        <v>0.13810191653470544</v>
      </c>
      <c r="O1462">
        <v>1.9678290425226831E-2</v>
      </c>
      <c r="P1462">
        <v>2.5464258914902563E-2</v>
      </c>
      <c r="Q1462">
        <v>5.3434939348314626E-3</v>
      </c>
      <c r="R1462">
        <v>1.621517041609941E-3</v>
      </c>
      <c r="S1462">
        <v>0.23626851817318967</v>
      </c>
      <c r="T1462">
        <v>1.3449565657479807</v>
      </c>
      <c r="U1462">
        <v>0.14208833475366517</v>
      </c>
      <c r="V1462">
        <v>0.180451996374629</v>
      </c>
      <c r="W1462">
        <v>9.2169352876288593E-2</v>
      </c>
      <c r="X1462">
        <v>1.436025155380463E-2</v>
      </c>
      <c r="Y1462">
        <v>4.4132348543131517E-3</v>
      </c>
    </row>
    <row r="1463" spans="1:25" x14ac:dyDescent="0.25">
      <c r="A1463" s="1096"/>
      <c r="B1463" s="1455">
        <v>1213</v>
      </c>
      <c r="C1463" s="1100">
        <v>0.96907091638251808</v>
      </c>
      <c r="D1463" s="1100">
        <v>1.042158613685042</v>
      </c>
      <c r="E1463" s="1100">
        <v>0.99515206209600326</v>
      </c>
      <c r="F1463" s="1100">
        <v>0.9822589157163587</v>
      </c>
      <c r="G1463" s="1100">
        <v>1.011895014919044</v>
      </c>
      <c r="H1463" s="1100">
        <v>1.0044724132490308</v>
      </c>
      <c r="I1463" s="1100">
        <v>1.0037173166366047</v>
      </c>
      <c r="K1463">
        <v>2.2104282430143973</v>
      </c>
      <c r="L1463">
        <v>0</v>
      </c>
      <c r="M1463">
        <v>1.6047270789454225E-3</v>
      </c>
      <c r="N1463">
        <v>0.14380453347412286</v>
      </c>
      <c r="O1463">
        <v>2.0195197736967735E-2</v>
      </c>
      <c r="P1463">
        <v>2.5839587089991758E-2</v>
      </c>
      <c r="Q1463">
        <v>5.6045850409088063E-3</v>
      </c>
      <c r="R1463">
        <v>1.5822729018159793E-3</v>
      </c>
      <c r="S1463">
        <v>0.24540773066319813</v>
      </c>
      <c r="T1463">
        <v>1.3200147292175739</v>
      </c>
      <c r="U1463">
        <v>0.14731777183468589</v>
      </c>
      <c r="V1463">
        <v>0.18795992093817435</v>
      </c>
      <c r="W1463">
        <v>9.4742919015739516E-2</v>
      </c>
      <c r="X1463">
        <v>1.5257296937538573E-2</v>
      </c>
      <c r="Y1463">
        <v>4.3064252426211948E-3</v>
      </c>
    </row>
    <row r="1464" spans="1:25" x14ac:dyDescent="0.25">
      <c r="A1464" s="1096"/>
      <c r="B1464" s="1455">
        <v>1214</v>
      </c>
      <c r="C1464" s="1100">
        <v>1.0137868842397679</v>
      </c>
      <c r="D1464" s="1100">
        <v>1.0000572359128692</v>
      </c>
      <c r="E1464" s="1100">
        <v>1.0404735767372284</v>
      </c>
      <c r="F1464" s="1100">
        <v>0.99519549485205461</v>
      </c>
      <c r="G1464" s="1100">
        <v>1.031356019902312</v>
      </c>
      <c r="H1464" s="1100">
        <v>1.0015671084763018</v>
      </c>
      <c r="I1464" s="1100">
        <v>0.99796395902853585</v>
      </c>
      <c r="K1464">
        <v>2.2133288012463987</v>
      </c>
      <c r="L1464">
        <v>0</v>
      </c>
      <c r="M1464">
        <v>1.4046006034844948E-3</v>
      </c>
      <c r="N1464">
        <v>0.14430951092095939</v>
      </c>
      <c r="O1464">
        <v>1.9508360790566014E-2</v>
      </c>
      <c r="P1464">
        <v>2.6760919994122376E-2</v>
      </c>
      <c r="Q1464">
        <v>5.6638024406363875E-3</v>
      </c>
      <c r="R1464">
        <v>1.384889689001799E-3</v>
      </c>
      <c r="S1464">
        <v>0.23816712861147518</v>
      </c>
      <c r="T1464">
        <v>1.3374886936554504</v>
      </c>
      <c r="U1464">
        <v>0.14092310326703469</v>
      </c>
      <c r="V1464">
        <v>0.18750004173365106</v>
      </c>
      <c r="W1464">
        <v>9.2583375671409757E-2</v>
      </c>
      <c r="X1464">
        <v>1.6674361870877483E-2</v>
      </c>
      <c r="Y1464">
        <v>3.7692132046996119E-3</v>
      </c>
    </row>
    <row r="1465" spans="1:25" x14ac:dyDescent="0.25">
      <c r="A1465" s="1096"/>
      <c r="B1465" s="1455">
        <v>1215</v>
      </c>
      <c r="C1465" s="1100">
        <v>1.0126798885059738</v>
      </c>
      <c r="D1465" s="1100">
        <v>1.0253309049401274</v>
      </c>
      <c r="E1465" s="1100">
        <v>0.99925622986196516</v>
      </c>
      <c r="F1465" s="1100">
        <v>1.0310229849128441</v>
      </c>
      <c r="G1465" s="1100">
        <v>1.0295978910517285</v>
      </c>
      <c r="H1465" s="1100">
        <v>0.99805930502876716</v>
      </c>
      <c r="I1465" s="1100">
        <v>1.0020000442252548</v>
      </c>
      <c r="K1465">
        <v>2.2488176156584276</v>
      </c>
      <c r="L1465">
        <v>0</v>
      </c>
      <c r="M1465">
        <v>1.5183173967014316E-3</v>
      </c>
      <c r="N1465">
        <v>0.13774648778250143</v>
      </c>
      <c r="O1465">
        <v>1.9397384959908396E-2</v>
      </c>
      <c r="P1465">
        <v>2.6587305508334623E-2</v>
      </c>
      <c r="Q1465">
        <v>5.4054638023864178E-3</v>
      </c>
      <c r="R1465">
        <v>1.4969357968778157E-3</v>
      </c>
      <c r="S1465">
        <v>0.23585571948684275</v>
      </c>
      <c r="T1465">
        <v>1.3855531053813113</v>
      </c>
      <c r="U1465">
        <v>0.14098316231002456</v>
      </c>
      <c r="V1465">
        <v>0.1873285200428941</v>
      </c>
      <c r="W1465">
        <v>9.0530100887312004E-2</v>
      </c>
      <c r="X1465">
        <v>1.5377581322385927E-2</v>
      </c>
      <c r="Y1465">
        <v>4.0741657743485942E-3</v>
      </c>
    </row>
    <row r="1466" spans="1:25" x14ac:dyDescent="0.25">
      <c r="A1466" s="1096"/>
      <c r="B1466" s="1455">
        <v>1216</v>
      </c>
      <c r="C1466" s="1100">
        <v>0.97380188820401214</v>
      </c>
      <c r="D1466" s="1100">
        <v>1.0127468298322051</v>
      </c>
      <c r="E1466" s="1100">
        <v>0.97020795416473626</v>
      </c>
      <c r="F1466" s="1100">
        <v>1.0469400615053335</v>
      </c>
      <c r="G1466" s="1100">
        <v>1.0200799366701814</v>
      </c>
      <c r="H1466" s="1100">
        <v>0.98347504897246252</v>
      </c>
      <c r="I1466" s="1100">
        <v>1.0302781252126427</v>
      </c>
      <c r="K1466">
        <v>2.295479963394254</v>
      </c>
      <c r="L1466">
        <v>0</v>
      </c>
      <c r="M1466">
        <v>1.6567487859088007E-3</v>
      </c>
      <c r="N1466">
        <v>0.13763397777653838</v>
      </c>
      <c r="O1466">
        <v>2.0208145844050437E-2</v>
      </c>
      <c r="P1466">
        <v>2.6604542518744365E-2</v>
      </c>
      <c r="Q1466">
        <v>5.4679856249648115E-3</v>
      </c>
      <c r="R1466">
        <v>1.6330717522424233E-3</v>
      </c>
      <c r="S1466">
        <v>0.25228038150163451</v>
      </c>
      <c r="T1466">
        <v>1.4069052100353909</v>
      </c>
      <c r="U1466">
        <v>0.14654325542153326</v>
      </c>
      <c r="V1466">
        <v>0.18856605119268913</v>
      </c>
      <c r="W1466">
        <v>9.2050758781409919E-2</v>
      </c>
      <c r="X1466">
        <v>1.4798648763317948E-2</v>
      </c>
      <c r="Y1466">
        <v>4.4446829676454318E-3</v>
      </c>
    </row>
    <row r="1467" spans="1:25" x14ac:dyDescent="0.25">
      <c r="A1467" s="1096"/>
      <c r="B1467" s="1455">
        <v>1217</v>
      </c>
      <c r="C1467" s="1100">
        <v>0.98610885126757175</v>
      </c>
      <c r="D1467" s="1100">
        <v>1.0111304493153643</v>
      </c>
      <c r="E1467" s="1100">
        <v>0.98722339961310646</v>
      </c>
      <c r="F1467" s="1100">
        <v>0.97045059998390093</v>
      </c>
      <c r="G1467" s="1100">
        <v>0.99737223408024789</v>
      </c>
      <c r="H1467" s="1100">
        <v>0.98991254219666014</v>
      </c>
      <c r="I1467" s="1100">
        <v>1.0279597806642842</v>
      </c>
      <c r="K1467">
        <v>2.1847784328946056</v>
      </c>
      <c r="L1467">
        <v>0</v>
      </c>
      <c r="M1467">
        <v>1.5904182206827749E-3</v>
      </c>
      <c r="N1467">
        <v>0.13911762892627924</v>
      </c>
      <c r="O1467">
        <v>1.9973671158583905E-2</v>
      </c>
      <c r="P1467">
        <v>2.5454773521814033E-2</v>
      </c>
      <c r="Q1467">
        <v>5.4988907805057791E-3</v>
      </c>
      <c r="R1467">
        <v>1.5678369439689457E-3</v>
      </c>
      <c r="S1467">
        <v>0.24943909592916261</v>
      </c>
      <c r="T1467">
        <v>1.3041352785910809</v>
      </c>
      <c r="U1467">
        <v>0.14475393784567234</v>
      </c>
      <c r="V1467">
        <v>0.18525370849093245</v>
      </c>
      <c r="W1467">
        <v>9.2091004184229316E-2</v>
      </c>
      <c r="X1467">
        <v>1.481588941888418E-2</v>
      </c>
      <c r="Y1467">
        <v>4.2671353241737937E-3</v>
      </c>
    </row>
    <row r="1468" spans="1:25" x14ac:dyDescent="0.25">
      <c r="A1468" s="1096"/>
      <c r="B1468" s="1455">
        <v>1218</v>
      </c>
      <c r="C1468" s="1100">
        <v>1.0059323107599016</v>
      </c>
      <c r="D1468" s="1100">
        <v>0.98298216672359939</v>
      </c>
      <c r="E1468" s="1100">
        <v>1.03696668351002</v>
      </c>
      <c r="F1468" s="1100">
        <v>0.9981285537246114</v>
      </c>
      <c r="G1468" s="1100">
        <v>0.97392589824691622</v>
      </c>
      <c r="H1468" s="1100">
        <v>0.99822363488947896</v>
      </c>
      <c r="I1468" s="1100">
        <v>1.0251031747955344</v>
      </c>
      <c r="K1468">
        <v>2.2242765937991611</v>
      </c>
      <c r="L1468">
        <v>0</v>
      </c>
      <c r="M1468">
        <v>1.4265983598278418E-3</v>
      </c>
      <c r="N1468">
        <v>0.14502229869415587</v>
      </c>
      <c r="O1468">
        <v>1.9733118875167436E-2</v>
      </c>
      <c r="P1468">
        <v>2.6822466636324857E-2</v>
      </c>
      <c r="Q1468">
        <v>5.7093205169020571E-3</v>
      </c>
      <c r="R1468">
        <v>1.4065116942605631E-3</v>
      </c>
      <c r="S1468">
        <v>0.24838281817128033</v>
      </c>
      <c r="T1468">
        <v>1.3414220954648166</v>
      </c>
      <c r="U1468">
        <v>0.14201539375532016</v>
      </c>
      <c r="V1468">
        <v>0.18146284425450984</v>
      </c>
      <c r="W1468">
        <v>9.3228972384235539E-2</v>
      </c>
      <c r="X1468">
        <v>1.6669290536692555E-2</v>
      </c>
      <c r="Y1468">
        <v>3.8280611753218501E-3</v>
      </c>
    </row>
    <row r="1469" spans="1:25" x14ac:dyDescent="0.25">
      <c r="A1469" s="1096"/>
      <c r="B1469" s="1455">
        <v>1219</v>
      </c>
      <c r="C1469" s="1100">
        <v>0.96094356346471466</v>
      </c>
      <c r="D1469" s="1100">
        <v>1.0038567029103516</v>
      </c>
      <c r="E1469" s="1100">
        <v>0.97898175735167581</v>
      </c>
      <c r="F1469" s="1100">
        <v>0.99300561144655741</v>
      </c>
      <c r="G1469" s="1100">
        <v>1.0067043807061371</v>
      </c>
      <c r="H1469" s="1100">
        <v>0.98776449362966123</v>
      </c>
      <c r="I1469" s="1100">
        <v>1.007653337593853</v>
      </c>
      <c r="K1469">
        <v>2.2293735153668917</v>
      </c>
      <c r="L1469">
        <v>0</v>
      </c>
      <c r="M1469">
        <v>1.6591650206557954E-3</v>
      </c>
      <c r="N1469">
        <v>0.14155314766086974</v>
      </c>
      <c r="O1469">
        <v>2.0523986572001888E-2</v>
      </c>
      <c r="P1469">
        <v>2.5817919584773273E-2</v>
      </c>
      <c r="Q1469">
        <v>5.6033428353023254E-3</v>
      </c>
      <c r="R1469">
        <v>1.6355564252680858E-3</v>
      </c>
      <c r="S1469">
        <v>0.25157420263402513</v>
      </c>
      <c r="T1469">
        <v>1.3344357135477551</v>
      </c>
      <c r="U1469">
        <v>0.14852507604845183</v>
      </c>
      <c r="V1469">
        <v>0.18787644288745264</v>
      </c>
      <c r="W1469">
        <v>9.4169558721365218E-2</v>
      </c>
      <c r="X1469">
        <v>1.4866288041729759E-2</v>
      </c>
      <c r="Y1469">
        <v>4.4514454285490418E-3</v>
      </c>
    </row>
    <row r="1470" spans="1:25" x14ac:dyDescent="0.25">
      <c r="A1470" s="1096"/>
      <c r="B1470" s="1455">
        <v>1220</v>
      </c>
      <c r="C1470" s="1100">
        <v>1.0375557668814692</v>
      </c>
      <c r="D1470" s="1100">
        <v>1.0109542896908974</v>
      </c>
      <c r="E1470" s="1100">
        <v>0.97444500901325948</v>
      </c>
      <c r="F1470" s="1100">
        <v>0.99693791156716693</v>
      </c>
      <c r="G1470" s="1100">
        <v>0.99601386675514625</v>
      </c>
      <c r="H1470" s="1100">
        <v>1.0003816096835945</v>
      </c>
      <c r="I1470" s="1100">
        <v>0.98978458082351928</v>
      </c>
      <c r="K1470">
        <v>2.176156454039103</v>
      </c>
      <c r="L1470">
        <v>0</v>
      </c>
      <c r="M1470">
        <v>1.5685094248479052E-3</v>
      </c>
      <c r="N1470">
        <v>0.13201804115880891</v>
      </c>
      <c r="O1470">
        <v>1.8976358549853627E-2</v>
      </c>
      <c r="P1470">
        <v>2.5273055780481394E-2</v>
      </c>
      <c r="Q1470">
        <v>5.1569401313321618E-3</v>
      </c>
      <c r="R1470">
        <v>1.5464722757421415E-3</v>
      </c>
      <c r="S1470">
        <v>0.22899222549996784</v>
      </c>
      <c r="T1470">
        <v>1.3397151832686609</v>
      </c>
      <c r="U1470">
        <v>0.13754808620520123</v>
      </c>
      <c r="V1470">
        <v>0.18210737775098931</v>
      </c>
      <c r="W1470">
        <v>8.8067789954147643E-2</v>
      </c>
      <c r="X1470">
        <v>1.4114445148641632E-2</v>
      </c>
      <c r="Y1470">
        <v>4.2089877401214207E-3</v>
      </c>
    </row>
    <row r="1471" spans="1:25" x14ac:dyDescent="0.25">
      <c r="A1471" s="1096"/>
      <c r="B1471" s="1455">
        <v>1221</v>
      </c>
      <c r="C1471" s="1100">
        <v>1.0099736985428736</v>
      </c>
      <c r="D1471" s="1100">
        <v>0.99787213668528441</v>
      </c>
      <c r="E1471" s="1100">
        <v>1.009341761691863</v>
      </c>
      <c r="F1471" s="1100">
        <v>1.0145040588168199</v>
      </c>
      <c r="G1471" s="1100">
        <v>1.0075741843066248</v>
      </c>
      <c r="H1471" s="1100">
        <v>1.0092436220276251</v>
      </c>
      <c r="I1471" s="1100">
        <v>0.98581413207084467</v>
      </c>
      <c r="K1471">
        <v>2.2323845520637562</v>
      </c>
      <c r="L1471">
        <v>0</v>
      </c>
      <c r="M1471">
        <v>1.5165833366681315E-3</v>
      </c>
      <c r="N1471">
        <v>0.14186720275553424</v>
      </c>
      <c r="O1471">
        <v>1.9572104025085711E-2</v>
      </c>
      <c r="P1471">
        <v>2.6468773282052108E-2</v>
      </c>
      <c r="Q1471">
        <v>5.5095943098437032E-3</v>
      </c>
      <c r="R1471">
        <v>1.4954628343375976E-3</v>
      </c>
      <c r="S1471">
        <v>0.23678109814523135</v>
      </c>
      <c r="T1471">
        <v>1.3633711829512301</v>
      </c>
      <c r="U1471">
        <v>0.14138392801802069</v>
      </c>
      <c r="V1471">
        <v>0.18500483154653669</v>
      </c>
      <c r="W1471">
        <v>9.2682981909425199E-2</v>
      </c>
      <c r="X1471">
        <v>1.5693818767248225E-2</v>
      </c>
      <c r="Y1471">
        <v>4.0701568558760923E-3</v>
      </c>
    </row>
    <row r="1472" spans="1:25" x14ac:dyDescent="0.25">
      <c r="A1472" s="1096"/>
      <c r="B1472" s="1455">
        <v>1222</v>
      </c>
      <c r="C1472" s="1100">
        <v>0.96832264384058064</v>
      </c>
      <c r="D1472" s="1100">
        <v>0.9877256023846922</v>
      </c>
      <c r="E1472" s="1100">
        <v>0.98304721151861885</v>
      </c>
      <c r="F1472" s="1100">
        <v>1.0058719965455307</v>
      </c>
      <c r="G1472" s="1100">
        <v>1.0315318447072934</v>
      </c>
      <c r="H1472" s="1100">
        <v>1.0207993608300445</v>
      </c>
      <c r="I1472" s="1100">
        <v>0.97405558197173192</v>
      </c>
      <c r="K1472">
        <v>2.2504892322522951</v>
      </c>
      <c r="L1472">
        <v>0</v>
      </c>
      <c r="M1472">
        <v>1.6933653365602157E-3</v>
      </c>
      <c r="N1472">
        <v>0.14632723203746623</v>
      </c>
      <c r="O1472">
        <v>2.0442923722513436E-2</v>
      </c>
      <c r="P1472">
        <v>2.6071863572974328E-2</v>
      </c>
      <c r="Q1472">
        <v>5.6043083990876055E-3</v>
      </c>
      <c r="R1472">
        <v>1.6700498623517343E-3</v>
      </c>
      <c r="S1472">
        <v>0.24599700888630846</v>
      </c>
      <c r="T1472">
        <v>1.3517308245372199</v>
      </c>
      <c r="U1472">
        <v>0.14740288083565911</v>
      </c>
      <c r="V1472">
        <v>0.19021623417648392</v>
      </c>
      <c r="W1472">
        <v>9.7107082179822488E-2</v>
      </c>
      <c r="X1472">
        <v>1.5066864185435892E-2</v>
      </c>
      <c r="Y1472">
        <v>4.5453251935322547E-3</v>
      </c>
    </row>
    <row r="1473" spans="1:25" x14ac:dyDescent="0.25">
      <c r="A1473" s="1096"/>
      <c r="B1473" s="1455">
        <v>1223</v>
      </c>
      <c r="C1473" s="1100">
        <v>1.0385423238457441</v>
      </c>
      <c r="D1473" s="1100">
        <v>0.98380648418087369</v>
      </c>
      <c r="E1473" s="1100">
        <v>1.0049399336652789</v>
      </c>
      <c r="F1473" s="1100">
        <v>1.0023440291831545</v>
      </c>
      <c r="G1473" s="1100">
        <v>0.99530963289018937</v>
      </c>
      <c r="H1473" s="1100">
        <v>1.0315197706617849</v>
      </c>
      <c r="I1473" s="1100">
        <v>1.0109876569405443</v>
      </c>
      <c r="K1473">
        <v>2.2091716430682635</v>
      </c>
      <c r="L1473">
        <v>0</v>
      </c>
      <c r="M1473">
        <v>1.526018638990635E-3</v>
      </c>
      <c r="N1473">
        <v>0.14090791945245063</v>
      </c>
      <c r="O1473">
        <v>1.9090584057484254E-2</v>
      </c>
      <c r="P1473">
        <v>2.6101910485422798E-2</v>
      </c>
      <c r="Q1473">
        <v>5.3504129471619666E-3</v>
      </c>
      <c r="R1473">
        <v>1.5052256818315871E-3</v>
      </c>
      <c r="S1473">
        <v>0.23953767235247431</v>
      </c>
      <c r="T1473">
        <v>1.3470218621195478</v>
      </c>
      <c r="U1473">
        <v>0.13748491494394577</v>
      </c>
      <c r="V1473">
        <v>0.18199871699661505</v>
      </c>
      <c r="W1473">
        <v>9.2296071532105728E-2</v>
      </c>
      <c r="X1473">
        <v>1.5305643029781062E-2</v>
      </c>
      <c r="Y1473">
        <v>4.0967281084329189E-3</v>
      </c>
    </row>
    <row r="1474" spans="1:25" x14ac:dyDescent="0.25">
      <c r="A1474" s="1096"/>
      <c r="B1474" s="1455">
        <v>1224</v>
      </c>
      <c r="C1474" s="1100">
        <v>1.0130504725955192</v>
      </c>
      <c r="D1474" s="1100">
        <v>0.99106765308489864</v>
      </c>
      <c r="E1474" s="1100">
        <v>0.99251058964051297</v>
      </c>
      <c r="F1474" s="1100">
        <v>0.98963951543506878</v>
      </c>
      <c r="G1474" s="1100">
        <v>1.0152919597913324</v>
      </c>
      <c r="H1474" s="1100">
        <v>1.0135909159507721</v>
      </c>
      <c r="I1474" s="1100">
        <v>0.99226264095995398</v>
      </c>
      <c r="K1474">
        <v>2.1973723487917325</v>
      </c>
      <c r="L1474">
        <v>0</v>
      </c>
      <c r="M1474">
        <v>1.5748180252897624E-3</v>
      </c>
      <c r="N1474">
        <v>0.14001990383860569</v>
      </c>
      <c r="O1474">
        <v>1.9531655202166449E-2</v>
      </c>
      <c r="P1474">
        <v>2.5713275195023439E-2</v>
      </c>
      <c r="Q1474">
        <v>5.4060161273118681E-3</v>
      </c>
      <c r="R1474">
        <v>1.5529805893335384E-3</v>
      </c>
      <c r="S1474">
        <v>0.23863297033848821</v>
      </c>
      <c r="T1474">
        <v>1.3299293830013581</v>
      </c>
      <c r="U1474">
        <v>0.14091626866707505</v>
      </c>
      <c r="V1474">
        <v>0.18568422888918615</v>
      </c>
      <c r="W1474">
        <v>9.2395135917541601E-2</v>
      </c>
      <c r="X1474">
        <v>1.4938647826680487E-2</v>
      </c>
      <c r="Y1474">
        <v>4.2267012242522047E-3</v>
      </c>
    </row>
    <row r="1475" spans="1:25" x14ac:dyDescent="0.25">
      <c r="A1475" s="1096"/>
      <c r="B1475" s="1455">
        <v>1225</v>
      </c>
      <c r="C1475" s="1100">
        <v>0.99559548539643894</v>
      </c>
      <c r="D1475" s="1100">
        <v>1.025087078860504</v>
      </c>
      <c r="E1475" s="1100">
        <v>0.99176073393432707</v>
      </c>
      <c r="F1475" s="1100">
        <v>1.0463127760592605</v>
      </c>
      <c r="G1475" s="1100">
        <v>0.98559599505908702</v>
      </c>
      <c r="H1475" s="1100">
        <v>1.0044422184004087</v>
      </c>
      <c r="I1475" s="1100">
        <v>1.0006305187765205</v>
      </c>
      <c r="K1475">
        <v>2.2768323167785076</v>
      </c>
      <c r="L1475">
        <v>0</v>
      </c>
      <c r="M1475">
        <v>1.5786681114023384E-3</v>
      </c>
      <c r="N1475">
        <v>0.14002647486844974</v>
      </c>
      <c r="O1475">
        <v>1.9726602086538824E-2</v>
      </c>
      <c r="P1475">
        <v>2.6752662234337629E-2</v>
      </c>
      <c r="Q1475">
        <v>5.4558421669432039E-3</v>
      </c>
      <c r="R1475">
        <v>1.5565779008791774E-3</v>
      </c>
      <c r="S1475">
        <v>0.24005774111813763</v>
      </c>
      <c r="T1475">
        <v>1.40608876242814</v>
      </c>
      <c r="U1475">
        <v>0.14338511012429139</v>
      </c>
      <c r="V1475">
        <v>0.18335335262475802</v>
      </c>
      <c r="W1475">
        <v>9.244091788729876E-2</v>
      </c>
      <c r="X1475">
        <v>1.533044952970875E-2</v>
      </c>
      <c r="Y1475">
        <v>4.2364919204260021E-3</v>
      </c>
    </row>
    <row r="1476" spans="1:25" x14ac:dyDescent="0.25">
      <c r="A1476" s="1096"/>
      <c r="B1476" s="1455">
        <v>1226</v>
      </c>
      <c r="C1476" s="1100">
        <v>1.0400193510188194</v>
      </c>
      <c r="D1476" s="1100">
        <v>1.0320485532858124</v>
      </c>
      <c r="E1476" s="1100">
        <v>1.0005541585577056</v>
      </c>
      <c r="F1476" s="1100">
        <v>0.97540243253864578</v>
      </c>
      <c r="G1476" s="1100">
        <v>0.99189211990772064</v>
      </c>
      <c r="H1476" s="1100">
        <v>1.0051037384464374</v>
      </c>
      <c r="I1476" s="1100">
        <v>0.95541280386547089</v>
      </c>
      <c r="K1476">
        <v>2.1402549400449176</v>
      </c>
      <c r="L1476">
        <v>0</v>
      </c>
      <c r="M1476">
        <v>1.4827048256543965E-3</v>
      </c>
      <c r="N1476">
        <v>0.13505764168117063</v>
      </c>
      <c r="O1476">
        <v>1.8861135650511777E-2</v>
      </c>
      <c r="P1476">
        <v>2.5230209781929833E-2</v>
      </c>
      <c r="Q1476">
        <v>5.2628894750405344E-3</v>
      </c>
      <c r="R1476">
        <v>1.461971078904426E-3</v>
      </c>
      <c r="S1476">
        <v>0.21879497659519145</v>
      </c>
      <c r="T1476">
        <v>1.3108087449036228</v>
      </c>
      <c r="U1476">
        <v>0.13727994690496972</v>
      </c>
      <c r="V1476">
        <v>0.18152756309095719</v>
      </c>
      <c r="W1476">
        <v>8.8694478519734651E-2</v>
      </c>
      <c r="X1476">
        <v>1.4779083850399383E-2</v>
      </c>
      <c r="Y1476">
        <v>3.9790033381412113E-3</v>
      </c>
    </row>
    <row r="1477" spans="1:25" x14ac:dyDescent="0.25">
      <c r="A1477" s="1096"/>
      <c r="B1477" s="1455">
        <v>1227</v>
      </c>
      <c r="C1477" s="1100">
        <v>1.0145919712011038</v>
      </c>
      <c r="D1477" s="1100">
        <v>0.98517191406416793</v>
      </c>
      <c r="E1477" s="1100">
        <v>1.0256184787894469</v>
      </c>
      <c r="F1477" s="1100">
        <v>0.99981244641731826</v>
      </c>
      <c r="G1477" s="1100">
        <v>0.99027702359392933</v>
      </c>
      <c r="H1477" s="1100">
        <v>1.0259856164233006</v>
      </c>
      <c r="I1477" s="1100">
        <v>0.9741042965584833</v>
      </c>
      <c r="K1477">
        <v>2.2156395139851166</v>
      </c>
      <c r="L1477">
        <v>0</v>
      </c>
      <c r="M1477">
        <v>1.4878243742513411E-3</v>
      </c>
      <c r="N1477">
        <v>0.14621661420215867</v>
      </c>
      <c r="O1477">
        <v>1.9548076102015692E-2</v>
      </c>
      <c r="P1477">
        <v>2.6460235218949631E-2</v>
      </c>
      <c r="Q1477">
        <v>5.5927243272483884E-3</v>
      </c>
      <c r="R1477">
        <v>1.4674424879858091E-3</v>
      </c>
      <c r="S1477">
        <v>0.23581109032166814</v>
      </c>
      <c r="T1477">
        <v>1.3436594659594248</v>
      </c>
      <c r="U1477">
        <v>0.14077740323770754</v>
      </c>
      <c r="V1477">
        <v>0.18279686878733237</v>
      </c>
      <c r="W1477">
        <v>9.4617354391838576E-2</v>
      </c>
      <c r="X1477">
        <v>1.6186168613028476E-2</v>
      </c>
      <c r="Y1477">
        <v>3.9938947100112152E-3</v>
      </c>
    </row>
    <row r="1478" spans="1:25" x14ac:dyDescent="0.25">
      <c r="A1478" s="1096"/>
      <c r="B1478" s="1455">
        <v>1228</v>
      </c>
      <c r="C1478" s="1100">
        <v>1.0076359009956872</v>
      </c>
      <c r="D1478" s="1100">
        <v>1.0159379951662775</v>
      </c>
      <c r="E1478" s="1100">
        <v>1.0139761221138612</v>
      </c>
      <c r="F1478" s="1100">
        <v>1.0001062511549499</v>
      </c>
      <c r="G1478" s="1100">
        <v>0.95741682184045462</v>
      </c>
      <c r="H1478" s="1100">
        <v>0.97321680304694291</v>
      </c>
      <c r="I1478" s="1100">
        <v>0.9669362854183734</v>
      </c>
      <c r="K1478">
        <v>2.1903247495465319</v>
      </c>
      <c r="L1478">
        <v>0</v>
      </c>
      <c r="M1478">
        <v>1.4460708865590202E-3</v>
      </c>
      <c r="N1478">
        <v>0.13710513588749729</v>
      </c>
      <c r="O1478">
        <v>1.9543096762993491E-2</v>
      </c>
      <c r="P1478">
        <v>2.6100064179526077E-2</v>
      </c>
      <c r="Q1478">
        <v>5.526950797444038E-3</v>
      </c>
      <c r="R1478">
        <v>1.4251868732687435E-3</v>
      </c>
      <c r="S1478">
        <v>0.22799110253821073</v>
      </c>
      <c r="T1478">
        <v>1.3440308115805923</v>
      </c>
      <c r="U1478">
        <v>0.14172255823562419</v>
      </c>
      <c r="V1478">
        <v>0.17947584679543788</v>
      </c>
      <c r="W1478">
        <v>8.9327758701452709E-2</v>
      </c>
      <c r="X1478">
        <v>1.5643419224732596E-2</v>
      </c>
      <c r="Y1478">
        <v>3.8788888563110117E-3</v>
      </c>
    </row>
    <row r="1479" spans="1:25" x14ac:dyDescent="0.25">
      <c r="A1479" s="1096"/>
      <c r="B1479" s="1455">
        <v>1229</v>
      </c>
      <c r="C1479" s="1100">
        <v>1.0280413283464411</v>
      </c>
      <c r="D1479" s="1100">
        <v>1.0118333519783085</v>
      </c>
      <c r="E1479" s="1100">
        <v>1.006190770174757</v>
      </c>
      <c r="F1479" s="1100">
        <v>1.0272793272949583</v>
      </c>
      <c r="G1479" s="1100">
        <v>1.023407917820778</v>
      </c>
      <c r="H1479" s="1100">
        <v>1.019022842665277</v>
      </c>
      <c r="I1479" s="1100">
        <v>1.0123598309209585</v>
      </c>
      <c r="K1479">
        <v>2.2453853902460121</v>
      </c>
      <c r="L1479">
        <v>0</v>
      </c>
      <c r="M1479">
        <v>1.509621877031951E-3</v>
      </c>
      <c r="N1479">
        <v>0.13989774506556765</v>
      </c>
      <c r="O1479">
        <v>1.9167531471901787E-2</v>
      </c>
      <c r="P1479">
        <v>2.6635010651634743E-2</v>
      </c>
      <c r="Q1479">
        <v>5.3787163090291872E-3</v>
      </c>
      <c r="R1479">
        <v>1.4888000785765335E-3</v>
      </c>
      <c r="S1479">
        <v>0.23798520893215713</v>
      </c>
      <c r="T1479">
        <v>1.380533906448886</v>
      </c>
      <c r="U1479">
        <v>0.13889206731071521</v>
      </c>
      <c r="V1479">
        <v>0.18575939736489358</v>
      </c>
      <c r="W1479">
        <v>9.1566597330961952E-2</v>
      </c>
      <c r="X1479">
        <v>1.5538008127645267E-2</v>
      </c>
      <c r="Y1479">
        <v>4.0520230310713218E-3</v>
      </c>
    </row>
    <row r="1480" spans="1:25" x14ac:dyDescent="0.25">
      <c r="A1480" s="1096"/>
      <c r="B1480" s="1455">
        <v>1230</v>
      </c>
      <c r="C1480" s="1100">
        <v>1.0330138392856063</v>
      </c>
      <c r="D1480" s="1100">
        <v>1.0005226948418862</v>
      </c>
      <c r="E1480" s="1100">
        <v>1.0087787891223923</v>
      </c>
      <c r="F1480" s="1100">
        <v>0.99441576624815275</v>
      </c>
      <c r="G1480" s="1100">
        <v>1.0217335475679874</v>
      </c>
      <c r="H1480" s="1100">
        <v>1.0282011483619189</v>
      </c>
      <c r="I1480" s="1100">
        <v>1.0071118318111518</v>
      </c>
      <c r="K1480">
        <v>2.2010318087711913</v>
      </c>
      <c r="L1480">
        <v>0</v>
      </c>
      <c r="M1480">
        <v>1.5114949241947363E-3</v>
      </c>
      <c r="N1480">
        <v>0.14118784473737542</v>
      </c>
      <c r="O1480">
        <v>1.9124066632397598E-2</v>
      </c>
      <c r="P1480">
        <v>2.6059824655594019E-2</v>
      </c>
      <c r="Q1480">
        <v>5.3804403368680276E-3</v>
      </c>
      <c r="R1480">
        <v>1.4908333890926715E-3</v>
      </c>
      <c r="S1480">
        <v>0.23766626004079386</v>
      </c>
      <c r="T1480">
        <v>1.3363739378335913</v>
      </c>
      <c r="U1480">
        <v>0.13822927177204683</v>
      </c>
      <c r="V1480">
        <v>0.18529454969695489</v>
      </c>
      <c r="W1480">
        <v>9.2269800405695268E-2</v>
      </c>
      <c r="X1480">
        <v>1.5408917162959886E-2</v>
      </c>
      <c r="Y1480">
        <v>4.0575570320156192E-3</v>
      </c>
    </row>
    <row r="1481" spans="1:25" x14ac:dyDescent="0.25">
      <c r="A1481" s="1096"/>
      <c r="B1481" s="1455">
        <v>1231</v>
      </c>
      <c r="C1481" s="1100">
        <v>0.97554118035480897</v>
      </c>
      <c r="D1481" s="1100">
        <v>1.0188881049609202</v>
      </c>
      <c r="E1481" s="1100">
        <v>0.98404085726717672</v>
      </c>
      <c r="F1481" s="1100">
        <v>0.95664251379651155</v>
      </c>
      <c r="G1481" s="1100">
        <v>1.0364804283859155</v>
      </c>
      <c r="H1481" s="1100">
        <v>0.99843819445922477</v>
      </c>
      <c r="I1481" s="1100">
        <v>0.99932976172853627</v>
      </c>
      <c r="K1481">
        <v>2.1717882927162493</v>
      </c>
      <c r="L1481">
        <v>0</v>
      </c>
      <c r="M1481">
        <v>1.6294659059272246E-3</v>
      </c>
      <c r="N1481">
        <v>0.14118523947410461</v>
      </c>
      <c r="O1481">
        <v>2.0154093445360097E-2</v>
      </c>
      <c r="P1481">
        <v>2.517110761207635E-2</v>
      </c>
      <c r="Q1481">
        <v>5.53069912572734E-3</v>
      </c>
      <c r="R1481">
        <v>1.6065277728183739E-3</v>
      </c>
      <c r="S1481">
        <v>0.24486018079151434</v>
      </c>
      <c r="T1481">
        <v>1.2855754577231191</v>
      </c>
      <c r="U1481">
        <v>0.14631450913514979</v>
      </c>
      <c r="V1481">
        <v>0.19032328015171179</v>
      </c>
      <c r="W1481">
        <v>9.3638662568353251E-2</v>
      </c>
      <c r="X1481">
        <v>1.4685561816367819E-2</v>
      </c>
      <c r="Y1481">
        <v>4.3724390058736346E-3</v>
      </c>
    </row>
    <row r="1482" spans="1:25" x14ac:dyDescent="0.25">
      <c r="A1482" s="1096"/>
      <c r="B1482" s="1455">
        <v>1232</v>
      </c>
      <c r="C1482" s="1100">
        <v>1.0001067389757177</v>
      </c>
      <c r="D1482" s="1100">
        <v>0.95697580003449212</v>
      </c>
      <c r="E1482" s="1100">
        <v>0.98858196343786253</v>
      </c>
      <c r="F1482" s="1100">
        <v>1.014327165121887</v>
      </c>
      <c r="G1482" s="1100">
        <v>1.0165627339261238</v>
      </c>
      <c r="H1482" s="1100">
        <v>0.9867051290541452</v>
      </c>
      <c r="I1482" s="1100">
        <v>1.0036785749424559</v>
      </c>
      <c r="K1482">
        <v>2.2402235658198446</v>
      </c>
      <c r="L1482">
        <v>0</v>
      </c>
      <c r="M1482">
        <v>1.5776774431895532E-3</v>
      </c>
      <c r="N1482">
        <v>0.13856478123347724</v>
      </c>
      <c r="O1482">
        <v>1.9934915584939546E-2</v>
      </c>
      <c r="P1482">
        <v>2.6230817960247437E-2</v>
      </c>
      <c r="Q1482">
        <v>5.4957714368700636E-3</v>
      </c>
      <c r="R1482">
        <v>1.5552042488502385E-3</v>
      </c>
      <c r="S1482">
        <v>0.24661334930481915</v>
      </c>
      <c r="T1482">
        <v>1.3631004156727669</v>
      </c>
      <c r="U1482">
        <v>0.14273102622570605</v>
      </c>
      <c r="V1482">
        <v>0.18658231244682671</v>
      </c>
      <c r="W1482">
        <v>9.1650293273100911E-2</v>
      </c>
      <c r="X1482">
        <v>1.5109602583002001E-2</v>
      </c>
      <c r="Y1482">
        <v>4.2327532924275012E-3</v>
      </c>
    </row>
    <row r="1483" spans="1:25" x14ac:dyDescent="0.25">
      <c r="A1483" s="1096"/>
      <c r="B1483" s="1455">
        <v>1233</v>
      </c>
      <c r="C1483" s="1100">
        <v>1.0339851935451532</v>
      </c>
      <c r="D1483" s="1100">
        <v>0.97481478216684492</v>
      </c>
      <c r="E1483" s="1100">
        <v>0.99522043053195608</v>
      </c>
      <c r="F1483" s="1100">
        <v>1.0336305293256742</v>
      </c>
      <c r="G1483" s="1100">
        <v>0.99584734321508817</v>
      </c>
      <c r="H1483" s="1100">
        <v>0.98103124654266272</v>
      </c>
      <c r="I1483" s="1100">
        <v>0.99704948723243836</v>
      </c>
      <c r="K1483">
        <v>2.2353913646323553</v>
      </c>
      <c r="L1483">
        <v>0</v>
      </c>
      <c r="M1483">
        <v>1.490418665455255E-3</v>
      </c>
      <c r="N1483">
        <v>0.13354330680068252</v>
      </c>
      <c r="O1483">
        <v>1.9207589514189924E-2</v>
      </c>
      <c r="P1483">
        <v>2.6426608080957148E-2</v>
      </c>
      <c r="Q1483">
        <v>5.3308706500252009E-3</v>
      </c>
      <c r="R1483">
        <v>1.4690656400106095E-3</v>
      </c>
      <c r="S1483">
        <v>0.23436889622388135</v>
      </c>
      <c r="T1483">
        <v>1.3890508955345788</v>
      </c>
      <c r="U1483">
        <v>0.1380692163957859</v>
      </c>
      <c r="V1483">
        <v>0.18230302176017935</v>
      </c>
      <c r="W1483">
        <v>8.7978913661959049E-2</v>
      </c>
      <c r="X1483">
        <v>1.5135086640810707E-2</v>
      </c>
      <c r="Y1483">
        <v>3.998312394750801E-3</v>
      </c>
    </row>
    <row r="1484" spans="1:25" x14ac:dyDescent="0.25">
      <c r="A1484" s="1096"/>
      <c r="B1484" s="1455">
        <v>1234</v>
      </c>
      <c r="C1484" s="1100">
        <v>1.0133399018368023</v>
      </c>
      <c r="D1484" s="1100">
        <v>0.96410875558802189</v>
      </c>
      <c r="E1484" s="1100">
        <v>1.0065311062760633</v>
      </c>
      <c r="F1484" s="1100">
        <v>1.0289829010557572</v>
      </c>
      <c r="G1484" s="1100">
        <v>1.0307787652273135</v>
      </c>
      <c r="H1484" s="1100">
        <v>1.0088161033955758</v>
      </c>
      <c r="I1484" s="1100">
        <v>1.0109404871414844</v>
      </c>
      <c r="K1484">
        <v>2.2641575077429921</v>
      </c>
      <c r="L1484">
        <v>0</v>
      </c>
      <c r="M1484">
        <v>1.5313027171855766E-3</v>
      </c>
      <c r="N1484">
        <v>0.14203274321735604</v>
      </c>
      <c r="O1484">
        <v>1.9653619567126242E-2</v>
      </c>
      <c r="P1484">
        <v>2.6835748379535767E-2</v>
      </c>
      <c r="Q1484">
        <v>5.5170008250240181E-3</v>
      </c>
      <c r="R1484">
        <v>1.5099681899299121E-3</v>
      </c>
      <c r="S1484">
        <v>0.24615702939593248</v>
      </c>
      <c r="T1484">
        <v>1.382823900604939</v>
      </c>
      <c r="U1484">
        <v>0.14090787252353756</v>
      </c>
      <c r="V1484">
        <v>0.18743012653244687</v>
      </c>
      <c r="W1484">
        <v>9.2945298915547536E-2</v>
      </c>
      <c r="X1484">
        <v>1.5765866656694143E-2</v>
      </c>
      <c r="Y1484">
        <v>4.1096356521091873E-3</v>
      </c>
    </row>
    <row r="1485" spans="1:25" x14ac:dyDescent="0.25">
      <c r="A1485" s="1096"/>
      <c r="B1485" s="1455">
        <v>1235</v>
      </c>
      <c r="C1485" s="1100">
        <v>1.0215632574726237</v>
      </c>
      <c r="D1485" s="1100">
        <v>1.0015942379404834</v>
      </c>
      <c r="E1485" s="1100">
        <v>1.0134445886773498</v>
      </c>
      <c r="F1485" s="1100">
        <v>1.0236557890065805</v>
      </c>
      <c r="G1485" s="1100">
        <v>0.97441306547797746</v>
      </c>
      <c r="H1485" s="1100">
        <v>1.0322633475511471</v>
      </c>
      <c r="I1485" s="1100">
        <v>1.0236681520524455</v>
      </c>
      <c r="K1485">
        <v>2.2497838906379672</v>
      </c>
      <c r="L1485">
        <v>0</v>
      </c>
      <c r="M1485">
        <v>1.5193131310115133E-3</v>
      </c>
      <c r="N1485">
        <v>0.1439390334938786</v>
      </c>
      <c r="O1485">
        <v>1.9336729531915963E-2</v>
      </c>
      <c r="P1485">
        <v>2.6742440444704779E-2</v>
      </c>
      <c r="Q1485">
        <v>5.4656894455636547E-3</v>
      </c>
      <c r="R1485">
        <v>1.4986264526968048E-3</v>
      </c>
      <c r="S1485">
        <v>0.24451376399894176</v>
      </c>
      <c r="T1485">
        <v>1.3756777260678206</v>
      </c>
      <c r="U1485">
        <v>0.13978920078923723</v>
      </c>
      <c r="V1485">
        <v>0.18059366169669894</v>
      </c>
      <c r="W1485">
        <v>9.3809543127896675E-2</v>
      </c>
      <c r="X1485">
        <v>1.5858021537457072E-2</v>
      </c>
      <c r="Y1485">
        <v>4.0787671821633422E-3</v>
      </c>
    </row>
    <row r="1486" spans="1:25" x14ac:dyDescent="0.25">
      <c r="A1486" s="1096"/>
      <c r="B1486" s="1455">
        <v>1236</v>
      </c>
      <c r="C1486" s="1100">
        <v>0.97107833769806973</v>
      </c>
      <c r="D1486" s="1100">
        <v>1.0175471277327766</v>
      </c>
      <c r="E1486" s="1100">
        <v>0.96363494993873655</v>
      </c>
      <c r="F1486" s="1100">
        <v>1.0132641557331616</v>
      </c>
      <c r="G1486" s="1100">
        <v>1.0189655435885563</v>
      </c>
      <c r="H1486" s="1100">
        <v>0.98210360051239487</v>
      </c>
      <c r="I1486" s="1100">
        <v>0.98737101546963535</v>
      </c>
      <c r="K1486">
        <v>2.2378073721532479</v>
      </c>
      <c r="L1486">
        <v>0</v>
      </c>
      <c r="M1486">
        <v>1.6799852622153117E-3</v>
      </c>
      <c r="N1486">
        <v>0.13681075952351998</v>
      </c>
      <c r="O1486">
        <v>2.0239562862135709E-2</v>
      </c>
      <c r="P1486">
        <v>2.5735395265733929E-2</v>
      </c>
      <c r="Q1486">
        <v>5.4397553149469167E-3</v>
      </c>
      <c r="R1486">
        <v>1.655942622662619E-3</v>
      </c>
      <c r="S1486">
        <v>0.24172012723993844</v>
      </c>
      <c r="T1486">
        <v>1.36164489673264</v>
      </c>
      <c r="U1486">
        <v>0.14693876070808895</v>
      </c>
      <c r="V1486">
        <v>0.18860529974129495</v>
      </c>
      <c r="W1486">
        <v>9.1867868106241035E-2</v>
      </c>
      <c r="X1486">
        <v>1.4322059360708581E-2</v>
      </c>
      <c r="Y1486">
        <v>4.5069299375487971E-3</v>
      </c>
    </row>
    <row r="1487" spans="1:25" x14ac:dyDescent="0.25">
      <c r="A1487" s="1096"/>
      <c r="B1487" s="1455">
        <v>1237</v>
      </c>
      <c r="C1487" s="1100">
        <v>1.0106900417392815</v>
      </c>
      <c r="D1487" s="1100">
        <v>0.99015560848086681</v>
      </c>
      <c r="E1487" s="1100">
        <v>0.98924713201964598</v>
      </c>
      <c r="F1487" s="1100">
        <v>0.99289112746343966</v>
      </c>
      <c r="G1487" s="1100">
        <v>1.0188810700543862</v>
      </c>
      <c r="H1487" s="1100">
        <v>1.0134092359026186</v>
      </c>
      <c r="I1487" s="1100">
        <v>1.022871346727463</v>
      </c>
      <c r="K1487">
        <v>2.210772377672499</v>
      </c>
      <c r="L1487">
        <v>0</v>
      </c>
      <c r="M1487">
        <v>1.5892393908958215E-3</v>
      </c>
      <c r="N1487">
        <v>0.13991451776808889</v>
      </c>
      <c r="O1487">
        <v>1.9579217995269398E-2</v>
      </c>
      <c r="P1487">
        <v>2.5829435469874252E-2</v>
      </c>
      <c r="Q1487">
        <v>5.4013431415313937E-3</v>
      </c>
      <c r="R1487">
        <v>1.5671980282611227E-3</v>
      </c>
      <c r="S1487">
        <v>0.24664172037634677</v>
      </c>
      <c r="T1487">
        <v>1.3342945547466543</v>
      </c>
      <c r="U1487">
        <v>0.14123795033613068</v>
      </c>
      <c r="V1487">
        <v>0.1862239150180921</v>
      </c>
      <c r="W1487">
        <v>9.2506143021346035E-2</v>
      </c>
      <c r="X1487">
        <v>1.4900224755561834E-2</v>
      </c>
      <c r="Y1487">
        <v>4.2653964062356053E-3</v>
      </c>
    </row>
    <row r="1488" spans="1:25" x14ac:dyDescent="0.25">
      <c r="A1488" s="1096"/>
      <c r="B1488" s="1455">
        <v>1238</v>
      </c>
      <c r="C1488" s="1100">
        <v>1.0095266657894146</v>
      </c>
      <c r="D1488" s="1100">
        <v>0.99366392210018817</v>
      </c>
      <c r="E1488" s="1100">
        <v>0.99193220679597671</v>
      </c>
      <c r="F1488" s="1100">
        <v>0.99327623313043001</v>
      </c>
      <c r="G1488" s="1100">
        <v>0.99016182408363274</v>
      </c>
      <c r="H1488" s="1100">
        <v>1.0290362022849346</v>
      </c>
      <c r="I1488" s="1100">
        <v>0.98984641418250241</v>
      </c>
      <c r="K1488">
        <v>2.2056635364424424</v>
      </c>
      <c r="L1488">
        <v>0</v>
      </c>
      <c r="M1488">
        <v>1.6053955363165306E-3</v>
      </c>
      <c r="N1488">
        <v>0.14251933007792078</v>
      </c>
      <c r="O1488">
        <v>1.9588195639900163E-2</v>
      </c>
      <c r="P1488">
        <v>2.575486067112074E-2</v>
      </c>
      <c r="Q1488">
        <v>5.418500789816246E-3</v>
      </c>
      <c r="R1488">
        <v>1.583468225426372E-3</v>
      </c>
      <c r="S1488">
        <v>0.23978212376474453</v>
      </c>
      <c r="T1488">
        <v>1.3348157772885192</v>
      </c>
      <c r="U1488">
        <v>0.14140682700684173</v>
      </c>
      <c r="V1488">
        <v>0.1830474472395385</v>
      </c>
      <c r="W1488">
        <v>9.4076969471541955E-2</v>
      </c>
      <c r="X1488">
        <v>1.4965753283937615E-2</v>
      </c>
      <c r="Y1488">
        <v>4.3096785194503603E-3</v>
      </c>
    </row>
    <row r="1489" spans="1:25" x14ac:dyDescent="0.25">
      <c r="A1489" s="1096"/>
      <c r="B1489" s="1455">
        <v>1239</v>
      </c>
      <c r="C1489" s="1100">
        <v>0.97980856346671985</v>
      </c>
      <c r="D1489" s="1100">
        <v>1.0062820489132565</v>
      </c>
      <c r="E1489" s="1100">
        <v>1.038402805762775</v>
      </c>
      <c r="F1489" s="1100">
        <v>1.0059447086316593</v>
      </c>
      <c r="G1489" s="1100">
        <v>1.0223741834399769</v>
      </c>
      <c r="H1489" s="1100">
        <v>1.0163512203029439</v>
      </c>
      <c r="I1489" s="1100">
        <v>1.0223930487643611</v>
      </c>
      <c r="K1489">
        <v>2.2614276093900068</v>
      </c>
      <c r="L1489">
        <v>0</v>
      </c>
      <c r="M1489">
        <v>1.4791280827347348E-3</v>
      </c>
      <c r="N1489">
        <v>0.15105273268573552</v>
      </c>
      <c r="O1489">
        <v>2.0156019616581086E-2</v>
      </c>
      <c r="P1489">
        <v>2.7213247754175704E-2</v>
      </c>
      <c r="Q1489">
        <v>5.8399283776006256E-3</v>
      </c>
      <c r="R1489">
        <v>1.4586732493352065E-3</v>
      </c>
      <c r="S1489">
        <v>0.2528989714755191</v>
      </c>
      <c r="T1489">
        <v>1.3519299810999275</v>
      </c>
      <c r="U1489">
        <v>0.14580521495294679</v>
      </c>
      <c r="V1489">
        <v>0.18851349185515717</v>
      </c>
      <c r="W1489">
        <v>9.702526355915049E-2</v>
      </c>
      <c r="X1489">
        <v>1.704318511342728E-2</v>
      </c>
      <c r="Y1489">
        <v>3.9700277331830213E-3</v>
      </c>
    </row>
    <row r="1490" spans="1:25" x14ac:dyDescent="0.25">
      <c r="A1490" s="1096"/>
      <c r="B1490" s="1455">
        <v>1240</v>
      </c>
      <c r="C1490" s="1100">
        <v>0.99615900455431361</v>
      </c>
      <c r="D1490" s="1100">
        <v>1.0078829138294112</v>
      </c>
      <c r="E1490" s="1100">
        <v>1.0100417173997254</v>
      </c>
      <c r="F1490" s="1100">
        <v>1.0055061991240448</v>
      </c>
      <c r="G1490" s="1100">
        <v>0.97196551255300201</v>
      </c>
      <c r="H1490" s="1100">
        <v>1.0002497616114476</v>
      </c>
      <c r="I1490" s="1100">
        <v>0.9811603392481838</v>
      </c>
      <c r="K1490">
        <v>2.2201755252730941</v>
      </c>
      <c r="L1490">
        <v>0</v>
      </c>
      <c r="M1490">
        <v>1.5183604275915137E-3</v>
      </c>
      <c r="N1490">
        <v>0.14231582824164069</v>
      </c>
      <c r="O1490">
        <v>1.9800438060139879E-2</v>
      </c>
      <c r="P1490">
        <v>2.6302765073978652E-2</v>
      </c>
      <c r="Q1490">
        <v>5.5777729717142411E-3</v>
      </c>
      <c r="R1490">
        <v>1.4970250468867034E-3</v>
      </c>
      <c r="S1490">
        <v>0.23704431924416744</v>
      </c>
      <c r="T1490">
        <v>1.3512804120385928</v>
      </c>
      <c r="U1490">
        <v>0.14334625494402684</v>
      </c>
      <c r="V1490">
        <v>0.18179519200170061</v>
      </c>
      <c r="W1490">
        <v>9.2937695529150599E-2</v>
      </c>
      <c r="X1490">
        <v>1.5721773865232672E-2</v>
      </c>
      <c r="Y1490">
        <v>4.0744086834515313E-3</v>
      </c>
    </row>
    <row r="1491" spans="1:25" x14ac:dyDescent="0.25">
      <c r="A1491" s="1096"/>
      <c r="B1491" s="1455">
        <v>1241</v>
      </c>
      <c r="C1491" s="1100">
        <v>1.0277356617870357</v>
      </c>
      <c r="D1491" s="1100">
        <v>0.99065137845250451</v>
      </c>
      <c r="E1491" s="1100">
        <v>0.99058894283993237</v>
      </c>
      <c r="F1491" s="1100">
        <v>0.98455254474774911</v>
      </c>
      <c r="G1491" s="1100">
        <v>1.0230616871266056</v>
      </c>
      <c r="H1491" s="1100">
        <v>0.97802844735297323</v>
      </c>
      <c r="I1491" s="1100">
        <v>1.0226354372786626</v>
      </c>
      <c r="K1491">
        <v>2.1768709892415101</v>
      </c>
      <c r="L1491">
        <v>0</v>
      </c>
      <c r="M1491">
        <v>1.5039652543405839E-3</v>
      </c>
      <c r="N1491">
        <v>0.13287771034719167</v>
      </c>
      <c r="O1491">
        <v>1.9253180420074623E-2</v>
      </c>
      <c r="P1491">
        <v>2.5570088832234664E-2</v>
      </c>
      <c r="Q1491">
        <v>5.3186075838725201E-3</v>
      </c>
      <c r="R1491">
        <v>1.4823519935972063E-3</v>
      </c>
      <c r="S1491">
        <v>0.23961865480071695</v>
      </c>
      <c r="T1491">
        <v>1.3230905816551781</v>
      </c>
      <c r="U1491">
        <v>0.13889843425573389</v>
      </c>
      <c r="V1491">
        <v>0.18572425277039276</v>
      </c>
      <c r="W1491">
        <v>8.7783079028949842E-2</v>
      </c>
      <c r="X1491">
        <v>1.4723539338539779E-2</v>
      </c>
      <c r="Y1491">
        <v>4.0344734693682355E-3</v>
      </c>
    </row>
    <row r="1492" spans="1:25" x14ac:dyDescent="0.25">
      <c r="A1492" s="1096"/>
      <c r="B1492" s="1455">
        <v>1242</v>
      </c>
      <c r="C1492" s="1100">
        <v>1.0178455978964007</v>
      </c>
      <c r="D1492" s="1100">
        <v>0.96384278445517857</v>
      </c>
      <c r="E1492" s="1100">
        <v>1.0323354764739576</v>
      </c>
      <c r="F1492" s="1100">
        <v>1.0014264363065712</v>
      </c>
      <c r="G1492" s="1100">
        <v>0.96030540613644177</v>
      </c>
      <c r="H1492" s="1100">
        <v>1.0070385361880472</v>
      </c>
      <c r="I1492" s="1100">
        <v>1.0057392443009836</v>
      </c>
      <c r="K1492">
        <v>2.2193340045063343</v>
      </c>
      <c r="L1492">
        <v>0</v>
      </c>
      <c r="M1492">
        <v>1.4423793757882804E-3</v>
      </c>
      <c r="N1492">
        <v>0.14461245112537066</v>
      </c>
      <c r="O1492">
        <v>1.9583819392602644E-2</v>
      </c>
      <c r="P1492">
        <v>2.6677294305830618E-2</v>
      </c>
      <c r="Q1492">
        <v>5.6403049465507237E-3</v>
      </c>
      <c r="R1492">
        <v>1.4222482811348052E-3</v>
      </c>
      <c r="S1492">
        <v>0.24389781278725975</v>
      </c>
      <c r="T1492">
        <v>1.3458434178124239</v>
      </c>
      <c r="U1492">
        <v>0.14034265672047397</v>
      </c>
      <c r="V1492">
        <v>0.17922838859679854</v>
      </c>
      <c r="W1492">
        <v>9.3214841352746131E-2</v>
      </c>
      <c r="X1492">
        <v>1.644225758370314E-2</v>
      </c>
      <c r="Y1492">
        <v>3.8708909772290673E-3</v>
      </c>
    </row>
    <row r="1493" spans="1:25" x14ac:dyDescent="0.25">
      <c r="A1493" s="1096"/>
      <c r="B1493" s="1455">
        <v>1243</v>
      </c>
      <c r="C1493" s="1100">
        <v>1.0114128176655983</v>
      </c>
      <c r="D1493" s="1100">
        <v>1.0112194790508315</v>
      </c>
      <c r="E1493" s="1100">
        <v>0.98125357472270835</v>
      </c>
      <c r="F1493" s="1100">
        <v>1.024535155382442</v>
      </c>
      <c r="G1493" s="1100">
        <v>0.98878910478050464</v>
      </c>
      <c r="H1493" s="1100">
        <v>0.97637483022948135</v>
      </c>
      <c r="I1493" s="1100">
        <v>0.98860461308580294</v>
      </c>
      <c r="K1493">
        <v>2.2244490306105833</v>
      </c>
      <c r="L1493">
        <v>0</v>
      </c>
      <c r="M1493">
        <v>1.5484021598179852E-3</v>
      </c>
      <c r="N1493">
        <v>0.13299208258523806</v>
      </c>
      <c r="O1493">
        <v>1.9469915145998069E-2</v>
      </c>
      <c r="P1493">
        <v>2.6011205467526739E-2</v>
      </c>
      <c r="Q1493">
        <v>5.3278536052368021E-3</v>
      </c>
      <c r="R1493">
        <v>1.5261126165230724E-3</v>
      </c>
      <c r="S1493">
        <v>0.23277625137919028</v>
      </c>
      <c r="T1493">
        <v>1.3768089117540623</v>
      </c>
      <c r="U1493">
        <v>0.1411188656910935</v>
      </c>
      <c r="V1493">
        <v>0.18277363692756413</v>
      </c>
      <c r="W1493">
        <v>8.8352957537140661E-2</v>
      </c>
      <c r="X1493">
        <v>1.4686064601537688E-2</v>
      </c>
      <c r="Y1493">
        <v>4.1535754592869735E-3</v>
      </c>
    </row>
    <row r="1494" spans="1:25" x14ac:dyDescent="0.25">
      <c r="A1494" s="1096"/>
      <c r="B1494" s="1455">
        <v>1244</v>
      </c>
      <c r="C1494" s="1100">
        <v>0.98868325350380071</v>
      </c>
      <c r="D1494" s="1100">
        <v>0.98401908718657216</v>
      </c>
      <c r="E1494" s="1100">
        <v>1.018370532412163</v>
      </c>
      <c r="F1494" s="1100">
        <v>0.98281339465758044</v>
      </c>
      <c r="G1494" s="1100">
        <v>1.0039208482637605</v>
      </c>
      <c r="H1494" s="1100">
        <v>0.97158962912642421</v>
      </c>
      <c r="I1494" s="1100">
        <v>1.0230475230137055</v>
      </c>
      <c r="K1494">
        <v>2.2055266905360171</v>
      </c>
      <c r="L1494">
        <v>0</v>
      </c>
      <c r="M1494">
        <v>1.468218653048316E-3</v>
      </c>
      <c r="N1494">
        <v>0.14105980270995863</v>
      </c>
      <c r="O1494">
        <v>2.0060895771507607E-2</v>
      </c>
      <c r="P1494">
        <v>2.6289770309619445E-2</v>
      </c>
      <c r="Q1494">
        <v>5.6982806214340908E-3</v>
      </c>
      <c r="R1494">
        <v>1.4469792726249059E-3</v>
      </c>
      <c r="S1494">
        <v>0.24970994047104911</v>
      </c>
      <c r="T1494">
        <v>1.3207995317046513</v>
      </c>
      <c r="U1494">
        <v>0.14444957936361988</v>
      </c>
      <c r="V1494">
        <v>0.18586518798773508</v>
      </c>
      <c r="W1494">
        <v>9.1667642880732217E-2</v>
      </c>
      <c r="X1494">
        <v>1.6009097512637821E-2</v>
      </c>
      <c r="Y1494">
        <v>3.9382005834959688E-3</v>
      </c>
    </row>
    <row r="1495" spans="1:25" x14ac:dyDescent="0.25">
      <c r="A1495" s="1096"/>
      <c r="B1495" s="1455">
        <v>1245</v>
      </c>
      <c r="C1495" s="1100">
        <v>1.022306490570299</v>
      </c>
      <c r="D1495" s="1100">
        <v>0.97140806932986068</v>
      </c>
      <c r="E1495" s="1100">
        <v>0.99230738004868735</v>
      </c>
      <c r="F1495" s="1100">
        <v>1.0308402867360635</v>
      </c>
      <c r="G1495" s="1100">
        <v>1.0233878262922442</v>
      </c>
      <c r="H1495" s="1100">
        <v>1.0335826678299815</v>
      </c>
      <c r="I1495" s="1100">
        <v>0.99949101214961122</v>
      </c>
      <c r="K1495">
        <v>2.2598722603740229</v>
      </c>
      <c r="L1495">
        <v>0</v>
      </c>
      <c r="M1495">
        <v>1.5990426530991418E-3</v>
      </c>
      <c r="N1495">
        <v>0.14212509610730517</v>
      </c>
      <c r="O1495">
        <v>1.9440193206629437E-2</v>
      </c>
      <c r="P1495">
        <v>2.6496251216898831E-2</v>
      </c>
      <c r="Q1495">
        <v>5.3795974753859848E-3</v>
      </c>
      <c r="R1495">
        <v>1.5772981840714241E-3</v>
      </c>
      <c r="S1495">
        <v>0.24216704623859606</v>
      </c>
      <c r="T1495">
        <v>1.3852968372342738</v>
      </c>
      <c r="U1495">
        <v>0.13963994809318067</v>
      </c>
      <c r="V1495">
        <v>0.18606906139304366</v>
      </c>
      <c r="W1495">
        <v>9.3795687960073648E-2</v>
      </c>
      <c r="X1495">
        <v>1.5191400216827779E-2</v>
      </c>
      <c r="Y1495">
        <v>4.2928857008357789E-3</v>
      </c>
    </row>
    <row r="1496" spans="1:25" x14ac:dyDescent="0.25">
      <c r="A1496" s="1096"/>
      <c r="B1496" s="1455">
        <v>1246</v>
      </c>
      <c r="C1496" s="1100">
        <v>0.96217984925811528</v>
      </c>
      <c r="D1496" s="1100">
        <v>0.99842900252194688</v>
      </c>
      <c r="E1496" s="1100">
        <v>1.0124000992101105</v>
      </c>
      <c r="F1496" s="1100">
        <v>0.98081979054405533</v>
      </c>
      <c r="G1496" s="1100">
        <v>0.97370029826431537</v>
      </c>
      <c r="H1496" s="1100">
        <v>0.99697351788133504</v>
      </c>
      <c r="I1496" s="1100">
        <v>1.030916288341643</v>
      </c>
      <c r="K1496">
        <v>2.2259368901662175</v>
      </c>
      <c r="L1496">
        <v>0</v>
      </c>
      <c r="M1496">
        <v>1.5624086771796367E-3</v>
      </c>
      <c r="N1496">
        <v>0.14748386421437548</v>
      </c>
      <c r="O1496">
        <v>2.0543766943435501E-2</v>
      </c>
      <c r="P1496">
        <v>2.6293186442605001E-2</v>
      </c>
      <c r="Q1496">
        <v>5.8008186343138984E-3</v>
      </c>
      <c r="R1496">
        <v>1.5403822023781087E-3</v>
      </c>
      <c r="S1496">
        <v>0.25881238147169439</v>
      </c>
      <c r="T1496">
        <v>1.318109066838995</v>
      </c>
      <c r="U1496">
        <v>0.14841414720260923</v>
      </c>
      <c r="V1496">
        <v>0.18409693593450066</v>
      </c>
      <c r="W1496">
        <v>9.6178902761302296E-2</v>
      </c>
      <c r="X1496">
        <v>1.6033433629170389E-2</v>
      </c>
      <c r="Y1496">
        <v>4.1924125680166688E-3</v>
      </c>
    </row>
    <row r="1497" spans="1:25" x14ac:dyDescent="0.25">
      <c r="A1497" s="1096"/>
      <c r="B1497" s="1455">
        <v>1247</v>
      </c>
      <c r="C1497" s="1100">
        <v>0.99740101763578159</v>
      </c>
      <c r="D1497" s="1100">
        <v>1.0040050954531439</v>
      </c>
      <c r="E1497" s="1100">
        <v>0.98055678038112537</v>
      </c>
      <c r="F1497" s="1100">
        <v>0.9786459532992936</v>
      </c>
      <c r="G1497" s="1100">
        <v>0.97788462364996764</v>
      </c>
      <c r="H1497" s="1100">
        <v>0.96328327061684549</v>
      </c>
      <c r="I1497" s="1100">
        <v>1.025999573187669</v>
      </c>
      <c r="K1497">
        <v>2.1762110944412751</v>
      </c>
      <c r="L1497">
        <v>0</v>
      </c>
      <c r="M1497">
        <v>1.5537809069463631E-3</v>
      </c>
      <c r="N1497">
        <v>0.1331465870616747</v>
      </c>
      <c r="O1497">
        <v>1.9774123871731004E-2</v>
      </c>
      <c r="P1497">
        <v>2.5350795307913693E-2</v>
      </c>
      <c r="Q1497">
        <v>5.4072699721355614E-3</v>
      </c>
      <c r="R1497">
        <v>1.5311099558857439E-3</v>
      </c>
      <c r="S1497">
        <v>0.24477050891729127</v>
      </c>
      <c r="T1497">
        <v>1.315140473623557</v>
      </c>
      <c r="U1497">
        <v>0.1430997439613266</v>
      </c>
      <c r="V1497">
        <v>0.18236413016122563</v>
      </c>
      <c r="W1497">
        <v>8.8492800201311853E-2</v>
      </c>
      <c r="X1497">
        <v>1.4520155744508722E-2</v>
      </c>
      <c r="Y1497">
        <v>4.1671765696596856E-3</v>
      </c>
    </row>
    <row r="1498" spans="1:25" x14ac:dyDescent="0.25">
      <c r="A1498" s="1096"/>
      <c r="B1498" s="1455">
        <v>1248</v>
      </c>
      <c r="C1498" s="1100">
        <v>0.95940663212050237</v>
      </c>
      <c r="D1498" s="1100">
        <v>1.0326492497064934</v>
      </c>
      <c r="E1498" s="1100">
        <v>1.0067259831299107</v>
      </c>
      <c r="F1498" s="1100">
        <v>0.97978332534170742</v>
      </c>
      <c r="G1498" s="1100">
        <v>0.99195708291028184</v>
      </c>
      <c r="H1498" s="1100">
        <v>0.97385235249998825</v>
      </c>
      <c r="I1498" s="1100">
        <v>1.0094058582594099</v>
      </c>
      <c r="K1498">
        <v>2.2077776449053812</v>
      </c>
      <c r="L1498">
        <v>0</v>
      </c>
      <c r="M1498">
        <v>1.5372940927716758E-3</v>
      </c>
      <c r="N1498">
        <v>0.14260002192756574</v>
      </c>
      <c r="O1498">
        <v>2.0447289888742327E-2</v>
      </c>
      <c r="P1498">
        <v>2.6051171583725202E-2</v>
      </c>
      <c r="Q1498">
        <v>5.7409137066151399E-3</v>
      </c>
      <c r="R1498">
        <v>1.515107131895571E-3</v>
      </c>
      <c r="S1498">
        <v>0.24794258945261177</v>
      </c>
      <c r="T1498">
        <v>1.3167061758816243</v>
      </c>
      <c r="U1498">
        <v>0.14882950988752858</v>
      </c>
      <c r="V1498">
        <v>0.18633348361412022</v>
      </c>
      <c r="W1498">
        <v>9.3305771086882011E-2</v>
      </c>
      <c r="X1498">
        <v>1.5719282678754328E-2</v>
      </c>
      <c r="Y1498">
        <v>4.1236221580879468E-3</v>
      </c>
    </row>
    <row r="1499" spans="1:25" x14ac:dyDescent="0.25">
      <c r="A1499" s="1096"/>
      <c r="B1499" s="1455">
        <v>1249</v>
      </c>
      <c r="C1499" s="1100">
        <v>1.0009803097902144</v>
      </c>
      <c r="D1499" s="1100">
        <v>0.99670723110251125</v>
      </c>
      <c r="E1499" s="1100">
        <v>1.0050508504684312</v>
      </c>
      <c r="F1499" s="1100">
        <v>0.97948166969272676</v>
      </c>
      <c r="G1499" s="1100">
        <v>1.0423219571658902</v>
      </c>
      <c r="H1499" s="1100">
        <v>1.0056474706109524</v>
      </c>
      <c r="I1499" s="1100">
        <v>0.98329904280795255</v>
      </c>
      <c r="K1499">
        <v>2.1923027567811877</v>
      </c>
      <c r="L1499">
        <v>0</v>
      </c>
      <c r="M1499">
        <v>1.5387992678915173E-3</v>
      </c>
      <c r="N1499">
        <v>0.14208513512992926</v>
      </c>
      <c r="O1499">
        <v>1.9750343849550364E-2</v>
      </c>
      <c r="P1499">
        <v>2.5836738135356287E-2</v>
      </c>
      <c r="Q1499">
        <v>5.5359356650481811E-3</v>
      </c>
      <c r="R1499">
        <v>1.5172927459097044E-3</v>
      </c>
      <c r="S1499">
        <v>0.23812194506796278</v>
      </c>
      <c r="T1499">
        <v>1.3162979669316426</v>
      </c>
      <c r="U1499">
        <v>0.14264432299749166</v>
      </c>
      <c r="V1499">
        <v>0.18945654119158556</v>
      </c>
      <c r="W1499">
        <v>9.306104844852546E-2</v>
      </c>
      <c r="X1499">
        <v>1.540471520712901E-2</v>
      </c>
      <c r="Y1499">
        <v>4.1295706789469516E-3</v>
      </c>
    </row>
    <row r="1500" spans="1:25" x14ac:dyDescent="0.25">
      <c r="A1500" s="1096"/>
      <c r="B1500" s="1455">
        <v>1250</v>
      </c>
      <c r="C1500" s="1100">
        <v>1.0116898916857622</v>
      </c>
      <c r="D1500" s="1100">
        <v>0.97356546390244336</v>
      </c>
      <c r="E1500" s="1100">
        <v>0.99841637527276639</v>
      </c>
      <c r="F1500" s="1100">
        <v>0.99303200452137552</v>
      </c>
      <c r="G1500" s="1100">
        <v>1.0203435863629624</v>
      </c>
      <c r="H1500" s="1100">
        <v>0.99730917913509098</v>
      </c>
      <c r="I1500" s="1100">
        <v>0.99201960509011322</v>
      </c>
      <c r="K1500">
        <v>2.2028782354911098</v>
      </c>
      <c r="L1500">
        <v>0</v>
      </c>
      <c r="M1500">
        <v>1.5387462968584572E-3</v>
      </c>
      <c r="N1500">
        <v>0.13924456601013172</v>
      </c>
      <c r="O1500">
        <v>1.963840359773392E-2</v>
      </c>
      <c r="P1500">
        <v>2.591691669085942E-2</v>
      </c>
      <c r="Q1500">
        <v>5.468007356495855E-3</v>
      </c>
      <c r="R1500">
        <v>1.5170607099092069E-3</v>
      </c>
      <c r="S1500">
        <v>0.23979014826152933</v>
      </c>
      <c r="T1500">
        <v>1.3344971455401209</v>
      </c>
      <c r="U1500">
        <v>0.14111921153342891</v>
      </c>
      <c r="V1500">
        <v>0.18633904924117795</v>
      </c>
      <c r="W1500">
        <v>9.1560405919266119E-2</v>
      </c>
      <c r="X1500">
        <v>1.5197127773868427E-2</v>
      </c>
      <c r="Y1500">
        <v>4.128939153444245E-3</v>
      </c>
    </row>
    <row r="1501" spans="1:25" x14ac:dyDescent="0.25">
      <c r="A1501" s="1096"/>
      <c r="B1501" s="1455">
        <v>1251</v>
      </c>
      <c r="C1501" s="1100">
        <v>1.0195922586168762</v>
      </c>
      <c r="D1501" s="1100">
        <v>0.97539988881030582</v>
      </c>
      <c r="E1501" s="1100">
        <v>1.027367721289735</v>
      </c>
      <c r="F1501" s="1100">
        <v>1.0139256923975515</v>
      </c>
      <c r="G1501" s="1100">
        <v>0.99985053999311757</v>
      </c>
      <c r="H1501" s="1100">
        <v>0.99911170536105187</v>
      </c>
      <c r="I1501" s="1100">
        <v>1.0192103440970959</v>
      </c>
      <c r="K1501">
        <v>2.2371245855938167</v>
      </c>
      <c r="L1501">
        <v>0</v>
      </c>
      <c r="M1501">
        <v>1.4396588592867506E-3</v>
      </c>
      <c r="N1501">
        <v>0.14217822447782397</v>
      </c>
      <c r="O1501">
        <v>1.9495997706779723E-2</v>
      </c>
      <c r="P1501">
        <v>2.6881858845616027E-2</v>
      </c>
      <c r="Q1501">
        <v>5.5874982818564988E-3</v>
      </c>
      <c r="R1501">
        <v>1.4194063181060337E-3</v>
      </c>
      <c r="S1501">
        <v>0.2445915907809216</v>
      </c>
      <c r="T1501">
        <v>1.3626302530089127</v>
      </c>
      <c r="U1501">
        <v>0.14009096804345442</v>
      </c>
      <c r="V1501">
        <v>0.18359367065990256</v>
      </c>
      <c r="W1501">
        <v>9.1910466155847026E-2</v>
      </c>
      <c r="X1501">
        <v>1.6321154083164167E-2</v>
      </c>
      <c r="Y1501">
        <v>3.8631560907176118E-3</v>
      </c>
    </row>
    <row r="1502" spans="1:25" x14ac:dyDescent="0.25">
      <c r="A1502" s="1096"/>
      <c r="B1502" s="1455">
        <v>1252</v>
      </c>
      <c r="C1502" s="1100">
        <v>0.9987352197277064</v>
      </c>
      <c r="D1502" s="1100">
        <v>0.99702619517603341</v>
      </c>
      <c r="E1502" s="1100">
        <v>0.98970955938120153</v>
      </c>
      <c r="F1502" s="1100">
        <v>0.99221429349647239</v>
      </c>
      <c r="G1502" s="1100">
        <v>0.97358463978188703</v>
      </c>
      <c r="H1502" s="1100">
        <v>1.035052107928216</v>
      </c>
      <c r="I1502" s="1100">
        <v>0.97599914751136163</v>
      </c>
      <c r="K1502">
        <v>2.207417092133642</v>
      </c>
      <c r="L1502">
        <v>0</v>
      </c>
      <c r="M1502">
        <v>1.6385425184005644E-3</v>
      </c>
      <c r="N1502">
        <v>0.14449941614630776</v>
      </c>
      <c r="O1502">
        <v>1.9783750226007299E-2</v>
      </c>
      <c r="P1502">
        <v>2.5686224284980901E-2</v>
      </c>
      <c r="Q1502">
        <v>5.4603200281848705E-3</v>
      </c>
      <c r="R1502">
        <v>1.6162925459248742E-3</v>
      </c>
      <c r="S1502">
        <v>0.23903629386647771</v>
      </c>
      <c r="T1502">
        <v>1.3333856181445645</v>
      </c>
      <c r="U1502">
        <v>0.14292962736894391</v>
      </c>
      <c r="V1502">
        <v>0.18180652059887492</v>
      </c>
      <c r="W1502">
        <v>9.5511029710288409E-2</v>
      </c>
      <c r="X1502">
        <v>1.4941526232174054E-2</v>
      </c>
      <c r="Y1502">
        <v>4.3990154993129391E-3</v>
      </c>
    </row>
    <row r="1503" spans="1:25" x14ac:dyDescent="0.25">
      <c r="A1503" s="1096"/>
      <c r="B1503" s="1455">
        <v>1253</v>
      </c>
      <c r="C1503" s="1100">
        <v>0.9999446504755094</v>
      </c>
      <c r="D1503" s="1100">
        <v>1.0110930558381894</v>
      </c>
      <c r="E1503" s="1100">
        <v>0.97558239293233384</v>
      </c>
      <c r="F1503" s="1100">
        <v>0.96922881991990817</v>
      </c>
      <c r="G1503" s="1100">
        <v>0.98918922089196293</v>
      </c>
      <c r="H1503" s="1100">
        <v>1.0328641310437772</v>
      </c>
      <c r="I1503" s="1100">
        <v>1.0194729288561069</v>
      </c>
      <c r="K1503">
        <v>2.1810959754687183</v>
      </c>
      <c r="L1503">
        <v>0</v>
      </c>
      <c r="M1503">
        <v>1.676356627912619E-3</v>
      </c>
      <c r="N1503">
        <v>0.14164532779031749</v>
      </c>
      <c r="O1503">
        <v>1.9690231484471996E-2</v>
      </c>
      <c r="P1503">
        <v>2.5130330750510736E-2</v>
      </c>
      <c r="Q1503">
        <v>5.3571460823658512E-3</v>
      </c>
      <c r="R1503">
        <v>1.6535449517782392E-3</v>
      </c>
      <c r="S1503">
        <v>0.24736969523398636</v>
      </c>
      <c r="T1503">
        <v>1.3024800227291562</v>
      </c>
      <c r="U1503">
        <v>0.14272431782526995</v>
      </c>
      <c r="V1503">
        <v>0.18348656399229724</v>
      </c>
      <c r="W1503">
        <v>9.442491902764269E-2</v>
      </c>
      <c r="X1503">
        <v>1.4309827961037804E-2</v>
      </c>
      <c r="Y1503">
        <v>4.5004042677935091E-3</v>
      </c>
    </row>
    <row r="1504" spans="1:25" x14ac:dyDescent="0.25">
      <c r="A1504" s="1096"/>
      <c r="B1504" s="1455">
        <v>1254</v>
      </c>
      <c r="C1504" s="1100">
        <v>1.0233087760254087</v>
      </c>
      <c r="D1504" s="1100">
        <v>0.97411243885342713</v>
      </c>
      <c r="E1504" s="1100">
        <v>0.9897386112504124</v>
      </c>
      <c r="F1504" s="1100">
        <v>0.99680978768782258</v>
      </c>
      <c r="G1504" s="1100">
        <v>0.97426044167825598</v>
      </c>
      <c r="H1504" s="1100">
        <v>0.9756776642235786</v>
      </c>
      <c r="I1504" s="1100">
        <v>1.0036993349610595</v>
      </c>
      <c r="K1504">
        <v>2.188578237342707</v>
      </c>
      <c r="L1504">
        <v>0</v>
      </c>
      <c r="M1504">
        <v>1.5150984245439481E-3</v>
      </c>
      <c r="N1504">
        <v>0.13351295201543442</v>
      </c>
      <c r="O1504">
        <v>1.9407702706719765E-2</v>
      </c>
      <c r="P1504">
        <v>2.5691813880322059E-2</v>
      </c>
      <c r="Q1504">
        <v>5.3566881373994461E-3</v>
      </c>
      <c r="R1504">
        <v>1.49327271051791E-3</v>
      </c>
      <c r="S1504">
        <v>0.23801574732629052</v>
      </c>
      <c r="T1504">
        <v>1.3395613054054409</v>
      </c>
      <c r="U1504">
        <v>0.13949740578583478</v>
      </c>
      <c r="V1504">
        <v>0.18045677352804446</v>
      </c>
      <c r="W1504">
        <v>8.8247675230767292E-2</v>
      </c>
      <c r="X1504">
        <v>1.4787802979665929E-2</v>
      </c>
      <c r="Y1504">
        <v>4.0641960608130264E-3</v>
      </c>
    </row>
    <row r="1505" spans="1:25" x14ac:dyDescent="0.25">
      <c r="A1505" s="1096"/>
      <c r="B1505" s="1455">
        <v>1255</v>
      </c>
      <c r="C1505" s="1100">
        <v>0.99422235861050479</v>
      </c>
      <c r="D1505" s="1100">
        <v>0.96399287182694104</v>
      </c>
      <c r="E1505" s="1100">
        <v>1.0300790430534834</v>
      </c>
      <c r="F1505" s="1100">
        <v>1.0425912456716291</v>
      </c>
      <c r="G1505" s="1100">
        <v>1.0114876334868677</v>
      </c>
      <c r="H1505" s="1100">
        <v>1.0157856348758829</v>
      </c>
      <c r="I1505" s="1100">
        <v>0.99868318039936177</v>
      </c>
      <c r="K1505">
        <v>2.2993759061621133</v>
      </c>
      <c r="L1505">
        <v>0</v>
      </c>
      <c r="M1505">
        <v>1.4964470724246532E-3</v>
      </c>
      <c r="N1505">
        <v>0.1490344215847203</v>
      </c>
      <c r="O1505">
        <v>2.0047018409236211E-2</v>
      </c>
      <c r="P1505">
        <v>2.7617516351870545E-2</v>
      </c>
      <c r="Q1505">
        <v>5.7608523283103029E-3</v>
      </c>
      <c r="R1505">
        <v>1.4757412125293203E-3</v>
      </c>
      <c r="S1505">
        <v>0.24861446665563391</v>
      </c>
      <c r="T1505">
        <v>1.4011605719314026</v>
      </c>
      <c r="U1505">
        <v>0.14367202133125676</v>
      </c>
      <c r="V1505">
        <v>0.18639688094499335</v>
      </c>
      <c r="W1505">
        <v>9.6190961608434947E-2</v>
      </c>
      <c r="X1505">
        <v>1.6885419773604218E-2</v>
      </c>
      <c r="Y1505">
        <v>4.0164811025448438E-3</v>
      </c>
    </row>
    <row r="1506" spans="1:25" x14ac:dyDescent="0.25">
      <c r="A1506" s="1096"/>
      <c r="B1506" s="1455">
        <v>1256</v>
      </c>
      <c r="C1506" s="1100">
        <v>1.0163506637477759</v>
      </c>
      <c r="D1506" s="1100">
        <v>1.0281234603014056</v>
      </c>
      <c r="E1506" s="1100">
        <v>1.0048754239473272</v>
      </c>
      <c r="F1506" s="1100">
        <v>1.0011567641120973</v>
      </c>
      <c r="G1506" s="1100">
        <v>0.99424389561999682</v>
      </c>
      <c r="H1506" s="1100">
        <v>0.98870937518129054</v>
      </c>
      <c r="I1506" s="1100">
        <v>0.98263422806492307</v>
      </c>
      <c r="K1506">
        <v>2.1945460318371053</v>
      </c>
      <c r="L1506">
        <v>0</v>
      </c>
      <c r="M1506">
        <v>1.4804027662452079E-3</v>
      </c>
      <c r="N1506">
        <v>0.13658751306871306</v>
      </c>
      <c r="O1506">
        <v>1.931919936868641E-2</v>
      </c>
      <c r="P1506">
        <v>2.5997490713552687E-2</v>
      </c>
      <c r="Q1506">
        <v>5.4141355695458441E-3</v>
      </c>
      <c r="R1506">
        <v>1.4593579463873776E-3</v>
      </c>
      <c r="S1506">
        <v>0.22947237245274782</v>
      </c>
      <c r="T1506">
        <v>1.3454262203942471</v>
      </c>
      <c r="U1506">
        <v>0.14048670357316026</v>
      </c>
      <c r="V1506">
        <v>0.18312554164849254</v>
      </c>
      <c r="W1506">
        <v>8.9469579939644661E-2</v>
      </c>
      <c r="X1506">
        <v>1.5296428675321544E-2</v>
      </c>
      <c r="Y1506">
        <v>3.9718912528487072E-3</v>
      </c>
    </row>
    <row r="1507" spans="1:25" x14ac:dyDescent="0.25">
      <c r="A1507" s="1096"/>
      <c r="B1507" s="1455">
        <v>1257</v>
      </c>
      <c r="C1507" s="1100">
        <v>1.0213754452141524</v>
      </c>
      <c r="D1507" s="1100">
        <v>0.99877971607406002</v>
      </c>
      <c r="E1507" s="1100">
        <v>1.0119201520954535</v>
      </c>
      <c r="F1507" s="1100">
        <v>1.0023753394110315</v>
      </c>
      <c r="G1507" s="1100">
        <v>1.0095312541893822</v>
      </c>
      <c r="H1507" s="1100">
        <v>0.99215554508254722</v>
      </c>
      <c r="I1507" s="1100">
        <v>0.99557595660962062</v>
      </c>
      <c r="K1507">
        <v>2.205377594866373</v>
      </c>
      <c r="L1507">
        <v>0</v>
      </c>
      <c r="M1507">
        <v>1.4660920785705374E-3</v>
      </c>
      <c r="N1507">
        <v>0.13818209723533931</v>
      </c>
      <c r="O1507">
        <v>1.9351327664418879E-2</v>
      </c>
      <c r="P1507">
        <v>2.6243266027843052E-2</v>
      </c>
      <c r="Q1507">
        <v>5.461499011479091E-3</v>
      </c>
      <c r="R1507">
        <v>1.4453230846047246E-3</v>
      </c>
      <c r="S1507">
        <v>0.23503301300973259</v>
      </c>
      <c r="T1507">
        <v>1.3470763546683779</v>
      </c>
      <c r="U1507">
        <v>0.13981146246388823</v>
      </c>
      <c r="V1507">
        <v>0.18457250078799922</v>
      </c>
      <c r="W1507">
        <v>9.0138389068705055E-2</v>
      </c>
      <c r="X1507">
        <v>1.559476093688855E-2</v>
      </c>
      <c r="Y1507">
        <v>3.9336929856672699E-3</v>
      </c>
    </row>
    <row r="1508" spans="1:25" x14ac:dyDescent="0.25">
      <c r="A1508" s="1096"/>
      <c r="B1508" s="1455">
        <v>1258</v>
      </c>
      <c r="C1508" s="1100">
        <v>1.0073876020631467</v>
      </c>
      <c r="D1508" s="1100">
        <v>0.98876938606232689</v>
      </c>
      <c r="E1508" s="1100">
        <v>0.97039976828509023</v>
      </c>
      <c r="F1508" s="1100">
        <v>1.011844701774183</v>
      </c>
      <c r="G1508" s="1100">
        <v>0.99386027342115857</v>
      </c>
      <c r="H1508" s="1100">
        <v>0.98631537402703218</v>
      </c>
      <c r="I1508" s="1100">
        <v>0.98897560029349729</v>
      </c>
      <c r="K1508">
        <v>2.2152191213413639</v>
      </c>
      <c r="L1508">
        <v>0</v>
      </c>
      <c r="M1508">
        <v>1.6139884994456216E-3</v>
      </c>
      <c r="N1508">
        <v>0.13416517378843007</v>
      </c>
      <c r="O1508">
        <v>1.9637780266006044E-2</v>
      </c>
      <c r="P1508">
        <v>2.5645367451098085E-2</v>
      </c>
      <c r="Q1508">
        <v>5.314695918255596E-3</v>
      </c>
      <c r="R1508">
        <v>1.5909889880434268E-3</v>
      </c>
      <c r="S1508">
        <v>0.23714046902607855</v>
      </c>
      <c r="T1508">
        <v>1.3597433377253716</v>
      </c>
      <c r="U1508">
        <v>0.14165802519717846</v>
      </c>
      <c r="V1508">
        <v>0.18357214347937892</v>
      </c>
      <c r="W1508">
        <v>8.9720321145131288E-2</v>
      </c>
      <c r="X1508">
        <v>1.4314659299761778E-2</v>
      </c>
      <c r="Y1508">
        <v>4.3301475560752539E-3</v>
      </c>
    </row>
    <row r="1509" spans="1:25" x14ac:dyDescent="0.25">
      <c r="A1509" s="1096"/>
      <c r="B1509" s="1455">
        <v>1259</v>
      </c>
      <c r="C1509" s="1100">
        <v>0.97028745612836931</v>
      </c>
      <c r="D1509" s="1100">
        <v>0.99824797832448009</v>
      </c>
      <c r="E1509" s="1100">
        <v>0.98457621276208718</v>
      </c>
      <c r="F1509" s="1100">
        <v>0.99234717193882571</v>
      </c>
      <c r="G1509" s="1100">
        <v>0.95942600171108317</v>
      </c>
      <c r="H1509" s="1100">
        <v>0.98736845685214469</v>
      </c>
      <c r="I1509" s="1100">
        <v>1.0037841320440153</v>
      </c>
      <c r="K1509">
        <v>2.2171215410370868</v>
      </c>
      <c r="L1509">
        <v>0</v>
      </c>
      <c r="M1509">
        <v>1.6256341283809161E-3</v>
      </c>
      <c r="N1509">
        <v>0.14105891794619127</v>
      </c>
      <c r="O1509">
        <v>2.0355002858238207E-2</v>
      </c>
      <c r="P1509">
        <v>2.5780583744272421E-2</v>
      </c>
      <c r="Q1509">
        <v>5.5888658063763348E-3</v>
      </c>
      <c r="R1509">
        <v>1.6024933727433188E-3</v>
      </c>
      <c r="S1509">
        <v>0.24890179643407909</v>
      </c>
      <c r="T1509">
        <v>1.3335575058554154</v>
      </c>
      <c r="U1509">
        <v>0.14710801166172402</v>
      </c>
      <c r="V1509">
        <v>0.18194265699326961</v>
      </c>
      <c r="W1509">
        <v>9.3524747355075835E-2</v>
      </c>
      <c r="X1509">
        <v>1.4965134439271865E-2</v>
      </c>
      <c r="Y1509">
        <v>4.3614586988089633E-3</v>
      </c>
    </row>
    <row r="1510" spans="1:25" x14ac:dyDescent="0.25">
      <c r="A1510" s="1096"/>
      <c r="B1510" s="1455">
        <v>1260</v>
      </c>
      <c r="C1510" s="1100">
        <v>1.0186840985689738</v>
      </c>
      <c r="D1510" s="1100">
        <v>1.0066440177686553</v>
      </c>
      <c r="E1510" s="1100">
        <v>0.99775013550076452</v>
      </c>
      <c r="F1510" s="1100">
        <v>1.0088358829618538</v>
      </c>
      <c r="G1510" s="1100">
        <v>0.96807545039264398</v>
      </c>
      <c r="H1510" s="1100">
        <v>1.0150506504903904</v>
      </c>
      <c r="I1510" s="1100">
        <v>1.0011132583872107</v>
      </c>
      <c r="K1510">
        <v>2.2152813521531982</v>
      </c>
      <c r="L1510">
        <v>0</v>
      </c>
      <c r="M1510">
        <v>1.5461102002503222E-3</v>
      </c>
      <c r="N1510">
        <v>0.13966445105923814</v>
      </c>
      <c r="O1510">
        <v>1.9360320824838587E-2</v>
      </c>
      <c r="P1510">
        <v>2.6066064950130183E-2</v>
      </c>
      <c r="Q1510">
        <v>5.3869669023324119E-3</v>
      </c>
      <c r="R1510">
        <v>1.5247016771226325E-3</v>
      </c>
      <c r="S1510">
        <v>0.23773340854523473</v>
      </c>
      <c r="T1510">
        <v>1.3557343219312725</v>
      </c>
      <c r="U1510">
        <v>0.14014879254354592</v>
      </c>
      <c r="V1510">
        <v>0.18002766489853789</v>
      </c>
      <c r="W1510">
        <v>9.1872929154882044E-2</v>
      </c>
      <c r="X1510">
        <v>1.5158104518956281E-2</v>
      </c>
      <c r="Y1510">
        <v>4.1497353473550248E-3</v>
      </c>
    </row>
    <row r="1511" spans="1:25" x14ac:dyDescent="0.25">
      <c r="A1511" s="1096"/>
      <c r="B1511" s="1455">
        <v>1261</v>
      </c>
      <c r="C1511" s="1100">
        <v>1.031343847843742</v>
      </c>
      <c r="D1511" s="1100">
        <v>0.9954196431802842</v>
      </c>
      <c r="E1511" s="1100">
        <v>0.99167357559798386</v>
      </c>
      <c r="F1511" s="1100">
        <v>1.0147119767937822</v>
      </c>
      <c r="G1511" s="1100">
        <v>1.0049346058514612</v>
      </c>
      <c r="H1511" s="1100">
        <v>0.97499574549566692</v>
      </c>
      <c r="I1511" s="1100">
        <v>0.99659567390819315</v>
      </c>
      <c r="K1511">
        <v>2.2058707801130706</v>
      </c>
      <c r="L1511">
        <v>0</v>
      </c>
      <c r="M1511">
        <v>1.4891294492127213E-3</v>
      </c>
      <c r="N1511">
        <v>0.13199307910909383</v>
      </c>
      <c r="O1511">
        <v>1.9166222536911449E-2</v>
      </c>
      <c r="P1511">
        <v>2.5998895972228563E-2</v>
      </c>
      <c r="Q1511">
        <v>5.3003898865791807E-3</v>
      </c>
      <c r="R1511">
        <v>1.4676628272286183E-3</v>
      </c>
      <c r="S1511">
        <v>0.23191328381998735</v>
      </c>
      <c r="T1511">
        <v>1.3636218630680019</v>
      </c>
      <c r="U1511">
        <v>0.13841491196979866</v>
      </c>
      <c r="V1511">
        <v>0.18347417920514794</v>
      </c>
      <c r="W1511">
        <v>8.7142075331789082E-2</v>
      </c>
      <c r="X1511">
        <v>1.4872851434720478E-2</v>
      </c>
      <c r="Y1511">
        <v>3.9944944007953304E-3</v>
      </c>
    </row>
    <row r="1512" spans="1:25" x14ac:dyDescent="0.25">
      <c r="A1512" s="1096"/>
      <c r="B1512" s="1455">
        <v>1262</v>
      </c>
      <c r="C1512" s="1100">
        <v>1.0064524413980245</v>
      </c>
      <c r="D1512" s="1100">
        <v>0.96412586768287989</v>
      </c>
      <c r="E1512" s="1100">
        <v>1.0013620423859499</v>
      </c>
      <c r="F1512" s="1100">
        <v>1.0005251505224797</v>
      </c>
      <c r="G1512" s="1100">
        <v>0.98730078858491654</v>
      </c>
      <c r="H1512" s="1100">
        <v>1.0126767624871311</v>
      </c>
      <c r="I1512" s="1100">
        <v>1.0376366331543152</v>
      </c>
      <c r="K1512">
        <v>2.2318743605711986</v>
      </c>
      <c r="L1512">
        <v>0</v>
      </c>
      <c r="M1512">
        <v>1.5643701770134506E-3</v>
      </c>
      <c r="N1512">
        <v>0.14285978553050704</v>
      </c>
      <c r="O1512">
        <v>1.9784801849527894E-2</v>
      </c>
      <c r="P1512">
        <v>2.6278007398716555E-2</v>
      </c>
      <c r="Q1512">
        <v>5.5251058898450247E-3</v>
      </c>
      <c r="R1512">
        <v>1.5426580355261056E-3</v>
      </c>
      <c r="S1512">
        <v>0.25466404464853953</v>
      </c>
      <c r="T1512">
        <v>1.3445715785432923</v>
      </c>
      <c r="U1512">
        <v>0.14186031619448333</v>
      </c>
      <c r="V1512">
        <v>0.18291172732833183</v>
      </c>
      <c r="W1512">
        <v>9.3773266054450452E-2</v>
      </c>
      <c r="X1512">
        <v>1.5468832639370189E-2</v>
      </c>
      <c r="Y1512">
        <v>4.1986066356173215E-3</v>
      </c>
    </row>
    <row r="1513" spans="1:25" x14ac:dyDescent="0.25">
      <c r="A1513" s="1096"/>
      <c r="B1513" s="1455">
        <v>1263</v>
      </c>
      <c r="C1513" s="1100">
        <v>1.0038504740362935</v>
      </c>
      <c r="D1513" s="1100">
        <v>0.98418808344031294</v>
      </c>
      <c r="E1513" s="1100">
        <v>1.0031634315420941</v>
      </c>
      <c r="F1513" s="1100">
        <v>0.98014750289908692</v>
      </c>
      <c r="G1513" s="1100">
        <v>1.0039542135762602</v>
      </c>
      <c r="H1513" s="1100">
        <v>1.0011145773793311</v>
      </c>
      <c r="I1513" s="1100">
        <v>1.014566494704993</v>
      </c>
      <c r="K1513">
        <v>2.1948516161028806</v>
      </c>
      <c r="L1513">
        <v>0</v>
      </c>
      <c r="M1513">
        <v>1.5377494102301933E-3</v>
      </c>
      <c r="N1513">
        <v>0.14117202329641443</v>
      </c>
      <c r="O1513">
        <v>1.9747536362663798E-2</v>
      </c>
      <c r="P1513">
        <v>2.58554006296077E-2</v>
      </c>
      <c r="Q1513">
        <v>5.5246812262559793E-3</v>
      </c>
      <c r="R1513">
        <v>1.5161602494434684E-3</v>
      </c>
      <c r="S1513">
        <v>0.24615963617369083</v>
      </c>
      <c r="T1513">
        <v>1.3171896515509496</v>
      </c>
      <c r="U1513">
        <v>0.14223214920832122</v>
      </c>
      <c r="V1513">
        <v>0.18494852612576559</v>
      </c>
      <c r="W1513">
        <v>9.2566435679416748E-2</v>
      </c>
      <c r="X1513">
        <v>1.535067661368934E-2</v>
      </c>
      <c r="Y1513">
        <v>4.1264883968932164E-3</v>
      </c>
    </row>
    <row r="1514" spans="1:25" x14ac:dyDescent="0.25">
      <c r="A1514" s="1096"/>
      <c r="B1514" s="1455">
        <v>1264</v>
      </c>
      <c r="C1514" s="1100">
        <v>0.99298269506155867</v>
      </c>
      <c r="D1514" s="1100">
        <v>0.97589145875275984</v>
      </c>
      <c r="E1514" s="1100">
        <v>1.0128575412949861</v>
      </c>
      <c r="F1514" s="1100">
        <v>1.0039067996134148</v>
      </c>
      <c r="G1514" s="1100">
        <v>0.97416119992850203</v>
      </c>
      <c r="H1514" s="1100">
        <v>1.0366771310070182</v>
      </c>
      <c r="I1514" s="1100">
        <v>1.0397787718896636</v>
      </c>
      <c r="K1514">
        <v>2.2539121966924123</v>
      </c>
      <c r="L1514">
        <v>0</v>
      </c>
      <c r="M1514">
        <v>1.580657114531253E-3</v>
      </c>
      <c r="N1514">
        <v>0.14949441383599352</v>
      </c>
      <c r="O1514">
        <v>2.0007019577829965E-2</v>
      </c>
      <c r="P1514">
        <v>2.6645735181570665E-2</v>
      </c>
      <c r="Q1514">
        <v>5.6518406631425946E-3</v>
      </c>
      <c r="R1514">
        <v>1.5592268205288243E-3</v>
      </c>
      <c r="S1514">
        <v>0.2592022221251144</v>
      </c>
      <c r="T1514">
        <v>1.3491362099167064</v>
      </c>
      <c r="U1514">
        <v>0.14381132493091045</v>
      </c>
      <c r="V1514">
        <v>0.18223647177199809</v>
      </c>
      <c r="W1514">
        <v>9.7463806602228434E-2</v>
      </c>
      <c r="X1514">
        <v>1.6040880974421575E-2</v>
      </c>
      <c r="Y1514">
        <v>4.2437014064962133E-3</v>
      </c>
    </row>
    <row r="1515" spans="1:25" x14ac:dyDescent="0.25">
      <c r="A1515" s="1096"/>
      <c r="B1515" s="1455">
        <v>1265</v>
      </c>
      <c r="C1515" s="1100">
        <v>1.0037464935818936</v>
      </c>
      <c r="D1515" s="1100">
        <v>1.0047098571709545</v>
      </c>
      <c r="E1515" s="1100">
        <v>1.0364892843858635</v>
      </c>
      <c r="F1515" s="1100">
        <v>1.033790166561835</v>
      </c>
      <c r="G1515" s="1100">
        <v>0.97039205365998504</v>
      </c>
      <c r="H1515" s="1100">
        <v>0.98287057037301029</v>
      </c>
      <c r="I1515" s="1100">
        <v>1.0221076039470747</v>
      </c>
      <c r="K1515">
        <v>2.2643026690266908</v>
      </c>
      <c r="L1515">
        <v>0</v>
      </c>
      <c r="M1515">
        <v>1.4023566517935506E-3</v>
      </c>
      <c r="N1515">
        <v>0.14232131260820352</v>
      </c>
      <c r="O1515">
        <v>1.9680900168496943E-2</v>
      </c>
      <c r="P1515">
        <v>2.7427305162988597E-2</v>
      </c>
      <c r="Q1515">
        <v>5.6915350928226629E-3</v>
      </c>
      <c r="R1515">
        <v>1.38230287742092E-3</v>
      </c>
      <c r="S1515">
        <v>0.24424302839417608</v>
      </c>
      <c r="T1515">
        <v>1.3893478900946796</v>
      </c>
      <c r="U1515">
        <v>0.14232355376641406</v>
      </c>
      <c r="V1515">
        <v>0.18119147669025917</v>
      </c>
      <c r="W1515">
        <v>9.1517842010492831E-2</v>
      </c>
      <c r="X1515">
        <v>1.6815706056209533E-2</v>
      </c>
      <c r="Y1515">
        <v>3.7621727563186681E-3</v>
      </c>
    </row>
    <row r="1516" spans="1:25" x14ac:dyDescent="0.25">
      <c r="A1516" s="1096"/>
      <c r="B1516" s="1455">
        <v>1266</v>
      </c>
      <c r="C1516" s="1100">
        <v>0.98691216890290334</v>
      </c>
      <c r="D1516" s="1100">
        <v>0.99183070735397127</v>
      </c>
      <c r="E1516" s="1100">
        <v>0.97103969679572444</v>
      </c>
      <c r="F1516" s="1100">
        <v>1.0231367607041546</v>
      </c>
      <c r="G1516" s="1100">
        <v>1.0298021864710838</v>
      </c>
      <c r="H1516" s="1100">
        <v>0.96980208781102639</v>
      </c>
      <c r="I1516" s="1100">
        <v>0.97911647022129245</v>
      </c>
      <c r="K1516">
        <v>2.2412453451794088</v>
      </c>
      <c r="L1516">
        <v>0</v>
      </c>
      <c r="M1516">
        <v>1.6166524700600958E-3</v>
      </c>
      <c r="N1516">
        <v>0.13461410705663421</v>
      </c>
      <c r="O1516">
        <v>2.0031980601928678E-2</v>
      </c>
      <c r="P1516">
        <v>2.5981334364787639E-2</v>
      </c>
      <c r="Q1516">
        <v>5.4249264554648959E-3</v>
      </c>
      <c r="R1516">
        <v>1.5932227266585786E-3</v>
      </c>
      <c r="S1516">
        <v>0.23796708902320762</v>
      </c>
      <c r="T1516">
        <v>1.3749185227875136</v>
      </c>
      <c r="U1516">
        <v>0.14459848517081397</v>
      </c>
      <c r="V1516">
        <v>0.18885691331149418</v>
      </c>
      <c r="W1516">
        <v>8.9985501933633749E-2</v>
      </c>
      <c r="X1516">
        <v>1.4553687161098573E-2</v>
      </c>
      <c r="Y1516">
        <v>4.3362270562339617E-3</v>
      </c>
    </row>
    <row r="1517" spans="1:25" x14ac:dyDescent="0.25">
      <c r="A1517" s="1096"/>
      <c r="B1517" s="1455">
        <v>1267</v>
      </c>
      <c r="C1517" s="1100">
        <v>1.0148607480101861</v>
      </c>
      <c r="D1517" s="1100">
        <v>0.98989790839021341</v>
      </c>
      <c r="E1517" s="1100">
        <v>1.0368271961796951</v>
      </c>
      <c r="F1517" s="1100">
        <v>1.0256334968146212</v>
      </c>
      <c r="G1517" s="1100">
        <v>1.0221273911554145</v>
      </c>
      <c r="H1517" s="1100">
        <v>1.0363289104808491</v>
      </c>
      <c r="I1517" s="1100">
        <v>0.97163701824989968</v>
      </c>
      <c r="K1517">
        <v>2.2590118672825525</v>
      </c>
      <c r="L1517">
        <v>0</v>
      </c>
      <c r="M1517">
        <v>1.4661901603476284E-3</v>
      </c>
      <c r="N1517">
        <v>0.14906264804946887</v>
      </c>
      <c r="O1517">
        <v>1.9529281324670991E-2</v>
      </c>
      <c r="P1517">
        <v>2.7208416760514043E-2</v>
      </c>
      <c r="Q1517">
        <v>5.6495686005258528E-3</v>
      </c>
      <c r="R1517">
        <v>1.4463051114313459E-3</v>
      </c>
      <c r="S1517">
        <v>0.23547159322403258</v>
      </c>
      <c r="T1517">
        <v>1.3783866710252963</v>
      </c>
      <c r="U1517">
        <v>0.1407656671809473</v>
      </c>
      <c r="V1517">
        <v>0.1863916336969528</v>
      </c>
      <c r="W1517">
        <v>9.5834067056351988E-2</v>
      </c>
      <c r="X1517">
        <v>1.6795839673741313E-2</v>
      </c>
      <c r="Y1517">
        <v>3.9363657389642759E-3</v>
      </c>
    </row>
    <row r="1518" spans="1:25" x14ac:dyDescent="0.25">
      <c r="A1518" s="1096"/>
      <c r="B1518" s="1455">
        <v>1268</v>
      </c>
      <c r="C1518" s="1100">
        <v>0.965864369636669</v>
      </c>
      <c r="D1518" s="1100">
        <v>0.99449042788359887</v>
      </c>
      <c r="E1518" s="1100">
        <v>0.9958840601230875</v>
      </c>
      <c r="F1518" s="1100">
        <v>0.95615081850413475</v>
      </c>
      <c r="G1518" s="1100">
        <v>1.0032085184589443</v>
      </c>
      <c r="H1518" s="1100">
        <v>0.99569198496841393</v>
      </c>
      <c r="I1518" s="1100">
        <v>0.98811988088011316</v>
      </c>
      <c r="K1518">
        <v>2.1781553719375566</v>
      </c>
      <c r="L1518">
        <v>0</v>
      </c>
      <c r="M1518">
        <v>1.61005952548841E-3</v>
      </c>
      <c r="N1518">
        <v>0.14458383683597945</v>
      </c>
      <c r="O1518">
        <v>2.0472499994509397E-2</v>
      </c>
      <c r="P1518">
        <v>2.5399435438417453E-2</v>
      </c>
      <c r="Q1518">
        <v>5.6857345048898162E-3</v>
      </c>
      <c r="R1518">
        <v>1.5873320656854247E-3</v>
      </c>
      <c r="S1518">
        <v>0.24737576160401098</v>
      </c>
      <c r="T1518">
        <v>1.2849302470998243</v>
      </c>
      <c r="U1518">
        <v>0.14780859170333394</v>
      </c>
      <c r="V1518">
        <v>0.18718190173349961</v>
      </c>
      <c r="W1518">
        <v>9.5214768343238401E-2</v>
      </c>
      <c r="X1518">
        <v>1.5205127520733193E-2</v>
      </c>
      <c r="Y1518">
        <v>4.3201946189209027E-3</v>
      </c>
    </row>
    <row r="1519" spans="1:25" x14ac:dyDescent="0.25">
      <c r="A1519" s="1096"/>
      <c r="B1519" s="1455">
        <v>1269</v>
      </c>
      <c r="C1519" s="1100">
        <v>0.99777846407629689</v>
      </c>
      <c r="D1519" s="1100">
        <v>0.990971427002177</v>
      </c>
      <c r="E1519" s="1100">
        <v>1.0257780016148108</v>
      </c>
      <c r="F1519" s="1100">
        <v>0.98869409084926696</v>
      </c>
      <c r="G1519" s="1100">
        <v>1.0133416464253153</v>
      </c>
      <c r="H1519" s="1100">
        <v>1.0381297939153795</v>
      </c>
      <c r="I1519" s="1100">
        <v>1.0073079066010517</v>
      </c>
      <c r="K1519">
        <v>2.2264816471462407</v>
      </c>
      <c r="L1519">
        <v>0</v>
      </c>
      <c r="M1519">
        <v>1.5283199133109436E-3</v>
      </c>
      <c r="N1519">
        <v>0.15029301582638815</v>
      </c>
      <c r="O1519">
        <v>1.9851928845986209E-2</v>
      </c>
      <c r="P1519">
        <v>2.6511129556862027E-2</v>
      </c>
      <c r="Q1519">
        <v>5.6805548860230284E-3</v>
      </c>
      <c r="R1519">
        <v>1.5076281932876504E-3</v>
      </c>
      <c r="S1519">
        <v>0.24822107711690522</v>
      </c>
      <c r="T1519">
        <v>1.3287177180164649</v>
      </c>
      <c r="U1519">
        <v>0.14315000463212224</v>
      </c>
      <c r="V1519">
        <v>0.18638969440153288</v>
      </c>
      <c r="W1519">
        <v>9.7246174356249007E-2</v>
      </c>
      <c r="X1519">
        <v>1.6337774275102523E-2</v>
      </c>
      <c r="Y1519">
        <v>4.1032669526286361E-3</v>
      </c>
    </row>
    <row r="1520" spans="1:25" x14ac:dyDescent="0.25">
      <c r="A1520" s="1096"/>
      <c r="B1520" s="1455">
        <v>1270</v>
      </c>
      <c r="C1520" s="1100">
        <v>0.99752181404864737</v>
      </c>
      <c r="D1520" s="1100">
        <v>1.0203553100514489</v>
      </c>
      <c r="E1520" s="1100">
        <v>1.0137017838180216</v>
      </c>
      <c r="F1520" s="1100">
        <v>0.99551917114835931</v>
      </c>
      <c r="G1520" s="1100">
        <v>1.0305731538415623</v>
      </c>
      <c r="H1520" s="1100">
        <v>0.98237966961007095</v>
      </c>
      <c r="I1520" s="1100">
        <v>1.0013647283076699</v>
      </c>
      <c r="K1520">
        <v>2.2100429251917655</v>
      </c>
      <c r="L1520">
        <v>0</v>
      </c>
      <c r="M1520">
        <v>1.4739193408517864E-3</v>
      </c>
      <c r="N1520">
        <v>0.13964893225524966</v>
      </c>
      <c r="O1520">
        <v>1.9722243163196877E-2</v>
      </c>
      <c r="P1520">
        <v>2.6299734856730917E-2</v>
      </c>
      <c r="Q1520">
        <v>5.5760887380775035E-3</v>
      </c>
      <c r="R1520">
        <v>1.4528316838763003E-3</v>
      </c>
      <c r="S1520">
        <v>0.23871928710787929</v>
      </c>
      <c r="T1520">
        <v>1.3378657732803991</v>
      </c>
      <c r="U1520">
        <v>0.143158879022837</v>
      </c>
      <c r="V1520">
        <v>0.18834170993684518</v>
      </c>
      <c r="W1520">
        <v>9.0999787323743656E-2</v>
      </c>
      <c r="X1520">
        <v>1.5777448246107079E-2</v>
      </c>
      <c r="Y1520">
        <v>3.9541289176754143E-3</v>
      </c>
    </row>
    <row r="1521" spans="1:25" x14ac:dyDescent="0.25">
      <c r="A1521" s="1096"/>
      <c r="B1521" s="1455">
        <v>1271</v>
      </c>
      <c r="C1521" s="1100">
        <v>0.99174102407382114</v>
      </c>
      <c r="D1521" s="1100">
        <v>0.97931892130046128</v>
      </c>
      <c r="E1521" s="1100">
        <v>0.98222202469293163</v>
      </c>
      <c r="F1521" s="1100">
        <v>0.99773126367755038</v>
      </c>
      <c r="G1521" s="1100">
        <v>1.0159628408538246</v>
      </c>
      <c r="H1521" s="1100">
        <v>0.98133848262393419</v>
      </c>
      <c r="I1521" s="1100">
        <v>0.98800451522458821</v>
      </c>
      <c r="K1521">
        <v>2.212153792021188</v>
      </c>
      <c r="L1521">
        <v>0</v>
      </c>
      <c r="M1521">
        <v>1.5951772360190753E-3</v>
      </c>
      <c r="N1521">
        <v>0.13742174260129877</v>
      </c>
      <c r="O1521">
        <v>1.999724582719457E-2</v>
      </c>
      <c r="P1521">
        <v>2.575765034885855E-2</v>
      </c>
      <c r="Q1521">
        <v>5.4775390959907319E-3</v>
      </c>
      <c r="R1521">
        <v>1.5723305038497265E-3</v>
      </c>
      <c r="S1521">
        <v>0.24149955767865947</v>
      </c>
      <c r="T1521">
        <v>1.3407899854662499</v>
      </c>
      <c r="U1521">
        <v>0.14392028690831168</v>
      </c>
      <c r="V1521">
        <v>0.18700932131659134</v>
      </c>
      <c r="W1521">
        <v>9.12424928423686E-2</v>
      </c>
      <c r="X1521">
        <v>1.4781451354963202E-2</v>
      </c>
      <c r="Y1521">
        <v>4.2793653128676626E-3</v>
      </c>
    </row>
    <row r="1522" spans="1:25" x14ac:dyDescent="0.25">
      <c r="A1522" s="1096"/>
      <c r="B1522" s="1455">
        <v>1272</v>
      </c>
      <c r="C1522" s="1100">
        <v>0.99511278688477878</v>
      </c>
      <c r="D1522" s="1100">
        <v>1.0296766411663119</v>
      </c>
      <c r="E1522" s="1100">
        <v>1.0283276622014623</v>
      </c>
      <c r="F1522" s="1100">
        <v>1.0107615904787723</v>
      </c>
      <c r="G1522" s="1100">
        <v>0.9966427667688682</v>
      </c>
      <c r="H1522" s="1100">
        <v>1.0324694981344704</v>
      </c>
      <c r="I1522" s="1100">
        <v>1.009789483717666</v>
      </c>
      <c r="K1522">
        <v>2.2489858070907522</v>
      </c>
      <c r="L1522">
        <v>0</v>
      </c>
      <c r="M1522">
        <v>1.5032615920494345E-3</v>
      </c>
      <c r="N1522">
        <v>0.14895846164090137</v>
      </c>
      <c r="O1522">
        <v>1.9739626050191417E-2</v>
      </c>
      <c r="P1522">
        <v>2.6901502092094697E-2</v>
      </c>
      <c r="Q1522">
        <v>5.6626996835349623E-3</v>
      </c>
      <c r="R1522">
        <v>1.4827975552516933E-3</v>
      </c>
      <c r="S1522">
        <v>0.24438410470833991</v>
      </c>
      <c r="T1522">
        <v>1.3583800929278658</v>
      </c>
      <c r="U1522">
        <v>0.143539393517743</v>
      </c>
      <c r="V1522">
        <v>0.18466393586907839</v>
      </c>
      <c r="W1522">
        <v>9.623978699564173E-2</v>
      </c>
      <c r="X1522">
        <v>1.6500981500846085E-2</v>
      </c>
      <c r="Y1522">
        <v>4.035686141312389E-3</v>
      </c>
    </row>
    <row r="1523" spans="1:25" x14ac:dyDescent="0.25">
      <c r="A1523" s="1096"/>
      <c r="B1523" s="1455">
        <v>1273</v>
      </c>
      <c r="C1523" s="1100">
        <v>1.0254529030370776</v>
      </c>
      <c r="D1523" s="1100">
        <v>1.0125125611744641</v>
      </c>
      <c r="E1523" s="1100">
        <v>0.95527903324142294</v>
      </c>
      <c r="F1523" s="1100">
        <v>1.0095484118465197</v>
      </c>
      <c r="G1523" s="1100">
        <v>0.99236058027047325</v>
      </c>
      <c r="H1523" s="1100">
        <v>0.98219515693600978</v>
      </c>
      <c r="I1523" s="1100">
        <v>1.0204395074067016</v>
      </c>
      <c r="K1523">
        <v>2.1982627248780342</v>
      </c>
      <c r="L1523">
        <v>0</v>
      </c>
      <c r="M1523">
        <v>1.6204562652452686E-3</v>
      </c>
      <c r="N1523">
        <v>0.12866373737768272</v>
      </c>
      <c r="O1523">
        <v>1.9182245085033221E-2</v>
      </c>
      <c r="P1523">
        <v>2.5257229714281883E-2</v>
      </c>
      <c r="Q1523">
        <v>5.1114805689744048E-3</v>
      </c>
      <c r="R1523">
        <v>1.5972677200431331E-3</v>
      </c>
      <c r="S1523">
        <v>0.23709974662737057</v>
      </c>
      <c r="T1523">
        <v>1.3566457189924046</v>
      </c>
      <c r="U1523">
        <v>0.13912870864618823</v>
      </c>
      <c r="V1523">
        <v>0.18235364937834439</v>
      </c>
      <c r="W1523">
        <v>8.6841402498152906E-2</v>
      </c>
      <c r="X1523">
        <v>1.3654758340005856E-2</v>
      </c>
      <c r="Y1523">
        <v>4.3472361947950065E-3</v>
      </c>
    </row>
    <row r="1524" spans="1:25" x14ac:dyDescent="0.25">
      <c r="A1524" s="1096"/>
      <c r="B1524" s="1455">
        <v>1274</v>
      </c>
      <c r="C1524" s="1100">
        <v>1.0237059464684974</v>
      </c>
      <c r="D1524" s="1100">
        <v>0.98807128971604086</v>
      </c>
      <c r="E1524" s="1100">
        <v>1.0208816536211816</v>
      </c>
      <c r="F1524" s="1100">
        <v>0.99903658397278161</v>
      </c>
      <c r="G1524" s="1100">
        <v>0.99250598188585049</v>
      </c>
      <c r="H1524" s="1100">
        <v>0.97174918439752589</v>
      </c>
      <c r="I1524" s="1100">
        <v>0.97958445052932241</v>
      </c>
      <c r="K1524">
        <v>2.1908354866390511</v>
      </c>
      <c r="L1524">
        <v>0</v>
      </c>
      <c r="M1524">
        <v>1.4095561626308105E-3</v>
      </c>
      <c r="N1524">
        <v>0.13645393320857591</v>
      </c>
      <c r="O1524">
        <v>1.9358611242672501E-2</v>
      </c>
      <c r="P1524">
        <v>2.6259012525807326E-2</v>
      </c>
      <c r="Q1524">
        <v>5.5125445586539298E-3</v>
      </c>
      <c r="R1524">
        <v>1.3891687470021258E-3</v>
      </c>
      <c r="S1524">
        <v>0.23047485168760609</v>
      </c>
      <c r="T1524">
        <v>1.3426068746100512</v>
      </c>
      <c r="U1524">
        <v>0.13951338205767028</v>
      </c>
      <c r="V1524">
        <v>0.18252377739375764</v>
      </c>
      <c r="W1524">
        <v>8.8544303028192453E-2</v>
      </c>
      <c r="X1524">
        <v>1.5827724351704257E-2</v>
      </c>
      <c r="Y1524">
        <v>3.7808593899854104E-3</v>
      </c>
    </row>
    <row r="1525" spans="1:25" x14ac:dyDescent="0.25">
      <c r="A1525" s="1096"/>
      <c r="B1525" s="1455">
        <v>1275</v>
      </c>
      <c r="C1525" s="1100">
        <v>1.0245395147940153</v>
      </c>
      <c r="D1525" s="1100">
        <v>0.99538273195664806</v>
      </c>
      <c r="E1525" s="1100">
        <v>1.0198443116157154</v>
      </c>
      <c r="F1525" s="1100">
        <v>1.0417006798430708</v>
      </c>
      <c r="G1525" s="1100">
        <v>1.0030978408331392</v>
      </c>
      <c r="H1525" s="1100">
        <v>0.99586842163910794</v>
      </c>
      <c r="I1525" s="1100">
        <v>0.99099594276603475</v>
      </c>
      <c r="K1525">
        <v>2.2587818615753368</v>
      </c>
      <c r="L1525">
        <v>0</v>
      </c>
      <c r="M1525">
        <v>1.4441412993230298E-3</v>
      </c>
      <c r="N1525">
        <v>0.13941472297405544</v>
      </c>
      <c r="O1525">
        <v>1.9310878342355536E-2</v>
      </c>
      <c r="P1525">
        <v>2.7095604399128059E-2</v>
      </c>
      <c r="Q1525">
        <v>5.4932853365559668E-3</v>
      </c>
      <c r="R1525">
        <v>1.4237595383752592E-3</v>
      </c>
      <c r="S1525">
        <v>0.2339736760290381</v>
      </c>
      <c r="T1525">
        <v>1.3999410274839503</v>
      </c>
      <c r="U1525">
        <v>0.1393975352330955</v>
      </c>
      <c r="V1525">
        <v>0.18367289472160264</v>
      </c>
      <c r="W1525">
        <v>9.0520449851062057E-2</v>
      </c>
      <c r="X1525">
        <v>1.6107164844187252E-2</v>
      </c>
      <c r="Y1525">
        <v>3.8750041212517691E-3</v>
      </c>
    </row>
    <row r="1526" spans="1:25" x14ac:dyDescent="0.25">
      <c r="A1526" s="1096"/>
      <c r="B1526" s="1455">
        <v>1276</v>
      </c>
      <c r="C1526" s="1100">
        <v>1.0053874129338507</v>
      </c>
      <c r="D1526" s="1100">
        <v>0.96075876092037948</v>
      </c>
      <c r="E1526" s="1100">
        <v>1.0215122820171931</v>
      </c>
      <c r="F1526" s="1100">
        <v>1.0156161918241258</v>
      </c>
      <c r="G1526" s="1100">
        <v>0.98133955169354115</v>
      </c>
      <c r="H1526" s="1100">
        <v>0.98569842533472352</v>
      </c>
      <c r="I1526" s="1100">
        <v>0.98273733335288549</v>
      </c>
      <c r="K1526">
        <v>2.2354651456997341</v>
      </c>
      <c r="L1526">
        <v>0</v>
      </c>
      <c r="M1526">
        <v>1.4629259960766284E-3</v>
      </c>
      <c r="N1526">
        <v>0.14191960035639545</v>
      </c>
      <c r="O1526">
        <v>1.9833662937287208E-2</v>
      </c>
      <c r="P1526">
        <v>2.6742998887135563E-2</v>
      </c>
      <c r="Q1526">
        <v>5.6513595413691916E-3</v>
      </c>
      <c r="R1526">
        <v>1.4420660937062521E-3</v>
      </c>
      <c r="S1526">
        <v>0.23989157292868427</v>
      </c>
      <c r="T1526">
        <v>1.3648895482855963</v>
      </c>
      <c r="U1526">
        <v>0.14205681669171333</v>
      </c>
      <c r="V1526">
        <v>0.18231843619061688</v>
      </c>
      <c r="W1526">
        <v>9.2057009394265893E-2</v>
      </c>
      <c r="X1526">
        <v>1.6200171858929205E-2</v>
      </c>
      <c r="Y1526">
        <v>3.9248285301083895E-3</v>
      </c>
    </row>
    <row r="1527" spans="1:25" x14ac:dyDescent="0.25">
      <c r="A1527" s="1096"/>
      <c r="B1527" s="1455">
        <v>1277</v>
      </c>
      <c r="C1527" s="1100">
        <v>0.99089747123499439</v>
      </c>
      <c r="D1527" s="1100">
        <v>1.0460771214956763</v>
      </c>
      <c r="E1527" s="1100">
        <v>1.0114382646056508</v>
      </c>
      <c r="F1527" s="1100">
        <v>1.0345575509569112</v>
      </c>
      <c r="G1527" s="1100">
        <v>0.97715093134173037</v>
      </c>
      <c r="H1527" s="1100">
        <v>1.0026019647625286</v>
      </c>
      <c r="I1527" s="1100">
        <v>1.0216733707345775</v>
      </c>
      <c r="K1527">
        <v>2.2686377213698292</v>
      </c>
      <c r="L1527">
        <v>0</v>
      </c>
      <c r="M1527">
        <v>1.513146381423323E-3</v>
      </c>
      <c r="N1527">
        <v>0.14243107563050758</v>
      </c>
      <c r="O1527">
        <v>1.9744227817511541E-2</v>
      </c>
      <c r="P1527">
        <v>2.6983298332021264E-2</v>
      </c>
      <c r="Q1527">
        <v>5.5697055278017592E-3</v>
      </c>
      <c r="R1527">
        <v>1.4919341493862838E-3</v>
      </c>
      <c r="S1527">
        <v>0.24381698687687478</v>
      </c>
      <c r="T1527">
        <v>1.3903245998848022</v>
      </c>
      <c r="U1527">
        <v>0.14411065464156403</v>
      </c>
      <c r="V1527">
        <v>0.18269885970966107</v>
      </c>
      <c r="W1527">
        <v>9.2936435477564E-2</v>
      </c>
      <c r="X1527">
        <v>1.5982536764887884E-2</v>
      </c>
      <c r="Y1527">
        <v>4.0605529386692988E-3</v>
      </c>
    </row>
    <row r="1528" spans="1:25" x14ac:dyDescent="0.25">
      <c r="A1528" s="1096"/>
      <c r="B1528" s="1455">
        <v>1278</v>
      </c>
      <c r="C1528" s="1100">
        <v>1.0004893696132431</v>
      </c>
      <c r="D1528" s="1100">
        <v>0.99853679612602508</v>
      </c>
      <c r="E1528" s="1100">
        <v>0.99875629282496781</v>
      </c>
      <c r="F1528" s="1100">
        <v>1.0345808639607186</v>
      </c>
      <c r="G1528" s="1100">
        <v>1.037659833864834</v>
      </c>
      <c r="H1528" s="1100">
        <v>1.0076068435555139</v>
      </c>
      <c r="I1528" s="1100">
        <v>1.0176302100226551</v>
      </c>
      <c r="K1528">
        <v>2.2748286200712444</v>
      </c>
      <c r="L1528">
        <v>0</v>
      </c>
      <c r="M1528">
        <v>1.5622025175932898E-3</v>
      </c>
      <c r="N1528">
        <v>0.14153311347142644</v>
      </c>
      <c r="O1528">
        <v>1.9748131942606398E-2</v>
      </c>
      <c r="P1528">
        <v>2.6832449804646892E-2</v>
      </c>
      <c r="Q1528">
        <v>5.500440033097501E-3</v>
      </c>
      <c r="R1528">
        <v>1.540411365006358E-3</v>
      </c>
      <c r="S1528">
        <v>0.24644213773397491</v>
      </c>
      <c r="T1528">
        <v>1.3903335932417147</v>
      </c>
      <c r="U1528">
        <v>0.14269982929502703</v>
      </c>
      <c r="V1528">
        <v>0.18895315630990733</v>
      </c>
      <c r="W1528">
        <v>9.3046421713408156E-2</v>
      </c>
      <c r="X1528">
        <v>1.5568645738944108E-2</v>
      </c>
      <c r="Y1528">
        <v>4.1924919390773051E-3</v>
      </c>
    </row>
    <row r="1529" spans="1:25" x14ac:dyDescent="0.25">
      <c r="A1529" s="1096"/>
      <c r="B1529" s="1455">
        <v>1279</v>
      </c>
      <c r="C1529" s="1100">
        <v>1.0021600869858793</v>
      </c>
      <c r="D1529" s="1100">
        <v>0.99478241814809731</v>
      </c>
      <c r="E1529" s="1100">
        <v>0.98727621540568922</v>
      </c>
      <c r="F1529" s="1100">
        <v>1.0157157124691327</v>
      </c>
      <c r="G1529" s="1100">
        <v>1.0031885254519852</v>
      </c>
      <c r="H1529" s="1100">
        <v>0.97533501438953463</v>
      </c>
      <c r="I1529" s="1100">
        <v>0.98888549925737346</v>
      </c>
      <c r="K1529">
        <v>2.2244620843158973</v>
      </c>
      <c r="L1529">
        <v>0</v>
      </c>
      <c r="M1529">
        <v>1.5472696290928225E-3</v>
      </c>
      <c r="N1529">
        <v>0.13533579875804821</v>
      </c>
      <c r="O1529">
        <v>1.9724398764912415E-2</v>
      </c>
      <c r="P1529">
        <v>2.6072686597046663E-2</v>
      </c>
      <c r="Q1529">
        <v>5.4305546964276783E-3</v>
      </c>
      <c r="R1529">
        <v>1.5249726430360635E-3</v>
      </c>
      <c r="S1529">
        <v>0.23689038725039568</v>
      </c>
      <c r="T1529">
        <v>1.36496464845498</v>
      </c>
      <c r="U1529">
        <v>0.14243558745845775</v>
      </c>
      <c r="V1529">
        <v>0.18494786812710221</v>
      </c>
      <c r="W1529">
        <v>8.9584724227341997E-2</v>
      </c>
      <c r="X1529">
        <v>1.4947254139990592E-2</v>
      </c>
      <c r="Y1529">
        <v>4.1504728272474941E-3</v>
      </c>
    </row>
    <row r="1530" spans="1:25" x14ac:dyDescent="0.25">
      <c r="A1530" s="1096"/>
      <c r="B1530" s="1455">
        <v>1280</v>
      </c>
      <c r="C1530" s="1100">
        <v>0.97984571168225432</v>
      </c>
      <c r="D1530" s="1100">
        <v>0.98047206909867612</v>
      </c>
      <c r="E1530" s="1100">
        <v>0.96509018060551099</v>
      </c>
      <c r="F1530" s="1100">
        <v>1.0326282398358504</v>
      </c>
      <c r="G1530" s="1100">
        <v>1.0120834292358816</v>
      </c>
      <c r="H1530" s="1100">
        <v>0.96226256639892527</v>
      </c>
      <c r="I1530" s="1100">
        <v>0.97915760249387795</v>
      </c>
      <c r="K1530">
        <v>2.2556233542143391</v>
      </c>
      <c r="L1530">
        <v>0</v>
      </c>
      <c r="M1530">
        <v>1.6397628213884077E-3</v>
      </c>
      <c r="N1530">
        <v>0.13408500071297066</v>
      </c>
      <c r="O1530">
        <v>2.0223850142271457E-2</v>
      </c>
      <c r="P1530">
        <v>2.6057938409686319E-2</v>
      </c>
      <c r="Q1530">
        <v>5.4436483495147684E-3</v>
      </c>
      <c r="R1530">
        <v>1.6158119443626675E-3</v>
      </c>
      <c r="S1530">
        <v>0.24043606628128306</v>
      </c>
      <c r="T1530">
        <v>1.387667958562103</v>
      </c>
      <c r="U1530">
        <v>0.1456273948256219</v>
      </c>
      <c r="V1530">
        <v>0.18728220613602245</v>
      </c>
      <c r="W1530">
        <v>8.9957463340043162E-2</v>
      </c>
      <c r="X1530">
        <v>1.4468070871556301E-2</v>
      </c>
      <c r="Y1530">
        <v>4.3977074602908747E-3</v>
      </c>
    </row>
    <row r="1531" spans="1:25" x14ac:dyDescent="0.25">
      <c r="A1531" s="1096"/>
      <c r="B1531" s="1455">
        <v>1281</v>
      </c>
      <c r="C1531" s="1100">
        <v>1.0234306710627696</v>
      </c>
      <c r="D1531" s="1100">
        <v>1.0301936824660731</v>
      </c>
      <c r="E1531" s="1100">
        <v>0.99531605122378153</v>
      </c>
      <c r="F1531" s="1100">
        <v>1.0212597045906846</v>
      </c>
      <c r="G1531" s="1100">
        <v>0.9994959925396425</v>
      </c>
      <c r="H1531" s="1100">
        <v>0.9901914412986067</v>
      </c>
      <c r="I1531" s="1100">
        <v>1.0066060213560482</v>
      </c>
      <c r="K1531">
        <v>2.2214781921662383</v>
      </c>
      <c r="L1531">
        <v>0</v>
      </c>
      <c r="M1531">
        <v>1.5011881667761331E-3</v>
      </c>
      <c r="N1531">
        <v>0.13456523605276921</v>
      </c>
      <c r="O1531">
        <v>1.9171265393192576E-2</v>
      </c>
      <c r="P1531">
        <v>2.6220384503033763E-2</v>
      </c>
      <c r="Q1531">
        <v>5.3213020398189381E-3</v>
      </c>
      <c r="R1531">
        <v>1.4798798109165253E-3</v>
      </c>
      <c r="S1531">
        <v>0.23325699087061175</v>
      </c>
      <c r="T1531">
        <v>1.3724264302370361</v>
      </c>
      <c r="U1531">
        <v>0.13949332325003339</v>
      </c>
      <c r="V1531">
        <v>0.18330718417078859</v>
      </c>
      <c r="W1531">
        <v>8.8647108141076139E-2</v>
      </c>
      <c r="X1531">
        <v>1.5062530860669894E-2</v>
      </c>
      <c r="Y1531">
        <v>4.0277450030662236E-3</v>
      </c>
    </row>
    <row r="1532" spans="1:25" x14ac:dyDescent="0.25">
      <c r="A1532" s="1096"/>
      <c r="B1532" s="1455">
        <v>1282</v>
      </c>
      <c r="C1532" s="1100">
        <v>1.0397963907938985</v>
      </c>
      <c r="D1532" s="1100">
        <v>0.97855876607352621</v>
      </c>
      <c r="E1532" s="1100">
        <v>0.99406578506847953</v>
      </c>
      <c r="F1532" s="1100">
        <v>1.028197945260326</v>
      </c>
      <c r="G1532" s="1100">
        <v>1.0095499420072562</v>
      </c>
      <c r="H1532" s="1100">
        <v>1.0232087520026814</v>
      </c>
      <c r="I1532" s="1100">
        <v>0.98105922007674906</v>
      </c>
      <c r="K1532">
        <v>2.2339936500867359</v>
      </c>
      <c r="L1532">
        <v>0</v>
      </c>
      <c r="M1532">
        <v>1.5482060128826274E-3</v>
      </c>
      <c r="N1532">
        <v>0.1383206817509213</v>
      </c>
      <c r="O1532">
        <v>1.9083444874180566E-2</v>
      </c>
      <c r="P1532">
        <v>2.6279548998529727E-2</v>
      </c>
      <c r="Q1532">
        <v>5.2902537365431736E-3</v>
      </c>
      <c r="R1532">
        <v>1.5269393924175003E-3</v>
      </c>
      <c r="S1532">
        <v>0.23207444043206096</v>
      </c>
      <c r="T1532">
        <v>1.3817485314843898</v>
      </c>
      <c r="U1532">
        <v>0.1372950229375591</v>
      </c>
      <c r="V1532">
        <v>0.18353034205686586</v>
      </c>
      <c r="W1532">
        <v>9.1189092102629182E-2</v>
      </c>
      <c r="X1532">
        <v>1.5047732662797207E-2</v>
      </c>
      <c r="Y1532">
        <v>4.1558256707250061E-3</v>
      </c>
    </row>
    <row r="1533" spans="1:25" x14ac:dyDescent="0.25">
      <c r="A1533" s="1096"/>
      <c r="B1533" s="1455">
        <v>1283</v>
      </c>
      <c r="C1533" s="1100">
        <v>0.97768433115117237</v>
      </c>
      <c r="D1533" s="1100">
        <v>1.0287103365498174</v>
      </c>
      <c r="E1533" s="1100">
        <v>0.99020925476177812</v>
      </c>
      <c r="F1533" s="1100">
        <v>1.0450994955768382</v>
      </c>
      <c r="G1533" s="1100">
        <v>0.99823599286423426</v>
      </c>
      <c r="H1533" s="1100">
        <v>1.0008819774085609</v>
      </c>
      <c r="I1533" s="1100">
        <v>0.97541098463274767</v>
      </c>
      <c r="K1533">
        <v>2.2813708586551962</v>
      </c>
      <c r="L1533">
        <v>0</v>
      </c>
      <c r="M1533">
        <v>1.6058005166548811E-3</v>
      </c>
      <c r="N1533">
        <v>0.14175942671961225</v>
      </c>
      <c r="O1533">
        <v>2.0071422244300089E-2</v>
      </c>
      <c r="P1533">
        <v>2.6735515400030645E-2</v>
      </c>
      <c r="Q1533">
        <v>5.5425163192563687E-3</v>
      </c>
      <c r="R1533">
        <v>1.5832507163049887E-3</v>
      </c>
      <c r="S1533">
        <v>0.23758428683717175</v>
      </c>
      <c r="T1533">
        <v>1.40445603093532</v>
      </c>
      <c r="U1533">
        <v>0.14600827370507483</v>
      </c>
      <c r="V1533">
        <v>0.1858722604298213</v>
      </c>
      <c r="W1533">
        <v>9.3671909594178496E-2</v>
      </c>
      <c r="X1533">
        <v>1.5382679739454092E-2</v>
      </c>
      <c r="Y1533">
        <v>4.3090865313238167E-3</v>
      </c>
    </row>
    <row r="1534" spans="1:25" x14ac:dyDescent="0.25">
      <c r="A1534" s="1096"/>
      <c r="B1534" s="1455">
        <v>1284</v>
      </c>
      <c r="C1534" s="1100">
        <v>0.98906255275639254</v>
      </c>
      <c r="D1534" s="1100">
        <v>0.97629173294079186</v>
      </c>
      <c r="E1534" s="1100">
        <v>0.9780723806251872</v>
      </c>
      <c r="F1534" s="1100">
        <v>0.9846744843491585</v>
      </c>
      <c r="G1534" s="1100">
        <v>1.0193095135538051</v>
      </c>
      <c r="H1534" s="1100">
        <v>0.98153198602716019</v>
      </c>
      <c r="I1534" s="1100">
        <v>1.0340928075832574</v>
      </c>
      <c r="K1534">
        <v>2.2078155824799204</v>
      </c>
      <c r="L1534">
        <v>0</v>
      </c>
      <c r="M1534">
        <v>1.6146986043637024E-3</v>
      </c>
      <c r="N1534">
        <v>0.13736830345933052</v>
      </c>
      <c r="O1534">
        <v>2.0062435521207556E-2</v>
      </c>
      <c r="P1534">
        <v>2.5618928494925652E-2</v>
      </c>
      <c r="Q1534">
        <v>5.4722683302523565E-3</v>
      </c>
      <c r="R1534">
        <v>1.5915768389901282E-3</v>
      </c>
      <c r="S1534">
        <v>0.25382780270923977</v>
      </c>
      <c r="T1534">
        <v>1.3232390486229122</v>
      </c>
      <c r="U1534">
        <v>0.14430040750141618</v>
      </c>
      <c r="V1534">
        <v>0.18754605197690269</v>
      </c>
      <c r="W1534">
        <v>9.1435804391854836E-2</v>
      </c>
      <c r="X1534">
        <v>1.4635905744684543E-2</v>
      </c>
      <c r="Y1534">
        <v>4.3317474925671619E-3</v>
      </c>
    </row>
    <row r="1535" spans="1:25" x14ac:dyDescent="0.25">
      <c r="A1535" s="1096"/>
      <c r="B1535" s="1455">
        <v>1285</v>
      </c>
      <c r="C1535" s="1100">
        <v>1.0168265462852744</v>
      </c>
      <c r="D1535" s="1100">
        <v>0.99425723159071899</v>
      </c>
      <c r="E1535" s="1100">
        <v>0.98817851932284895</v>
      </c>
      <c r="F1535" s="1100">
        <v>1.0301736449139143</v>
      </c>
      <c r="G1535" s="1100">
        <v>0.99161660038200727</v>
      </c>
      <c r="H1535" s="1100">
        <v>1.0383937985412395</v>
      </c>
      <c r="I1535" s="1100">
        <v>1.0089736972396233</v>
      </c>
      <c r="K1535">
        <v>2.2578178638983823</v>
      </c>
      <c r="L1535">
        <v>0</v>
      </c>
      <c r="M1535">
        <v>1.6207038500860799E-3</v>
      </c>
      <c r="N1535">
        <v>0.14227243812114077</v>
      </c>
      <c r="O1535">
        <v>1.9442711375254648E-2</v>
      </c>
      <c r="P1535">
        <v>2.6382962158068117E-2</v>
      </c>
      <c r="Q1535">
        <v>5.357890476056359E-3</v>
      </c>
      <c r="R1535">
        <v>1.5987669349620461E-3</v>
      </c>
      <c r="S1535">
        <v>0.24330490570389021</v>
      </c>
      <c r="T1535">
        <v>1.3843951020484004</v>
      </c>
      <c r="U1535">
        <v>0.14038317013929252</v>
      </c>
      <c r="V1535">
        <v>0.182786887661854</v>
      </c>
      <c r="W1535">
        <v>9.4125407804411337E-2</v>
      </c>
      <c r="X1535">
        <v>1.5037008761548894E-2</v>
      </c>
      <c r="Y1535">
        <v>4.351316563588223E-3</v>
      </c>
    </row>
    <row r="1536" spans="1:25" x14ac:dyDescent="0.25">
      <c r="A1536" s="1096"/>
      <c r="B1536" s="1455">
        <v>1286</v>
      </c>
      <c r="C1536" s="1100">
        <v>1.0354809490263195</v>
      </c>
      <c r="D1536" s="1100">
        <v>0.98283079848679022</v>
      </c>
      <c r="E1536" s="1100">
        <v>1.0183592206277412</v>
      </c>
      <c r="F1536" s="1100">
        <v>1.0012667193278251</v>
      </c>
      <c r="G1536" s="1100">
        <v>0.97295700822933151</v>
      </c>
      <c r="H1536" s="1100">
        <v>0.98710229113757098</v>
      </c>
      <c r="I1536" s="1100">
        <v>0.97175939034190395</v>
      </c>
      <c r="K1536">
        <v>2.1870512465124712</v>
      </c>
      <c r="L1536">
        <v>0</v>
      </c>
      <c r="M1536">
        <v>1.4246584527372568E-3</v>
      </c>
      <c r="N1536">
        <v>0.13690163720057097</v>
      </c>
      <c r="O1536">
        <v>1.9159345942510422E-2</v>
      </c>
      <c r="P1536">
        <v>2.6152907790632434E-2</v>
      </c>
      <c r="Q1536">
        <v>5.442134893298636E-3</v>
      </c>
      <c r="R1536">
        <v>1.404373099431238E-3</v>
      </c>
      <c r="S1536">
        <v>0.22778113285566698</v>
      </c>
      <c r="T1536">
        <v>1.3455988685746545</v>
      </c>
      <c r="U1536">
        <v>0.13792127620528971</v>
      </c>
      <c r="V1536">
        <v>0.17965270419664703</v>
      </c>
      <c r="W1536">
        <v>8.896605061771011E-2</v>
      </c>
      <c r="X1536">
        <v>1.5673232963611939E-2</v>
      </c>
      <c r="Y1536">
        <v>3.8222406251840224E-3</v>
      </c>
    </row>
    <row r="1537" spans="1:25" x14ac:dyDescent="0.25">
      <c r="A1537" s="1096"/>
      <c r="B1537" s="1455">
        <v>1287</v>
      </c>
      <c r="C1537" s="1100">
        <v>1.0084923714583056</v>
      </c>
      <c r="D1537" s="1100">
        <v>1.0015120012398278</v>
      </c>
      <c r="E1537" s="1100">
        <v>0.97950963870031993</v>
      </c>
      <c r="F1537" s="1100">
        <v>0.98571318519306483</v>
      </c>
      <c r="G1537" s="1100">
        <v>1.0085096170105017</v>
      </c>
      <c r="H1537" s="1100">
        <v>0.97713505609000706</v>
      </c>
      <c r="I1537" s="1100">
        <v>1.024393433055439</v>
      </c>
      <c r="K1537">
        <v>2.1858141110519766</v>
      </c>
      <c r="L1537">
        <v>0</v>
      </c>
      <c r="M1537">
        <v>1.5630233315505582E-3</v>
      </c>
      <c r="N1537">
        <v>0.13354292941920887</v>
      </c>
      <c r="O1537">
        <v>1.9566702497065925E-2</v>
      </c>
      <c r="P1537">
        <v>2.5452567150624852E-2</v>
      </c>
      <c r="Q1537">
        <v>5.3448586979755863E-3</v>
      </c>
      <c r="R1537">
        <v>1.5405408190648274E-3</v>
      </c>
      <c r="S1537">
        <v>0.2431197101152239</v>
      </c>
      <c r="T1537">
        <v>1.3246364878061809</v>
      </c>
      <c r="U1537">
        <v>0.1415235565222929</v>
      </c>
      <c r="V1537">
        <v>0.18517122137435871</v>
      </c>
      <c r="W1537">
        <v>8.8812355800610643E-2</v>
      </c>
      <c r="X1537">
        <v>1.4473359910568936E-2</v>
      </c>
      <c r="Y1537">
        <v>4.1928442703499415E-3</v>
      </c>
    </row>
    <row r="1538" spans="1:25" x14ac:dyDescent="0.25">
      <c r="A1538" s="1096"/>
      <c r="B1538" s="1455">
        <v>1288</v>
      </c>
      <c r="C1538" s="1100">
        <v>0.99290778312202044</v>
      </c>
      <c r="D1538" s="1100">
        <v>1.0020057297989202</v>
      </c>
      <c r="E1538" s="1100">
        <v>1.0170358578556837</v>
      </c>
      <c r="F1538" s="1100">
        <v>1.0001291258311589</v>
      </c>
      <c r="G1538" s="1100">
        <v>1.0276944071462617</v>
      </c>
      <c r="H1538" s="1100">
        <v>0.96457110422696546</v>
      </c>
      <c r="I1538" s="1100">
        <v>0.9813185125023387</v>
      </c>
      <c r="K1538">
        <v>2.2126545026577369</v>
      </c>
      <c r="L1538">
        <v>0</v>
      </c>
      <c r="M1538">
        <v>1.4496572377195097E-3</v>
      </c>
      <c r="N1538">
        <v>0.13870193733387373</v>
      </c>
      <c r="O1538">
        <v>1.989525654125076E-2</v>
      </c>
      <c r="P1538">
        <v>2.6418017260167563E-2</v>
      </c>
      <c r="Q1538">
        <v>5.6437280482987693E-3</v>
      </c>
      <c r="R1538">
        <v>1.4285337776776786E-3</v>
      </c>
      <c r="S1538">
        <v>0.23577949629697292</v>
      </c>
      <c r="T1538">
        <v>1.3440674484541644</v>
      </c>
      <c r="U1538">
        <v>0.14383188584529025</v>
      </c>
      <c r="V1538">
        <v>0.18829575932480061</v>
      </c>
      <c r="W1538">
        <v>9.0205922782129633E-2</v>
      </c>
      <c r="X1538">
        <v>1.5948176204023251E-2</v>
      </c>
      <c r="Y1538">
        <v>3.887998026805391E-3</v>
      </c>
    </row>
    <row r="1539" spans="1:25" x14ac:dyDescent="0.25">
      <c r="A1539" s="1096"/>
      <c r="B1539" s="1455">
        <v>1289</v>
      </c>
      <c r="C1539" s="1100">
        <v>1.0090085744190618</v>
      </c>
      <c r="D1539" s="1100">
        <v>0.96961507625357979</v>
      </c>
      <c r="E1539" s="1100">
        <v>1.0019150400013013</v>
      </c>
      <c r="F1539" s="1100">
        <v>0.96772046325250949</v>
      </c>
      <c r="G1539" s="1100">
        <v>1.0032727443586336</v>
      </c>
      <c r="H1539" s="1100">
        <v>0.98698447569660019</v>
      </c>
      <c r="I1539" s="1100">
        <v>0.99241170749825935</v>
      </c>
      <c r="K1539">
        <v>2.166484763169588</v>
      </c>
      <c r="L1539">
        <v>0</v>
      </c>
      <c r="M1539">
        <v>1.5171784620819895E-3</v>
      </c>
      <c r="N1539">
        <v>0.13873099152766694</v>
      </c>
      <c r="O1539">
        <v>1.9710392171393736E-2</v>
      </c>
      <c r="P1539">
        <v>2.5506880049010049E-2</v>
      </c>
      <c r="Q1539">
        <v>5.5073839554493952E-3</v>
      </c>
      <c r="R1539">
        <v>1.4955731609408766E-3</v>
      </c>
      <c r="S1539">
        <v>0.24022175466011522</v>
      </c>
      <c r="T1539">
        <v>1.3004873507338257</v>
      </c>
      <c r="U1539">
        <v>0.1415022019565591</v>
      </c>
      <c r="V1539">
        <v>0.18456828547607179</v>
      </c>
      <c r="W1539">
        <v>9.1033236437683671E-2</v>
      </c>
      <c r="X1539">
        <v>1.5167434374430211E-2</v>
      </c>
      <c r="Y1539">
        <v>4.0704571285210631E-3</v>
      </c>
    </row>
    <row r="1540" spans="1:25" x14ac:dyDescent="0.25">
      <c r="A1540" s="1096"/>
      <c r="B1540" s="1455">
        <v>1290</v>
      </c>
      <c r="C1540" s="1100">
        <v>0.97871734131670374</v>
      </c>
      <c r="D1540" s="1100">
        <v>1.0100326023309547</v>
      </c>
      <c r="E1540" s="1100">
        <v>0.98977979569496077</v>
      </c>
      <c r="F1540" s="1100">
        <v>0.99856499013114741</v>
      </c>
      <c r="G1540" s="1100">
        <v>0.98653174954638645</v>
      </c>
      <c r="H1540" s="1100">
        <v>0.9987983209324276</v>
      </c>
      <c r="I1540" s="1100">
        <v>0.97862600727426119</v>
      </c>
      <c r="K1540">
        <v>2.2189107678078726</v>
      </c>
      <c r="L1540">
        <v>0</v>
      </c>
      <c r="M1540">
        <v>1.6086622620634847E-3</v>
      </c>
      <c r="N1540">
        <v>0.14182357153624109</v>
      </c>
      <c r="O1540">
        <v>2.0130952514650288E-2</v>
      </c>
      <c r="P1540">
        <v>2.5893673990996183E-2</v>
      </c>
      <c r="Q1540">
        <v>5.5565424614158389E-3</v>
      </c>
      <c r="R1540">
        <v>1.5860251486324367E-3</v>
      </c>
      <c r="S1540">
        <v>0.24012052640615322</v>
      </c>
      <c r="T1540">
        <v>1.3419200878122293</v>
      </c>
      <c r="U1540">
        <v>0.14585315720152794</v>
      </c>
      <c r="V1540">
        <v>0.18448481094921246</v>
      </c>
      <c r="W1540">
        <v>9.3738408538783694E-2</v>
      </c>
      <c r="X1540">
        <v>1.5095035888562465E-2</v>
      </c>
      <c r="Y1540">
        <v>4.3166376215277606E-3</v>
      </c>
    </row>
    <row r="1541" spans="1:25" x14ac:dyDescent="0.25">
      <c r="A1541" s="1096"/>
      <c r="B1541" s="1455">
        <v>1291</v>
      </c>
      <c r="C1541" s="1100">
        <v>0.98705892884820434</v>
      </c>
      <c r="D1541" s="1100">
        <v>1.0238141119475579</v>
      </c>
      <c r="E1541" s="1100">
        <v>1.0393319819405578</v>
      </c>
      <c r="F1541" s="1100">
        <v>1.0138824201320937</v>
      </c>
      <c r="G1541" s="1100">
        <v>1.0381770134872994</v>
      </c>
      <c r="H1541" s="1100">
        <v>0.98928810186290594</v>
      </c>
      <c r="I1541" s="1100">
        <v>0.99691893853318048</v>
      </c>
      <c r="K1541">
        <v>2.2502206138359502</v>
      </c>
      <c r="L1541">
        <v>0</v>
      </c>
      <c r="M1541">
        <v>1.4209886788085673E-3</v>
      </c>
      <c r="N1541">
        <v>0.14546633189949276</v>
      </c>
      <c r="O1541">
        <v>1.9932668172795067E-2</v>
      </c>
      <c r="P1541">
        <v>2.721133875848632E-2</v>
      </c>
      <c r="Q1541">
        <v>5.7804975919234225E-3</v>
      </c>
      <c r="R1541">
        <v>1.4008002830891023E-3</v>
      </c>
      <c r="S1541">
        <v>0.24052661888246923</v>
      </c>
      <c r="T1541">
        <v>1.3626000767554707</v>
      </c>
      <c r="U1541">
        <v>0.14473639382850065</v>
      </c>
      <c r="V1541">
        <v>0.18985549670115243</v>
      </c>
      <c r="W1541">
        <v>9.3386932912185416E-2</v>
      </c>
      <c r="X1541">
        <v>1.6931930132312499E-2</v>
      </c>
      <c r="Y1541">
        <v>3.8125165968793204E-3</v>
      </c>
    </row>
    <row r="1542" spans="1:25" x14ac:dyDescent="0.25">
      <c r="A1542" s="1096"/>
      <c r="B1542" s="1455">
        <v>1292</v>
      </c>
      <c r="C1542" s="1100">
        <v>1.0365965784797164</v>
      </c>
      <c r="D1542" s="1100">
        <v>1.0014968309068459</v>
      </c>
      <c r="E1542" s="1100">
        <v>0.987378011983299</v>
      </c>
      <c r="F1542" s="1100">
        <v>1.003664842229445</v>
      </c>
      <c r="G1542" s="1100">
        <v>0.98868518904242408</v>
      </c>
      <c r="H1542" s="1100">
        <v>1.0064643757149725</v>
      </c>
      <c r="I1542" s="1100">
        <v>0.98294053505340584</v>
      </c>
      <c r="K1542">
        <v>2.1898857227022543</v>
      </c>
      <c r="L1542">
        <v>0</v>
      </c>
      <c r="M1542">
        <v>1.5410036806511995E-3</v>
      </c>
      <c r="N1542">
        <v>0.13489020417455988</v>
      </c>
      <c r="O1542">
        <v>1.9041000995086346E-2</v>
      </c>
      <c r="P1542">
        <v>2.5639730554104144E-2</v>
      </c>
      <c r="Q1542">
        <v>5.2429407035171922E-3</v>
      </c>
      <c r="R1542">
        <v>1.5194838303716693E-3</v>
      </c>
      <c r="S1542">
        <v>0.22924206000261721</v>
      </c>
      <c r="T1542">
        <v>1.3487702791668157</v>
      </c>
      <c r="U1542">
        <v>0.13770399939160144</v>
      </c>
      <c r="V1542">
        <v>0.18134236351359467</v>
      </c>
      <c r="W1542">
        <v>8.92843090914308E-2</v>
      </c>
      <c r="X1542">
        <v>1.4614820870647414E-2</v>
      </c>
      <c r="Y1542">
        <v>4.1355340885616204E-3</v>
      </c>
    </row>
    <row r="1543" spans="1:25" x14ac:dyDescent="0.25">
      <c r="A1543" s="1096"/>
      <c r="B1543" s="1455">
        <v>1293</v>
      </c>
      <c r="C1543" s="1100">
        <v>0.97563828734207658</v>
      </c>
      <c r="D1543" s="1100">
        <v>0.96221338661669575</v>
      </c>
      <c r="E1543" s="1100">
        <v>0.99887738797171133</v>
      </c>
      <c r="F1543" s="1100">
        <v>1.0358214652102387</v>
      </c>
      <c r="G1543" s="1100">
        <v>1.0212399075092353</v>
      </c>
      <c r="H1543" s="1100">
        <v>0.99124256947428369</v>
      </c>
      <c r="I1543" s="1100">
        <v>0.99598093209242211</v>
      </c>
      <c r="K1543">
        <v>2.289233565990092</v>
      </c>
      <c r="L1543">
        <v>0</v>
      </c>
      <c r="M1543">
        <v>1.5884777376214891E-3</v>
      </c>
      <c r="N1543">
        <v>0.14393265130442481</v>
      </c>
      <c r="O1543">
        <v>2.0416989989141123E-2</v>
      </c>
      <c r="P1543">
        <v>2.6959494729647253E-2</v>
      </c>
      <c r="Q1543">
        <v>5.6874295209038582E-3</v>
      </c>
      <c r="R1543">
        <v>1.5659542746069061E-3</v>
      </c>
      <c r="S1543">
        <v>0.25062441208661734</v>
      </c>
      <c r="T1543">
        <v>1.3920009862150913</v>
      </c>
      <c r="U1543">
        <v>0.14633491003298535</v>
      </c>
      <c r="V1543">
        <v>0.18860752336717396</v>
      </c>
      <c r="W1543">
        <v>9.4617104743712904E-2</v>
      </c>
      <c r="X1543">
        <v>1.5812576144612459E-2</v>
      </c>
      <c r="Y1543">
        <v>4.2620113187921095E-3</v>
      </c>
    </row>
    <row r="1544" spans="1:25" x14ac:dyDescent="0.25">
      <c r="A1544" s="1096"/>
      <c r="B1544" s="1455">
        <v>1294</v>
      </c>
      <c r="C1544" s="1100">
        <v>1.0222610290026621</v>
      </c>
      <c r="D1544" s="1100">
        <v>0.99267881273909142</v>
      </c>
      <c r="E1544" s="1100">
        <v>1.0036466102551191</v>
      </c>
      <c r="F1544" s="1100">
        <v>1.0286650641042447</v>
      </c>
      <c r="G1544" s="1100">
        <v>0.97609680852796132</v>
      </c>
      <c r="H1544" s="1100">
        <v>0.99574025265077681</v>
      </c>
      <c r="I1544" s="1100">
        <v>1.0072407933476573</v>
      </c>
      <c r="K1544">
        <v>2.2400625212124932</v>
      </c>
      <c r="L1544">
        <v>0</v>
      </c>
      <c r="M1544">
        <v>1.4976103140681501E-3</v>
      </c>
      <c r="N1544">
        <v>0.13767729751812996</v>
      </c>
      <c r="O1544">
        <v>1.9355573413042854E-2</v>
      </c>
      <c r="P1544">
        <v>2.6559581880311389E-2</v>
      </c>
      <c r="Q1544">
        <v>5.4176491411637882E-3</v>
      </c>
      <c r="R1544">
        <v>1.4764712022742729E-3</v>
      </c>
      <c r="S1544">
        <v>0.2385308659274564</v>
      </c>
      <c r="T1544">
        <v>1.3823917164626187</v>
      </c>
      <c r="U1544">
        <v>0.1396716879314861</v>
      </c>
      <c r="V1544">
        <v>0.18073571843180028</v>
      </c>
      <c r="W1544">
        <v>9.0249094043764591E-2</v>
      </c>
      <c r="X1544">
        <v>1.5476007680522564E-2</v>
      </c>
      <c r="Y1544">
        <v>4.0184678939895494E-3</v>
      </c>
    </row>
    <row r="1545" spans="1:25" x14ac:dyDescent="0.25">
      <c r="A1545" s="1096"/>
      <c r="B1545" s="1455">
        <v>1295</v>
      </c>
      <c r="C1545" s="1100">
        <v>1.021210245168632</v>
      </c>
      <c r="D1545" s="1100">
        <v>1.0215341390563815</v>
      </c>
      <c r="E1545" s="1100">
        <v>1.0131055147514001</v>
      </c>
      <c r="F1545" s="1100">
        <v>0.98868793197615568</v>
      </c>
      <c r="G1545" s="1100">
        <v>0.96670804726857351</v>
      </c>
      <c r="H1545" s="1100">
        <v>0.99601578990649575</v>
      </c>
      <c r="I1545" s="1100">
        <v>1.0110657807315644</v>
      </c>
      <c r="K1545">
        <v>2.183031479129141</v>
      </c>
      <c r="L1545">
        <v>0</v>
      </c>
      <c r="M1545">
        <v>1.461153207847564E-3</v>
      </c>
      <c r="N1545">
        <v>0.13821792147712084</v>
      </c>
      <c r="O1545">
        <v>1.9259500715266706E-2</v>
      </c>
      <c r="P1545">
        <v>2.596518639905018E-2</v>
      </c>
      <c r="Q1545">
        <v>5.4420185085102459E-3</v>
      </c>
      <c r="R1545">
        <v>1.4405344019920035E-3</v>
      </c>
      <c r="S1545">
        <v>0.23637845370440377</v>
      </c>
      <c r="T1545">
        <v>1.3286842471022744</v>
      </c>
      <c r="U1545">
        <v>0.1398367571627879</v>
      </c>
      <c r="V1545">
        <v>0.17974252089404644</v>
      </c>
      <c r="W1545">
        <v>9.0098883071358229E-2</v>
      </c>
      <c r="X1545">
        <v>1.5505949129988579E-2</v>
      </c>
      <c r="Y1545">
        <v>3.9206597701842419E-3</v>
      </c>
    </row>
    <row r="1546" spans="1:25" x14ac:dyDescent="0.25">
      <c r="A1546" s="1096"/>
      <c r="B1546" s="1455">
        <v>1296</v>
      </c>
      <c r="C1546" s="1100">
        <v>0.97777984190888723</v>
      </c>
      <c r="D1546" s="1100">
        <v>1.0007647743080055</v>
      </c>
      <c r="E1546" s="1100">
        <v>0.99073958164856235</v>
      </c>
      <c r="F1546" s="1100">
        <v>1.0083859849674686</v>
      </c>
      <c r="G1546" s="1100">
        <v>1.0231077140335811</v>
      </c>
      <c r="H1546" s="1100">
        <v>0.98679679582561564</v>
      </c>
      <c r="I1546" s="1100">
        <v>1.0203139863486379</v>
      </c>
      <c r="K1546">
        <v>2.2456681856258904</v>
      </c>
      <c r="L1546">
        <v>0</v>
      </c>
      <c r="M1546">
        <v>1.5909203287383016E-3</v>
      </c>
      <c r="N1546">
        <v>0.1406425767815685</v>
      </c>
      <c r="O1546">
        <v>2.0191772223534618E-2</v>
      </c>
      <c r="P1546">
        <v>2.6293979931350794E-2</v>
      </c>
      <c r="Q1546">
        <v>5.5787385425273136E-3</v>
      </c>
      <c r="R1546">
        <v>1.568260601515883E-3</v>
      </c>
      <c r="S1546">
        <v>0.25074711311780817</v>
      </c>
      <c r="T1546">
        <v>1.3551193526219305</v>
      </c>
      <c r="U1546">
        <v>0.14599525827533527</v>
      </c>
      <c r="V1546">
        <v>0.18867827142756746</v>
      </c>
      <c r="W1546">
        <v>9.2904407419538676E-2</v>
      </c>
      <c r="X1546">
        <v>1.5271086631591251E-2</v>
      </c>
      <c r="Y1546">
        <v>4.2682883803578844E-3</v>
      </c>
    </row>
    <row r="1547" spans="1:25" x14ac:dyDescent="0.25">
      <c r="A1547" s="1096"/>
      <c r="B1547" s="1455">
        <v>1297</v>
      </c>
      <c r="C1547" s="1100">
        <v>1.0100107063134312</v>
      </c>
      <c r="D1547" s="1100">
        <v>0.99081107321946749</v>
      </c>
      <c r="E1547" s="1100">
        <v>0.97266133076886852</v>
      </c>
      <c r="F1547" s="1100">
        <v>0.989035437104547</v>
      </c>
      <c r="G1547" s="1100">
        <v>1.0090975685182535</v>
      </c>
      <c r="H1547" s="1100">
        <v>0.97788268710035409</v>
      </c>
      <c r="I1547" s="1100">
        <v>1.0098816837062912</v>
      </c>
      <c r="K1547">
        <v>2.1864980978257322</v>
      </c>
      <c r="L1547">
        <v>0</v>
      </c>
      <c r="M1547">
        <v>1.5878765881273266E-3</v>
      </c>
      <c r="N1547">
        <v>0.13288488107188706</v>
      </c>
      <c r="O1547">
        <v>1.9579287424019619E-2</v>
      </c>
      <c r="P1547">
        <v>2.5342783147591579E-2</v>
      </c>
      <c r="Q1547">
        <v>5.3111176010606784E-3</v>
      </c>
      <c r="R1547">
        <v>1.5650540487476424E-3</v>
      </c>
      <c r="S1547">
        <v>0.24061563464795321</v>
      </c>
      <c r="T1547">
        <v>1.3290938150864562</v>
      </c>
      <c r="U1547">
        <v>0.14129525576140997</v>
      </c>
      <c r="V1547">
        <v>0.1851436255186818</v>
      </c>
      <c r="W1547">
        <v>8.8742064926514083E-2</v>
      </c>
      <c r="X1547">
        <v>1.4252893978775348E-2</v>
      </c>
      <c r="Y1547">
        <v>4.2595612007625683E-3</v>
      </c>
    </row>
    <row r="1548" spans="1:25" x14ac:dyDescent="0.25">
      <c r="A1548" s="1096"/>
      <c r="B1548" s="1455">
        <v>1298</v>
      </c>
      <c r="C1548" s="1100">
        <v>0.99052619051658908</v>
      </c>
      <c r="D1548" s="1100">
        <v>0.98012036811331638</v>
      </c>
      <c r="E1548" s="1100">
        <v>1.0188100587303575</v>
      </c>
      <c r="F1548" s="1100">
        <v>1.0042330214508215</v>
      </c>
      <c r="G1548" s="1100">
        <v>0.9828141996718831</v>
      </c>
      <c r="H1548" s="1100">
        <v>1.019309117571388</v>
      </c>
      <c r="I1548" s="1100">
        <v>0.98993129655181944</v>
      </c>
      <c r="K1548">
        <v>2.2394358111108104</v>
      </c>
      <c r="L1548">
        <v>0</v>
      </c>
      <c r="M1548">
        <v>1.5374011937458703E-3</v>
      </c>
      <c r="N1548">
        <v>0.14800418604630308</v>
      </c>
      <c r="O1548">
        <v>2.0041346214235506E-2</v>
      </c>
      <c r="P1548">
        <v>2.6600028853654496E-2</v>
      </c>
      <c r="Q1548">
        <v>5.6952175129250738E-3</v>
      </c>
      <c r="R1548">
        <v>1.5162021982826151E-3</v>
      </c>
      <c r="S1548">
        <v>0.24550423786620923</v>
      </c>
      <c r="T1548">
        <v>1.3495861738513515</v>
      </c>
      <c r="U1548">
        <v>0.14418184624160413</v>
      </c>
      <c r="V1548">
        <v>0.18336821027713543</v>
      </c>
      <c r="W1548">
        <v>9.615569026516807E-2</v>
      </c>
      <c r="X1548">
        <v>1.6193470409879562E-2</v>
      </c>
      <c r="Y1548">
        <v>4.1266025678049429E-3</v>
      </c>
    </row>
    <row r="1549" spans="1:25" x14ac:dyDescent="0.25">
      <c r="A1549" s="1096"/>
      <c r="B1549" s="1455">
        <v>1299</v>
      </c>
      <c r="C1549" s="1100">
        <v>0.98670274070036601</v>
      </c>
      <c r="D1549" s="1100">
        <v>1.0139353658433934</v>
      </c>
      <c r="E1549" s="1100">
        <v>0.99438410967484381</v>
      </c>
      <c r="F1549" s="1100">
        <v>0.99481461945839411</v>
      </c>
      <c r="G1549" s="1100">
        <v>0.99222387748623542</v>
      </c>
      <c r="H1549" s="1100">
        <v>1.0074911486599978</v>
      </c>
      <c r="I1549" s="1100">
        <v>0.99414218599604021</v>
      </c>
      <c r="K1549">
        <v>2.2155932611425357</v>
      </c>
      <c r="L1549">
        <v>0</v>
      </c>
      <c r="M1549">
        <v>1.5928983670104903E-3</v>
      </c>
      <c r="N1549">
        <v>0.14241964991533274</v>
      </c>
      <c r="O1549">
        <v>1.9954000355974496E-2</v>
      </c>
      <c r="P1549">
        <v>2.5929802522126271E-2</v>
      </c>
      <c r="Q1549">
        <v>5.5333623581359801E-3</v>
      </c>
      <c r="R1549">
        <v>1.570676486674142E-3</v>
      </c>
      <c r="S1549">
        <v>0.24222471214938326</v>
      </c>
      <c r="T1549">
        <v>1.3368866601400129</v>
      </c>
      <c r="U1549">
        <v>0.14468349549650869</v>
      </c>
      <c r="V1549">
        <v>0.18464183044490812</v>
      </c>
      <c r="W1549">
        <v>9.3873528633356934E-2</v>
      </c>
      <c r="X1549">
        <v>1.5193577383770114E-2</v>
      </c>
      <c r="Y1549">
        <v>4.2748636233623368E-3</v>
      </c>
    </row>
    <row r="1550" spans="1:25" x14ac:dyDescent="0.25">
      <c r="A1550" s="1096"/>
      <c r="B1550" s="1455">
        <v>1300</v>
      </c>
      <c r="C1550" s="1100">
        <v>1.0209917309123209</v>
      </c>
      <c r="D1550" s="1100">
        <v>1.0015072930158122</v>
      </c>
      <c r="E1550" s="1100">
        <v>0.98573001702963015</v>
      </c>
      <c r="F1550" s="1100">
        <v>1.0023554078137948</v>
      </c>
      <c r="G1550" s="1100">
        <v>1.0257716485405846</v>
      </c>
      <c r="H1550" s="1100">
        <v>1.0276873224863217</v>
      </c>
      <c r="I1550" s="1100">
        <v>1.0389990960662148</v>
      </c>
      <c r="K1550">
        <v>2.2227762100264803</v>
      </c>
      <c r="L1550">
        <v>0</v>
      </c>
      <c r="M1550">
        <v>1.6030028836727479E-3</v>
      </c>
      <c r="N1550">
        <v>0.13966049401070138</v>
      </c>
      <c r="O1550">
        <v>1.9330973613079522E-2</v>
      </c>
      <c r="P1550">
        <v>2.593052853814734E-2</v>
      </c>
      <c r="Q1550">
        <v>5.3139087523309736E-3</v>
      </c>
      <c r="R1550">
        <v>1.5810795152933629E-3</v>
      </c>
      <c r="S1550">
        <v>0.2477349037425722</v>
      </c>
      <c r="T1550">
        <v>1.3470084567884084</v>
      </c>
      <c r="U1550">
        <v>0.13980496042762983</v>
      </c>
      <c r="V1550">
        <v>0.18640775947623234</v>
      </c>
      <c r="W1550">
        <v>9.2533338618872321E-2</v>
      </c>
      <c r="X1550">
        <v>1.4769632188975442E-2</v>
      </c>
      <c r="Y1550">
        <v>4.3031772379063943E-3</v>
      </c>
    </row>
    <row r="1551" spans="1:25" x14ac:dyDescent="0.25">
      <c r="A1551" s="1096"/>
      <c r="B1551" s="1455">
        <v>1301</v>
      </c>
      <c r="C1551" s="1100">
        <v>1.0051034551676739</v>
      </c>
      <c r="D1551" s="1100">
        <v>0.98553921569863978</v>
      </c>
      <c r="E1551" s="1100">
        <v>0.97337951215857343</v>
      </c>
      <c r="F1551" s="1100">
        <v>0.95330166177866649</v>
      </c>
      <c r="G1551" s="1100">
        <v>0.98014253827150677</v>
      </c>
      <c r="H1551" s="1100">
        <v>0.9840307995770794</v>
      </c>
      <c r="I1551" s="1100">
        <v>1.0251102797662217</v>
      </c>
      <c r="K1551">
        <v>2.1445321172207743</v>
      </c>
      <c r="L1551">
        <v>0</v>
      </c>
      <c r="M1551">
        <v>1.6051639365292345E-3</v>
      </c>
      <c r="N1551">
        <v>0.13463624236290428</v>
      </c>
      <c r="O1551">
        <v>1.9698431645642556E-2</v>
      </c>
      <c r="P1551">
        <v>2.4764026021583802E-2</v>
      </c>
      <c r="Q1551">
        <v>5.347354018081809E-3</v>
      </c>
      <c r="R1551">
        <v>1.5822370712563398E-3</v>
      </c>
      <c r="S1551">
        <v>0.24660432066079618</v>
      </c>
      <c r="T1551">
        <v>1.2810744410410895</v>
      </c>
      <c r="U1551">
        <v>0.14198674433451594</v>
      </c>
      <c r="V1551">
        <v>0.18215766863491789</v>
      </c>
      <c r="W1551">
        <v>8.9872445796710929E-2</v>
      </c>
      <c r="X1551">
        <v>1.4107041846152494E-2</v>
      </c>
      <c r="Y1551">
        <v>4.3063277236493969E-3</v>
      </c>
    </row>
    <row r="1552" spans="1:25" x14ac:dyDescent="0.25">
      <c r="A1552" s="1096"/>
      <c r="B1552" s="1455">
        <v>1302</v>
      </c>
      <c r="C1552" s="1100">
        <v>0.99146479656860687</v>
      </c>
      <c r="D1552" s="1100">
        <v>0.99587679110793959</v>
      </c>
      <c r="E1552" s="1100">
        <v>1.0061889343995036</v>
      </c>
      <c r="F1552" s="1100">
        <v>0.9840249623989249</v>
      </c>
      <c r="G1552" s="1100">
        <v>1.0208499802485107</v>
      </c>
      <c r="H1552" s="1100">
        <v>1.0229754157852247</v>
      </c>
      <c r="I1552" s="1100">
        <v>0.98515011463504143</v>
      </c>
      <c r="K1552">
        <v>2.2094832119325614</v>
      </c>
      <c r="L1552">
        <v>0</v>
      </c>
      <c r="M1552">
        <v>1.5768962947512472E-3</v>
      </c>
      <c r="N1552">
        <v>0.14613920021583529</v>
      </c>
      <c r="O1552">
        <v>1.9944271555865537E-2</v>
      </c>
      <c r="P1552">
        <v>2.5993589237321497E-2</v>
      </c>
      <c r="Q1552">
        <v>5.5966717243240245E-3</v>
      </c>
      <c r="R1552">
        <v>1.5552306352852575E-3</v>
      </c>
      <c r="S1552">
        <v>0.24234994289286166</v>
      </c>
      <c r="T1552">
        <v>1.322405490002126</v>
      </c>
      <c r="U1552">
        <v>0.14401598688976489</v>
      </c>
      <c r="V1552">
        <v>0.18759932352091155</v>
      </c>
      <c r="W1552">
        <v>9.5651890767419187E-2</v>
      </c>
      <c r="X1552">
        <v>1.5575685677989243E-2</v>
      </c>
      <c r="Y1552">
        <v>4.2328251076053352E-3</v>
      </c>
    </row>
    <row r="1553" spans="1:25" x14ac:dyDescent="0.25">
      <c r="A1553" s="1096"/>
      <c r="B1553" s="1455">
        <v>1303</v>
      </c>
      <c r="C1553" s="1100">
        <v>1.0131264726971796</v>
      </c>
      <c r="D1553" s="1100">
        <v>0.99942727967185319</v>
      </c>
      <c r="E1553" s="1100">
        <v>1.0165129516551068</v>
      </c>
      <c r="F1553" s="1100">
        <v>0.97713743905311479</v>
      </c>
      <c r="G1553" s="1100">
        <v>0.95722163724599585</v>
      </c>
      <c r="H1553" s="1100">
        <v>0.98779628724815327</v>
      </c>
      <c r="I1553" s="1100">
        <v>0.96727667511399729</v>
      </c>
      <c r="K1553">
        <v>2.1632271336037325</v>
      </c>
      <c r="L1553">
        <v>0</v>
      </c>
      <c r="M1553">
        <v>1.4573443489436777E-3</v>
      </c>
      <c r="N1553">
        <v>0.1392659946848368</v>
      </c>
      <c r="O1553">
        <v>1.9508944789175454E-2</v>
      </c>
      <c r="P1553">
        <v>2.5732854873943528E-2</v>
      </c>
      <c r="Q1553">
        <v>5.5312609494961367E-3</v>
      </c>
      <c r="R1553">
        <v>1.4366081682470719E-3</v>
      </c>
      <c r="S1553">
        <v>0.22983668323224329</v>
      </c>
      <c r="T1553">
        <v>1.313168062120837</v>
      </c>
      <c r="U1553">
        <v>0.14096028064905322</v>
      </c>
      <c r="V1553">
        <v>0.17913693818187867</v>
      </c>
      <c r="W1553">
        <v>9.060054540767469E-2</v>
      </c>
      <c r="X1553">
        <v>1.55963310390796E-2</v>
      </c>
      <c r="Y1553">
        <v>3.9099738562131427E-3</v>
      </c>
    </row>
    <row r="1554" spans="1:25" x14ac:dyDescent="0.25">
      <c r="A1554" s="1096"/>
      <c r="B1554" s="1455">
        <v>1304</v>
      </c>
      <c r="C1554" s="1100">
        <v>0.98604154508425079</v>
      </c>
      <c r="D1554" s="1100">
        <v>0.9984316727778132</v>
      </c>
      <c r="E1554" s="1100">
        <v>0.97249239486553296</v>
      </c>
      <c r="F1554" s="1100">
        <v>0.9891091416775476</v>
      </c>
      <c r="G1554" s="1100">
        <v>0.99806200924678889</v>
      </c>
      <c r="H1554" s="1100">
        <v>0.98260245281399794</v>
      </c>
      <c r="I1554" s="1100">
        <v>1.0311053515198103</v>
      </c>
      <c r="K1554">
        <v>2.2078060576980501</v>
      </c>
      <c r="L1554">
        <v>0</v>
      </c>
      <c r="M1554">
        <v>1.6321425045847E-3</v>
      </c>
      <c r="N1554">
        <v>0.1365290954568284</v>
      </c>
      <c r="O1554">
        <v>2.0021346611147482E-2</v>
      </c>
      <c r="P1554">
        <v>2.5528934506204651E-2</v>
      </c>
      <c r="Q1554">
        <v>5.430095157336153E-3</v>
      </c>
      <c r="R1554">
        <v>1.6087964117627595E-3</v>
      </c>
      <c r="S1554">
        <v>0.25107331926837045</v>
      </c>
      <c r="T1554">
        <v>1.3291926959154874</v>
      </c>
      <c r="U1554">
        <v>0.14472953453947587</v>
      </c>
      <c r="V1554">
        <v>0.1853231307391292</v>
      </c>
      <c r="W1554">
        <v>9.1185069568913868E-2</v>
      </c>
      <c r="X1554">
        <v>1.4437568534752429E-2</v>
      </c>
      <c r="Y1554">
        <v>4.3786134932236268E-3</v>
      </c>
    </row>
    <row r="1555" spans="1:25" x14ac:dyDescent="0.25">
      <c r="A1555" s="1096"/>
      <c r="B1555" s="1455">
        <v>1305</v>
      </c>
      <c r="C1555" s="1100">
        <v>1.0125007253705627</v>
      </c>
      <c r="D1555" s="1100">
        <v>1.0161200053231179</v>
      </c>
      <c r="E1555" s="1100">
        <v>1.020120822578277</v>
      </c>
      <c r="F1555" s="1100">
        <v>1.0129506670664163</v>
      </c>
      <c r="G1555" s="1100">
        <v>0.98895229193848977</v>
      </c>
      <c r="H1555" s="1100">
        <v>1.0047946903564253</v>
      </c>
      <c r="I1555" s="1100">
        <v>1.004141153578195</v>
      </c>
      <c r="K1555">
        <v>2.228598817318602</v>
      </c>
      <c r="L1555">
        <v>0</v>
      </c>
      <c r="M1555">
        <v>1.466893181879612E-3</v>
      </c>
      <c r="N1555">
        <v>0.14174734952449369</v>
      </c>
      <c r="O1555">
        <v>1.9452217952247271E-2</v>
      </c>
      <c r="P1555">
        <v>2.6634340320160724E-2</v>
      </c>
      <c r="Q1555">
        <v>5.5350129628437559E-3</v>
      </c>
      <c r="R1555">
        <v>1.4463742317747583E-3</v>
      </c>
      <c r="S1555">
        <v>0.23815314133237772</v>
      </c>
      <c r="T1555">
        <v>1.3613044660454185</v>
      </c>
      <c r="U1555">
        <v>0.14105562405150748</v>
      </c>
      <c r="V1555">
        <v>0.18276295775215334</v>
      </c>
      <c r="W1555">
        <v>9.2020110843067673E-2</v>
      </c>
      <c r="X1555">
        <v>1.6017561622681864E-2</v>
      </c>
      <c r="Y1555">
        <v>3.9365538617535294E-3</v>
      </c>
    </row>
    <row r="1556" spans="1:25" x14ac:dyDescent="0.25">
      <c r="A1556" s="1096"/>
      <c r="B1556" s="1455">
        <v>1306</v>
      </c>
      <c r="C1556" s="1100">
        <v>0.97394975949028795</v>
      </c>
      <c r="D1556" s="1100">
        <v>0.99169608531892861</v>
      </c>
      <c r="E1556" s="1100">
        <v>1.0153717867401479</v>
      </c>
      <c r="F1556" s="1100">
        <v>0.97919388290535225</v>
      </c>
      <c r="G1556" s="1100">
        <v>0.98931196160874146</v>
      </c>
      <c r="H1556" s="1100">
        <v>1.0242348743177112</v>
      </c>
      <c r="I1556" s="1100">
        <v>1.003156801246168</v>
      </c>
      <c r="K1556">
        <v>2.2204576896232933</v>
      </c>
      <c r="L1556">
        <v>0</v>
      </c>
      <c r="M1556">
        <v>1.578316072734077E-3</v>
      </c>
      <c r="N1556">
        <v>0.15038491489703212</v>
      </c>
      <c r="O1556">
        <v>2.0327649161323971E-2</v>
      </c>
      <c r="P1556">
        <v>2.6215028197462898E-2</v>
      </c>
      <c r="Q1556">
        <v>5.7568342167700261E-3</v>
      </c>
      <c r="R1556">
        <v>1.556657571661766E-3</v>
      </c>
      <c r="S1556">
        <v>0.25192122533700001</v>
      </c>
      <c r="T1556">
        <v>1.3159295390364452</v>
      </c>
      <c r="U1556">
        <v>0.14662764355118715</v>
      </c>
      <c r="V1556">
        <v>0.18511908976813254</v>
      </c>
      <c r="W1556">
        <v>9.7899591872391709E-2</v>
      </c>
      <c r="X1556">
        <v>1.6061123328584625E-2</v>
      </c>
      <c r="Y1556">
        <v>4.2367087580327421E-3</v>
      </c>
    </row>
    <row r="1557" spans="1:25" x14ac:dyDescent="0.25">
      <c r="A1557" s="1096"/>
      <c r="B1557" s="1455">
        <v>1307</v>
      </c>
      <c r="C1557" s="1100">
        <v>0.96362935249333248</v>
      </c>
      <c r="D1557" s="1100">
        <v>1.0311212717189102</v>
      </c>
      <c r="E1557" s="1100">
        <v>1.0300818277778072</v>
      </c>
      <c r="F1557" s="1100">
        <v>1.0454856864879634</v>
      </c>
      <c r="G1557" s="1100">
        <v>1.0265733370944929</v>
      </c>
      <c r="H1557" s="1100">
        <v>1.0132394321517275</v>
      </c>
      <c r="I1557" s="1100">
        <v>1.0140244094999185</v>
      </c>
      <c r="K1557">
        <v>2.3187838731438877</v>
      </c>
      <c r="L1557">
        <v>0</v>
      </c>
      <c r="M1557">
        <v>1.5174362647590017E-3</v>
      </c>
      <c r="N1557">
        <v>0.15112072111490993</v>
      </c>
      <c r="O1557">
        <v>2.0379401691106552E-2</v>
      </c>
      <c r="P1557">
        <v>2.7828109079159662E-2</v>
      </c>
      <c r="Q1557">
        <v>5.856384451262759E-3</v>
      </c>
      <c r="R1557">
        <v>1.4963872218724148E-3</v>
      </c>
      <c r="S1557">
        <v>0.25165412269669835</v>
      </c>
      <c r="T1557">
        <v>1.4050504790812555</v>
      </c>
      <c r="U1557">
        <v>0.148233282833377</v>
      </c>
      <c r="V1557">
        <v>0.18999726316811374</v>
      </c>
      <c r="W1557">
        <v>9.7537359707120824E-2</v>
      </c>
      <c r="X1557">
        <v>1.7075125629749173E-2</v>
      </c>
      <c r="Y1557">
        <v>4.0726727340215972E-3</v>
      </c>
    </row>
    <row r="1558" spans="1:25" x14ac:dyDescent="0.25">
      <c r="A1558" s="1096"/>
      <c r="B1558" s="1455">
        <v>1308</v>
      </c>
      <c r="C1558" s="1100">
        <v>0.96931960747008861</v>
      </c>
      <c r="D1558" s="1100">
        <v>1.0162155092467431</v>
      </c>
      <c r="E1558" s="1100">
        <v>0.9981943337879462</v>
      </c>
      <c r="F1558" s="1100">
        <v>0.9963953888694872</v>
      </c>
      <c r="G1558" s="1100">
        <v>1.0055029386000078</v>
      </c>
      <c r="H1558" s="1100">
        <v>0.98007085809312799</v>
      </c>
      <c r="I1558" s="1100">
        <v>0.97620351504753444</v>
      </c>
      <c r="K1558">
        <v>2.2192499128814163</v>
      </c>
      <c r="L1558">
        <v>0</v>
      </c>
      <c r="M1558">
        <v>1.5641504497937188E-3</v>
      </c>
      <c r="N1558">
        <v>0.14141294841114332</v>
      </c>
      <c r="O1558">
        <v>2.0304252241563944E-2</v>
      </c>
      <c r="P1558">
        <v>2.6068745484373768E-2</v>
      </c>
      <c r="Q1558">
        <v>5.6521396975316093E-3</v>
      </c>
      <c r="R1558">
        <v>1.5417191197748556E-3</v>
      </c>
      <c r="S1558">
        <v>0.23967392723612332</v>
      </c>
      <c r="T1558">
        <v>1.3390167230575878</v>
      </c>
      <c r="U1558">
        <v>0.14728719780035038</v>
      </c>
      <c r="V1558">
        <v>0.18722441735879528</v>
      </c>
      <c r="W1558">
        <v>9.2998516541841006E-2</v>
      </c>
      <c r="X1558">
        <v>1.543742516566832E-2</v>
      </c>
      <c r="Y1558">
        <v>4.1960512164559123E-3</v>
      </c>
    </row>
    <row r="1559" spans="1:25" x14ac:dyDescent="0.25">
      <c r="A1559" s="1096"/>
      <c r="B1559" s="1455">
        <v>1309</v>
      </c>
      <c r="C1559" s="1100">
        <v>0.96620152323458763</v>
      </c>
      <c r="D1559" s="1100">
        <v>1.0058312769129978</v>
      </c>
      <c r="E1559" s="1100">
        <v>1.000737225410933</v>
      </c>
      <c r="F1559" s="1100">
        <v>0.96847080659589047</v>
      </c>
      <c r="G1559" s="1100">
        <v>0.99953865579962264</v>
      </c>
      <c r="H1559" s="1100">
        <v>1.0037238511577637</v>
      </c>
      <c r="I1559" s="1100">
        <v>1.019542089369365</v>
      </c>
      <c r="K1559">
        <v>2.2040332208603757</v>
      </c>
      <c r="L1559">
        <v>0</v>
      </c>
      <c r="M1559">
        <v>1.6022317134024326E-3</v>
      </c>
      <c r="N1559">
        <v>0.14602308085506177</v>
      </c>
      <c r="O1559">
        <v>2.0417499511157129E-2</v>
      </c>
      <c r="P1559">
        <v>2.5807641000090933E-2</v>
      </c>
      <c r="Q1559">
        <v>5.6982152807832235E-3</v>
      </c>
      <c r="R1559">
        <v>1.5797957327813418E-3</v>
      </c>
      <c r="S1559">
        <v>0.25443063840876717</v>
      </c>
      <c r="T1559">
        <v>1.3014938633219817</v>
      </c>
      <c r="U1559">
        <v>0.14776857557680617</v>
      </c>
      <c r="V1559">
        <v>0.18675005596823085</v>
      </c>
      <c r="W1559">
        <v>9.5885226940229662E-2</v>
      </c>
      <c r="X1559">
        <v>1.5481176772780084E-2</v>
      </c>
      <c r="Y1559">
        <v>4.2996832051074643E-3</v>
      </c>
    </row>
    <row r="1560" spans="1:25" x14ac:dyDescent="0.25">
      <c r="A1560" s="1096"/>
      <c r="B1560" s="1455">
        <v>1310</v>
      </c>
      <c r="C1560" s="1100">
        <v>1.0006637079103122</v>
      </c>
      <c r="D1560" s="1100">
        <v>1.0188112604249804</v>
      </c>
      <c r="E1560" s="1100">
        <v>0.99659838637819453</v>
      </c>
      <c r="F1560" s="1100">
        <v>0.99746165750883842</v>
      </c>
      <c r="G1560" s="1100">
        <v>1.0077300475583679</v>
      </c>
      <c r="H1560" s="1100">
        <v>0.995555139997223</v>
      </c>
      <c r="I1560" s="1100">
        <v>1.0388495736441554</v>
      </c>
      <c r="K1560">
        <v>2.2175457311603073</v>
      </c>
      <c r="L1560">
        <v>0</v>
      </c>
      <c r="M1560">
        <v>1.5433293549450575E-3</v>
      </c>
      <c r="N1560">
        <v>0.13889067840018182</v>
      </c>
      <c r="O1560">
        <v>1.9656228590058823E-2</v>
      </c>
      <c r="P1560">
        <v>2.6085244609477847E-2</v>
      </c>
      <c r="Q1560">
        <v>5.4629644616957639E-3</v>
      </c>
      <c r="R1560">
        <v>1.5215408578612294E-3</v>
      </c>
      <c r="S1560">
        <v>0.24802186531234177</v>
      </c>
      <c r="T1560">
        <v>1.3404471953643435</v>
      </c>
      <c r="U1560">
        <v>0.14267000467393662</v>
      </c>
      <c r="V1560">
        <v>0.18555778647764543</v>
      </c>
      <c r="W1560">
        <v>9.1426635524457039E-2</v>
      </c>
      <c r="X1560">
        <v>1.52077836039627E-2</v>
      </c>
      <c r="Y1560">
        <v>4.1411326392892739E-3</v>
      </c>
    </row>
    <row r="1561" spans="1:25" x14ac:dyDescent="0.25">
      <c r="A1561" s="1096"/>
      <c r="B1561" s="1455">
        <v>1311</v>
      </c>
      <c r="C1561" s="1100">
        <v>0.98105495898731832</v>
      </c>
      <c r="D1561" s="1100">
        <v>1.0032534617446482</v>
      </c>
      <c r="E1561" s="1100">
        <v>1.0214504824704023</v>
      </c>
      <c r="F1561" s="1100">
        <v>0.98265634857211992</v>
      </c>
      <c r="G1561" s="1100">
        <v>0.96280645205067938</v>
      </c>
      <c r="H1561" s="1100">
        <v>1.0065445892485168</v>
      </c>
      <c r="I1561" s="1100">
        <v>1.0033140427894338</v>
      </c>
      <c r="K1561">
        <v>2.2101135667806271</v>
      </c>
      <c r="L1561">
        <v>0</v>
      </c>
      <c r="M1561">
        <v>1.5166036133317168E-3</v>
      </c>
      <c r="N1561">
        <v>0.14714355280192049</v>
      </c>
      <c r="O1561">
        <v>2.0132930518268033E-2</v>
      </c>
      <c r="P1561">
        <v>2.627063248359341E-2</v>
      </c>
      <c r="Q1561">
        <v>5.7362800291452295E-3</v>
      </c>
      <c r="R1561">
        <v>1.4954261935836411E-3</v>
      </c>
      <c r="S1561">
        <v>0.24729838868126272</v>
      </c>
      <c r="T1561">
        <v>1.3205945944991153</v>
      </c>
      <c r="U1561">
        <v>0.14558001197275786</v>
      </c>
      <c r="V1561">
        <v>0.18168757044640332</v>
      </c>
      <c r="W1561">
        <v>9.5449004803500673E-2</v>
      </c>
      <c r="X1561">
        <v>1.6171720832583395E-2</v>
      </c>
      <c r="Y1561">
        <v>4.0700571318224455E-3</v>
      </c>
    </row>
    <row r="1562" spans="1:25" x14ac:dyDescent="0.25">
      <c r="A1562" s="1096"/>
      <c r="B1562" s="1455">
        <v>1312</v>
      </c>
      <c r="C1562" s="1100">
        <v>1.0221008104957223</v>
      </c>
      <c r="D1562" s="1100">
        <v>1.038598039720662</v>
      </c>
      <c r="E1562" s="1100">
        <v>0.98200559108414998</v>
      </c>
      <c r="F1562" s="1100">
        <v>0.98009740012793323</v>
      </c>
      <c r="G1562" s="1100">
        <v>0.99135201108221338</v>
      </c>
      <c r="H1562" s="1100">
        <v>0.99633372649611873</v>
      </c>
      <c r="I1562" s="1100">
        <v>1.0124197632490746</v>
      </c>
      <c r="K1562">
        <v>2.1640330103325773</v>
      </c>
      <c r="L1562">
        <v>0</v>
      </c>
      <c r="M1562">
        <v>1.5519537777289331E-3</v>
      </c>
      <c r="N1562">
        <v>0.13363982564750448</v>
      </c>
      <c r="O1562">
        <v>1.9153874071562806E-2</v>
      </c>
      <c r="P1562">
        <v>2.5219289531317697E-2</v>
      </c>
      <c r="Q1562">
        <v>5.245374533363557E-3</v>
      </c>
      <c r="R1562">
        <v>1.5300606441136266E-3</v>
      </c>
      <c r="S1562">
        <v>0.23435107886296508</v>
      </c>
      <c r="T1562">
        <v>1.317092660650375</v>
      </c>
      <c r="U1562">
        <v>0.1396448905896262</v>
      </c>
      <c r="V1562">
        <v>0.18245081678322281</v>
      </c>
      <c r="W1562">
        <v>8.8743030018686331E-2</v>
      </c>
      <c r="X1562">
        <v>1.4349742088644833E-2</v>
      </c>
      <c r="Y1562">
        <v>4.1643206889215153E-3</v>
      </c>
    </row>
    <row r="1563" spans="1:25" x14ac:dyDescent="0.25">
      <c r="A1563" s="1096"/>
      <c r="B1563" s="1455">
        <v>1313</v>
      </c>
      <c r="C1563" s="1100">
        <v>0.97889658870787777</v>
      </c>
      <c r="D1563" s="1100">
        <v>1.0064747755960943</v>
      </c>
      <c r="E1563" s="1100">
        <v>0.98645315828783997</v>
      </c>
      <c r="F1563" s="1100">
        <v>1.0191976167080861</v>
      </c>
      <c r="G1563" s="1100">
        <v>0.9724839101568028</v>
      </c>
      <c r="H1563" s="1100">
        <v>0.98357573945559873</v>
      </c>
      <c r="I1563" s="1100">
        <v>1.0146828386182676</v>
      </c>
      <c r="K1563">
        <v>2.249280471834104</v>
      </c>
      <c r="L1563">
        <v>0</v>
      </c>
      <c r="M1563">
        <v>1.5960399602469445E-3</v>
      </c>
      <c r="N1563">
        <v>0.1392716352424169</v>
      </c>
      <c r="O1563">
        <v>2.0140781631911096E-2</v>
      </c>
      <c r="P1563">
        <v>2.6288548955892901E-2</v>
      </c>
      <c r="Q1563">
        <v>5.5405746715539083E-3</v>
      </c>
      <c r="R1563">
        <v>1.5732328674563799E-3</v>
      </c>
      <c r="S1563">
        <v>0.24807129187617852</v>
      </c>
      <c r="T1563">
        <v>1.3696426935849122</v>
      </c>
      <c r="U1563">
        <v>0.145818640488867</v>
      </c>
      <c r="V1563">
        <v>0.18288280636861132</v>
      </c>
      <c r="W1563">
        <v>9.2235607210802109E-2</v>
      </c>
      <c r="X1563">
        <v>1.5128877646606758E-2</v>
      </c>
      <c r="Y1563">
        <v>4.2818212491408901E-3</v>
      </c>
    </row>
    <row r="1564" spans="1:25" x14ac:dyDescent="0.25">
      <c r="A1564" s="1096"/>
      <c r="B1564" s="1455">
        <v>1314</v>
      </c>
      <c r="C1564" s="1100">
        <v>0.99858644951016096</v>
      </c>
      <c r="D1564" s="1100">
        <v>0.97860587130309662</v>
      </c>
      <c r="E1564" s="1100">
        <v>0.98649946690444557</v>
      </c>
      <c r="F1564" s="1100">
        <v>0.97137454575797622</v>
      </c>
      <c r="G1564" s="1100">
        <v>1.0120512301334277</v>
      </c>
      <c r="H1564" s="1100">
        <v>1.0088448426950252</v>
      </c>
      <c r="I1564" s="1100">
        <v>1.025441073415287</v>
      </c>
      <c r="K1564">
        <v>2.1900122927525674</v>
      </c>
      <c r="L1564">
        <v>0</v>
      </c>
      <c r="M1564">
        <v>1.6145547075029315E-3</v>
      </c>
      <c r="N1564">
        <v>0.14095814337237192</v>
      </c>
      <c r="O1564">
        <v>1.9866026911731338E-2</v>
      </c>
      <c r="P1564">
        <v>2.547097319439014E-2</v>
      </c>
      <c r="Q1564">
        <v>5.4652480613555758E-3</v>
      </c>
      <c r="R1564">
        <v>1.5920609316096856E-3</v>
      </c>
      <c r="S1564">
        <v>0.25133019855957867</v>
      </c>
      <c r="T1564">
        <v>1.3053760006684221</v>
      </c>
      <c r="U1564">
        <v>0.14294353403440466</v>
      </c>
      <c r="V1564">
        <v>0.18616084353468587</v>
      </c>
      <c r="W1564">
        <v>9.3349936194602495E-2</v>
      </c>
      <c r="X1564">
        <v>1.4780816963819617E-2</v>
      </c>
      <c r="Y1564">
        <v>4.3330650330965078E-3</v>
      </c>
    </row>
    <row r="1565" spans="1:25" x14ac:dyDescent="0.25">
      <c r="A1565" s="1096"/>
      <c r="B1565" s="1455">
        <v>1315</v>
      </c>
      <c r="C1565" s="1100">
        <v>1.0162930557390661</v>
      </c>
      <c r="D1565" s="1100">
        <v>0.95899601438007576</v>
      </c>
      <c r="E1565" s="1100">
        <v>0.99344008832070907</v>
      </c>
      <c r="F1565" s="1100">
        <v>1.0177761141161079</v>
      </c>
      <c r="G1565" s="1100">
        <v>0.99444251252552052</v>
      </c>
      <c r="H1565" s="1100">
        <v>1.0187879450828947</v>
      </c>
      <c r="I1565" s="1100">
        <v>0.97598387627870231</v>
      </c>
      <c r="K1565">
        <v>2.2349843455629084</v>
      </c>
      <c r="L1565">
        <v>0</v>
      </c>
      <c r="M1565">
        <v>1.5862447186696144E-3</v>
      </c>
      <c r="N1565">
        <v>0.14144283762877133</v>
      </c>
      <c r="O1565">
        <v>1.9611326013351651E-2</v>
      </c>
      <c r="P1565">
        <v>2.6198972134514349E-2</v>
      </c>
      <c r="Q1565">
        <v>5.4331612723574904E-3</v>
      </c>
      <c r="R1565">
        <v>1.5643610380152693E-3</v>
      </c>
      <c r="S1565">
        <v>0.23826522450157236</v>
      </c>
      <c r="T1565">
        <v>1.3677421785553221</v>
      </c>
      <c r="U1565">
        <v>0.1404687647793855</v>
      </c>
      <c r="V1565">
        <v>0.18314141999026981</v>
      </c>
      <c r="W1565">
        <v>9.3282254960341621E-2</v>
      </c>
      <c r="X1565">
        <v>1.5162414353676851E-2</v>
      </c>
      <c r="Y1565">
        <v>4.2576750539999771E-3</v>
      </c>
    </row>
    <row r="1566" spans="1:25" x14ac:dyDescent="0.25">
      <c r="A1566" s="1096"/>
      <c r="B1566" s="1455">
        <v>1316</v>
      </c>
      <c r="C1566" s="1100">
        <v>1.0037752381478531</v>
      </c>
      <c r="D1566" s="1100">
        <v>0.98384017251788891</v>
      </c>
      <c r="E1566" s="1100">
        <v>1.0147687255023905</v>
      </c>
      <c r="F1566" s="1100">
        <v>0.99138612611873711</v>
      </c>
      <c r="G1566" s="1100">
        <v>1.0083947887307587</v>
      </c>
      <c r="H1566" s="1100">
        <v>1.0122179281088528</v>
      </c>
      <c r="I1566" s="1100">
        <v>1.016646439070767</v>
      </c>
      <c r="K1566">
        <v>2.2177119742142222</v>
      </c>
      <c r="L1566">
        <v>0</v>
      </c>
      <c r="M1566">
        <v>1.5180040991619945E-3</v>
      </c>
      <c r="N1566">
        <v>0.14435143219723456</v>
      </c>
      <c r="O1566">
        <v>1.9757810941857069E-2</v>
      </c>
      <c r="P1566">
        <v>2.6316083694966234E-2</v>
      </c>
      <c r="Q1566">
        <v>5.5920920484598844E-3</v>
      </c>
      <c r="R1566">
        <v>1.4969259294919494E-3</v>
      </c>
      <c r="S1566">
        <v>0.2477219495556407</v>
      </c>
      <c r="T1566">
        <v>1.3323134348229762</v>
      </c>
      <c r="U1566">
        <v>0.14226946540450944</v>
      </c>
      <c r="V1566">
        <v>0.18546520965262436</v>
      </c>
      <c r="W1566">
        <v>9.400512439687754E-2</v>
      </c>
      <c r="X1566">
        <v>1.5866310750165303E-2</v>
      </c>
      <c r="Y1566">
        <v>4.0741389185770501E-3</v>
      </c>
    </row>
    <row r="1567" spans="1:25" x14ac:dyDescent="0.25">
      <c r="A1567" s="1096"/>
      <c r="B1567" s="1455">
        <v>1317</v>
      </c>
      <c r="C1567" s="1100">
        <v>1.0169039696331392</v>
      </c>
      <c r="D1567" s="1100">
        <v>1.0195297411847855</v>
      </c>
      <c r="E1567" s="1100">
        <v>1.0316008423688585</v>
      </c>
      <c r="F1567" s="1100">
        <v>0.98799004062019902</v>
      </c>
      <c r="G1567" s="1100">
        <v>1.010581010196991</v>
      </c>
      <c r="H1567" s="1100">
        <v>1.0343663609475646</v>
      </c>
      <c r="I1567" s="1100">
        <v>1.0145878318626018</v>
      </c>
      <c r="K1567">
        <v>2.2079488637600595</v>
      </c>
      <c r="L1567">
        <v>0</v>
      </c>
      <c r="M1567">
        <v>1.4669258696558606E-3</v>
      </c>
      <c r="N1567">
        <v>0.14680304879959369</v>
      </c>
      <c r="O1567">
        <v>1.9360769447626193E-2</v>
      </c>
      <c r="P1567">
        <v>2.6461202040691412E-2</v>
      </c>
      <c r="Q1567">
        <v>5.5720204666527638E-3</v>
      </c>
      <c r="R1567">
        <v>1.446993095036082E-3</v>
      </c>
      <c r="S1567">
        <v>0.24163487823348842</v>
      </c>
      <c r="T1567">
        <v>1.3277842381153637</v>
      </c>
      <c r="U1567">
        <v>0.14047093935620666</v>
      </c>
      <c r="V1567">
        <v>0.18496426217127157</v>
      </c>
      <c r="W1567">
        <v>9.466716383584009E-2</v>
      </c>
      <c r="X1567">
        <v>1.6312035864401941E-2</v>
      </c>
      <c r="Y1567">
        <v>3.9382382035426334E-3</v>
      </c>
    </row>
    <row r="1568" spans="1:25" x14ac:dyDescent="0.25">
      <c r="A1568" s="1096"/>
      <c r="B1568" s="1455">
        <v>1318</v>
      </c>
      <c r="C1568" s="1100">
        <v>0.96846097173213019</v>
      </c>
      <c r="D1568" s="1100">
        <v>1.0026052124363674</v>
      </c>
      <c r="E1568" s="1100">
        <v>1.0219805885589339</v>
      </c>
      <c r="F1568" s="1100">
        <v>1.0129105278744985</v>
      </c>
      <c r="G1568" s="1100">
        <v>1.0051441763770355</v>
      </c>
      <c r="H1568" s="1100">
        <v>1.0020844633076669</v>
      </c>
      <c r="I1568" s="1100">
        <v>0.99633036242994977</v>
      </c>
      <c r="K1568">
        <v>2.2630161663977537</v>
      </c>
      <c r="L1568">
        <v>0</v>
      </c>
      <c r="M1568">
        <v>1.5280488123377311E-3</v>
      </c>
      <c r="N1568">
        <v>0.14848187655284861</v>
      </c>
      <c r="O1568">
        <v>2.0397984823489111E-2</v>
      </c>
      <c r="P1568">
        <v>2.6964656287436568E-2</v>
      </c>
      <c r="Q1568">
        <v>5.8148601178778245E-3</v>
      </c>
      <c r="R1568">
        <v>1.5066166062929112E-3</v>
      </c>
      <c r="S1568">
        <v>0.24848703670439187</v>
      </c>
      <c r="T1568">
        <v>1.3612543758930948</v>
      </c>
      <c r="U1568">
        <v>0.14747441699214472</v>
      </c>
      <c r="V1568">
        <v>0.18726015287628978</v>
      </c>
      <c r="W1568">
        <v>9.6287321031670633E-2</v>
      </c>
      <c r="X1568">
        <v>1.6514403578253838E-2</v>
      </c>
      <c r="Y1568">
        <v>4.1005137462985179E-3</v>
      </c>
    </row>
    <row r="1569" spans="1:25" x14ac:dyDescent="0.25">
      <c r="A1569" s="1096"/>
      <c r="B1569" s="1455">
        <v>1319</v>
      </c>
      <c r="C1569" s="1100">
        <v>0.99696921924445936</v>
      </c>
      <c r="D1569" s="1100">
        <v>1.0278289425836684</v>
      </c>
      <c r="E1569" s="1100">
        <v>0.99297688721997535</v>
      </c>
      <c r="F1569" s="1100">
        <v>1.0258094621671057</v>
      </c>
      <c r="G1569" s="1100">
        <v>0.95609418694684489</v>
      </c>
      <c r="H1569" s="1100">
        <v>0.95994885986703293</v>
      </c>
      <c r="I1569" s="1100">
        <v>1.0061473419658145</v>
      </c>
      <c r="K1569">
        <v>2.2312364471775554</v>
      </c>
      <c r="L1569">
        <v>0</v>
      </c>
      <c r="M1569">
        <v>1.5019851730416213E-3</v>
      </c>
      <c r="N1569">
        <v>0.13362748965415011</v>
      </c>
      <c r="O1569">
        <v>1.9688603909537618E-2</v>
      </c>
      <c r="P1569">
        <v>2.6314884116794657E-2</v>
      </c>
      <c r="Q1569">
        <v>5.4520218704083466E-3</v>
      </c>
      <c r="R1569">
        <v>1.4799938415378066E-3</v>
      </c>
      <c r="S1569">
        <v>0.23716361480379922</v>
      </c>
      <c r="T1569">
        <v>1.3785371366820642</v>
      </c>
      <c r="U1569">
        <v>0.14319034343975326</v>
      </c>
      <c r="V1569">
        <v>0.17993749331423498</v>
      </c>
      <c r="W1569">
        <v>8.8152389755983093E-2</v>
      </c>
      <c r="X1569">
        <v>1.5166405605502921E-2</v>
      </c>
      <c r="Y1569">
        <v>4.0280553568271668E-3</v>
      </c>
    </row>
    <row r="1570" spans="1:25" x14ac:dyDescent="0.25">
      <c r="A1570" s="1096"/>
      <c r="B1570" s="1455">
        <v>1320</v>
      </c>
      <c r="C1570" s="1100">
        <v>0.95954425021774614</v>
      </c>
      <c r="D1570" s="1100">
        <v>0.97447697045747106</v>
      </c>
      <c r="E1570" s="1100">
        <v>1.0129324452836619</v>
      </c>
      <c r="F1570" s="1100">
        <v>1.0316141546554927</v>
      </c>
      <c r="G1570" s="1100">
        <v>0.99184643821332508</v>
      </c>
      <c r="H1570" s="1100">
        <v>1.0123536049833068</v>
      </c>
      <c r="I1570" s="1100">
        <v>1.0038861076397607</v>
      </c>
      <c r="K1570">
        <v>2.3027484237035516</v>
      </c>
      <c r="L1570">
        <v>0</v>
      </c>
      <c r="M1570">
        <v>1.5976220017281642E-3</v>
      </c>
      <c r="N1570">
        <v>0.15108316554397624</v>
      </c>
      <c r="O1570">
        <v>2.0710886386507209E-2</v>
      </c>
      <c r="P1570">
        <v>2.7256584495664687E-2</v>
      </c>
      <c r="Q1570">
        <v>5.8511154259520979E-3</v>
      </c>
      <c r="R1570">
        <v>1.5754412747579672E-3</v>
      </c>
      <c r="S1570">
        <v>0.25711186742520836</v>
      </c>
      <c r="T1570">
        <v>1.3863718787005863</v>
      </c>
      <c r="U1570">
        <v>0.14882307905372075</v>
      </c>
      <c r="V1570">
        <v>0.18631793185628981</v>
      </c>
      <c r="W1570">
        <v>9.8495262459597485E-2</v>
      </c>
      <c r="X1570">
        <v>1.6461001277203128E-2</v>
      </c>
      <c r="Y1570">
        <v>4.287831805814539E-3</v>
      </c>
    </row>
    <row r="1571" spans="1:25" x14ac:dyDescent="0.25">
      <c r="A1571" s="1096"/>
      <c r="B1571" s="1455">
        <v>1321</v>
      </c>
      <c r="C1571" s="1100">
        <v>0.97754417239739666</v>
      </c>
      <c r="D1571" s="1100">
        <v>1.0225268934895724</v>
      </c>
      <c r="E1571" s="1100">
        <v>0.9647586811862302</v>
      </c>
      <c r="F1571" s="1100">
        <v>1.0044330198391729</v>
      </c>
      <c r="G1571" s="1100">
        <v>1.0093270504453478</v>
      </c>
      <c r="H1571" s="1100">
        <v>1.0155570339582281</v>
      </c>
      <c r="I1571" s="1100">
        <v>0.98742318691862763</v>
      </c>
      <c r="K1571">
        <v>2.2299815216449748</v>
      </c>
      <c r="L1571">
        <v>0</v>
      </c>
      <c r="M1571">
        <v>1.7198768354188528E-3</v>
      </c>
      <c r="N1571">
        <v>0.14060414436667196</v>
      </c>
      <c r="O1571">
        <v>2.0084818846532758E-2</v>
      </c>
      <c r="P1571">
        <v>2.5574401114419828E-2</v>
      </c>
      <c r="Q1571">
        <v>5.4043887217539765E-3</v>
      </c>
      <c r="R1571">
        <v>1.6960740925294625E-3</v>
      </c>
      <c r="S1571">
        <v>0.24225126146240769</v>
      </c>
      <c r="T1571">
        <v>1.3497783446549692</v>
      </c>
      <c r="U1571">
        <v>0.14596948508366611</v>
      </c>
      <c r="V1571">
        <v>0.18711279473489198</v>
      </c>
      <c r="W1571">
        <v>9.4350260109314868E-2</v>
      </c>
      <c r="X1571">
        <v>1.4259270724045377E-2</v>
      </c>
      <c r="Y1571">
        <v>4.6161545691908593E-3</v>
      </c>
    </row>
    <row r="1572" spans="1:25" x14ac:dyDescent="0.25">
      <c r="A1572" s="1096"/>
      <c r="B1572" s="1455">
        <v>1322</v>
      </c>
      <c r="C1572" s="1100">
        <v>1.0396879928012135</v>
      </c>
      <c r="D1572" s="1100">
        <v>0.97716927040725177</v>
      </c>
      <c r="E1572" s="1100">
        <v>0.98363920093668411</v>
      </c>
      <c r="F1572" s="1100">
        <v>1.0001954969898526</v>
      </c>
      <c r="G1572" s="1100">
        <v>0.96397547892927193</v>
      </c>
      <c r="H1572" s="1100">
        <v>1.0127953400873011</v>
      </c>
      <c r="I1572" s="1100">
        <v>1.0219414217226523</v>
      </c>
      <c r="K1572">
        <v>2.1949961905032529</v>
      </c>
      <c r="L1572">
        <v>0</v>
      </c>
      <c r="M1572">
        <v>1.5665481783379924E-3</v>
      </c>
      <c r="N1572">
        <v>0.13559635890628727</v>
      </c>
      <c r="O1572">
        <v>1.9085116406521951E-2</v>
      </c>
      <c r="P1572">
        <v>2.561794895140028E-2</v>
      </c>
      <c r="Q1572">
        <v>5.2352166539536586E-3</v>
      </c>
      <c r="R1572">
        <v>1.5448083536117128E-3</v>
      </c>
      <c r="S1572">
        <v>0.24103852707956758</v>
      </c>
      <c r="T1572">
        <v>1.3441032456279978</v>
      </c>
      <c r="U1572">
        <v>0.13728628933188286</v>
      </c>
      <c r="V1572">
        <v>0.17837595330591749</v>
      </c>
      <c r="W1572">
        <v>8.9953681929938842E-2</v>
      </c>
      <c r="X1572">
        <v>1.4521133041915419E-2</v>
      </c>
      <c r="Y1572">
        <v>4.2044590925941769E-3</v>
      </c>
    </row>
    <row r="1573" spans="1:25" x14ac:dyDescent="0.25">
      <c r="A1573" s="1096"/>
      <c r="B1573" s="1455">
        <v>1323</v>
      </c>
      <c r="C1573" s="1100">
        <v>0.96373808411381834</v>
      </c>
      <c r="D1573" s="1100">
        <v>0.98778383398149683</v>
      </c>
      <c r="E1573" s="1100">
        <v>0.99114088156505908</v>
      </c>
      <c r="F1573" s="1100">
        <v>0.99295247132202547</v>
      </c>
      <c r="G1573" s="1100">
        <v>1.0200497244343445</v>
      </c>
      <c r="H1573" s="1100">
        <v>0.99901982758594354</v>
      </c>
      <c r="I1573" s="1100">
        <v>1.0219449154253775</v>
      </c>
      <c r="K1573">
        <v>2.2420219858028436</v>
      </c>
      <c r="L1573">
        <v>0</v>
      </c>
      <c r="M1573">
        <v>1.6374320395952458E-3</v>
      </c>
      <c r="N1573">
        <v>0.14495571142835659</v>
      </c>
      <c r="O1573">
        <v>2.0545155051709497E-2</v>
      </c>
      <c r="P1573">
        <v>2.6148844122623444E-2</v>
      </c>
      <c r="Q1573">
        <v>5.6786755924858158E-3</v>
      </c>
      <c r="R1573">
        <v>1.6143951864870008E-3</v>
      </c>
      <c r="S1573">
        <v>0.25752262684649141</v>
      </c>
      <c r="T1573">
        <v>1.3343795833901058</v>
      </c>
      <c r="U1573">
        <v>0.148123380721253</v>
      </c>
      <c r="V1573">
        <v>0.18921682614810814</v>
      </c>
      <c r="W1573">
        <v>9.5730539513372168E-2</v>
      </c>
      <c r="X1573">
        <v>1.5349828329058519E-2</v>
      </c>
      <c r="Y1573">
        <v>4.3938515123874188E-3</v>
      </c>
    </row>
    <row r="1574" spans="1:25" x14ac:dyDescent="0.25">
      <c r="A1574" s="1096"/>
      <c r="B1574" s="1455">
        <v>1324</v>
      </c>
      <c r="C1574" s="1100">
        <v>0.97947354632828298</v>
      </c>
      <c r="D1574" s="1100">
        <v>1.0079668330312395</v>
      </c>
      <c r="E1574" s="1100">
        <v>0.99914247271888446</v>
      </c>
      <c r="F1574" s="1100">
        <v>0.99800210340777551</v>
      </c>
      <c r="G1574" s="1100">
        <v>0.99761974887097649</v>
      </c>
      <c r="H1574" s="1100">
        <v>0.97304980174004196</v>
      </c>
      <c r="I1574" s="1100">
        <v>1.0124833911896514</v>
      </c>
      <c r="K1574">
        <v>2.2213811061926196</v>
      </c>
      <c r="L1574">
        <v>0</v>
      </c>
      <c r="M1574">
        <v>1.5365798952296896E-3</v>
      </c>
      <c r="N1574">
        <v>0.13930425315544193</v>
      </c>
      <c r="O1574">
        <v>2.0130428245670934E-2</v>
      </c>
      <c r="P1574">
        <v>2.6167273089074468E-2</v>
      </c>
      <c r="Q1574">
        <v>5.6090990675069074E-3</v>
      </c>
      <c r="R1574">
        <v>1.5143849511613876E-3</v>
      </c>
      <c r="S1574">
        <v>0.24643360372717191</v>
      </c>
      <c r="T1574">
        <v>1.3411774028975441</v>
      </c>
      <c r="U1574">
        <v>0.14576253922572127</v>
      </c>
      <c r="V1574">
        <v>0.18569973658175512</v>
      </c>
      <c r="W1574">
        <v>9.1560093627085962E-2</v>
      </c>
      <c r="X1574">
        <v>1.5437214899518931E-2</v>
      </c>
      <c r="Y1574">
        <v>4.1216566201963149E-3</v>
      </c>
    </row>
    <row r="1575" spans="1:25" x14ac:dyDescent="0.25">
      <c r="A1575" s="1096"/>
      <c r="B1575" s="1455">
        <v>1325</v>
      </c>
      <c r="C1575" s="1100">
        <v>1.0160771164216404</v>
      </c>
      <c r="D1575" s="1100">
        <v>1.008201450919002</v>
      </c>
      <c r="E1575" s="1100">
        <v>1.0088980352078281</v>
      </c>
      <c r="F1575" s="1100">
        <v>0.99387787211822154</v>
      </c>
      <c r="G1575" s="1100">
        <v>0.97189747758307887</v>
      </c>
      <c r="H1575" s="1100">
        <v>1.0085876311572362</v>
      </c>
      <c r="I1575" s="1100">
        <v>1.0084291970593628</v>
      </c>
      <c r="K1575">
        <v>2.1990756559170883</v>
      </c>
      <c r="L1575">
        <v>0</v>
      </c>
      <c r="M1575">
        <v>1.5044704531331761E-3</v>
      </c>
      <c r="N1575">
        <v>0.1405444100377507</v>
      </c>
      <c r="O1575">
        <v>1.941023863806432E-2</v>
      </c>
      <c r="P1575">
        <v>2.6044454523899849E-2</v>
      </c>
      <c r="Q1575">
        <v>5.4616045161476464E-3</v>
      </c>
      <c r="R1575">
        <v>1.4835050121402376E-3</v>
      </c>
      <c r="S1575">
        <v>0.23947236750779621</v>
      </c>
      <c r="T1575">
        <v>1.3356512848446842</v>
      </c>
      <c r="U1575">
        <v>0.14053364980402377</v>
      </c>
      <c r="V1575">
        <v>0.1806188879675423</v>
      </c>
      <c r="W1575">
        <v>9.1842835464670702E-2</v>
      </c>
      <c r="X1575">
        <v>1.5479276447752434E-2</v>
      </c>
      <c r="Y1575">
        <v>4.0376116057499051E-3</v>
      </c>
    </row>
    <row r="1576" spans="1:25" x14ac:dyDescent="0.25">
      <c r="A1576" s="1096"/>
      <c r="B1576" s="1455">
        <v>1326</v>
      </c>
      <c r="C1576" s="1100">
        <v>1.0120735164296759</v>
      </c>
      <c r="D1576" s="1100">
        <v>0.97582146323998442</v>
      </c>
      <c r="E1576" s="1100">
        <v>0.98543687147274517</v>
      </c>
      <c r="F1576" s="1100">
        <v>0.99601589106064559</v>
      </c>
      <c r="G1576" s="1100">
        <v>0.9618273740331974</v>
      </c>
      <c r="H1576" s="1100">
        <v>0.96881614866019439</v>
      </c>
      <c r="I1576" s="1100">
        <v>1.0167093555318223</v>
      </c>
      <c r="K1576">
        <v>2.1935307902751973</v>
      </c>
      <c r="L1576">
        <v>0</v>
      </c>
      <c r="M1576">
        <v>1.5341603333794054E-3</v>
      </c>
      <c r="N1576">
        <v>0.13343166074746074</v>
      </c>
      <c r="O1576">
        <v>1.9612921872027268E-2</v>
      </c>
      <c r="P1576">
        <v>2.56715241229102E-2</v>
      </c>
      <c r="Q1576">
        <v>5.3898125949841998E-3</v>
      </c>
      <c r="R1576">
        <v>1.5119035008849702E-3</v>
      </c>
      <c r="S1576">
        <v>0.24297389886063944</v>
      </c>
      <c r="T1576">
        <v>1.3384887676374282</v>
      </c>
      <c r="U1576">
        <v>0.14103623191269593</v>
      </c>
      <c r="V1576">
        <v>0.17969112246406288</v>
      </c>
      <c r="W1576">
        <v>8.8421949082618703E-2</v>
      </c>
      <c r="X1576">
        <v>1.4720254882310116E-2</v>
      </c>
      <c r="Y1576">
        <v>4.1149029305537696E-3</v>
      </c>
    </row>
    <row r="1577" spans="1:25" x14ac:dyDescent="0.25">
      <c r="A1577" s="1096"/>
      <c r="B1577" s="1455">
        <v>1327</v>
      </c>
      <c r="C1577" s="1100">
        <v>0.99903474732089559</v>
      </c>
      <c r="D1577" s="1100">
        <v>1.0196973691171189</v>
      </c>
      <c r="E1577" s="1100">
        <v>1.0141106411158562</v>
      </c>
      <c r="F1577" s="1100">
        <v>1.0334225860542774</v>
      </c>
      <c r="G1577" s="1100">
        <v>1.0019533077609628</v>
      </c>
      <c r="H1577" s="1100">
        <v>1.0211498050370145</v>
      </c>
      <c r="I1577" s="1100">
        <v>0.98791246323783788</v>
      </c>
      <c r="K1577">
        <v>2.2670456294864882</v>
      </c>
      <c r="L1577">
        <v>0</v>
      </c>
      <c r="M1577">
        <v>1.5286854643821919E-3</v>
      </c>
      <c r="N1577">
        <v>0.14509659451217374</v>
      </c>
      <c r="O1577">
        <v>1.9695425643033112E-2</v>
      </c>
      <c r="P1577">
        <v>2.6955244674817309E-2</v>
      </c>
      <c r="Q1577">
        <v>5.5707780611167039E-3</v>
      </c>
      <c r="R1577">
        <v>1.5076446447151333E-3</v>
      </c>
      <c r="S1577">
        <v>0.2382947220192918</v>
      </c>
      <c r="T1577">
        <v>1.3888044984608299</v>
      </c>
      <c r="U1577">
        <v>0.14294302417087185</v>
      </c>
      <c r="V1577">
        <v>0.18501702488531385</v>
      </c>
      <c r="W1577">
        <v>9.4526938727781312E-2</v>
      </c>
      <c r="X1577">
        <v>1.6059107422936227E-2</v>
      </c>
      <c r="Y1577">
        <v>4.103311727991033E-3</v>
      </c>
    </row>
    <row r="1578" spans="1:25" x14ac:dyDescent="0.25">
      <c r="A1578" s="1096"/>
      <c r="B1578" s="1455">
        <v>1328</v>
      </c>
      <c r="C1578" s="1100">
        <v>1.00245108538601</v>
      </c>
      <c r="D1578" s="1100">
        <v>1.0034743253530198</v>
      </c>
      <c r="E1578" s="1100">
        <v>0.99282032289208333</v>
      </c>
      <c r="F1578" s="1100">
        <v>1.007938002737264</v>
      </c>
      <c r="G1578" s="1100">
        <v>1.0033826692895038</v>
      </c>
      <c r="H1578" s="1100">
        <v>0.98100462295009461</v>
      </c>
      <c r="I1578" s="1100">
        <v>0.97178733076099377</v>
      </c>
      <c r="K1578">
        <v>2.2109906364436993</v>
      </c>
      <c r="L1578">
        <v>0</v>
      </c>
      <c r="M1578">
        <v>1.5351091325293241E-3</v>
      </c>
      <c r="N1578">
        <v>0.13655335379711622</v>
      </c>
      <c r="O1578">
        <v>1.9684416254598075E-2</v>
      </c>
      <c r="P1578">
        <v>2.5975928963831756E-2</v>
      </c>
      <c r="Q1578">
        <v>5.4500011121019635E-3</v>
      </c>
      <c r="R1578">
        <v>1.5131152359645786E-3</v>
      </c>
      <c r="S1578">
        <v>0.23219513042110693</v>
      </c>
      <c r="T1578">
        <v>1.3545202952361655</v>
      </c>
      <c r="U1578">
        <v>0.14240695324452929</v>
      </c>
      <c r="V1578">
        <v>0.18495739673319439</v>
      </c>
      <c r="W1578">
        <v>9.0090975901962259E-2</v>
      </c>
      <c r="X1578">
        <v>1.5059977801662152E-2</v>
      </c>
      <c r="Y1578">
        <v>4.1182008739921016E-3</v>
      </c>
    </row>
    <row r="1579" spans="1:25" x14ac:dyDescent="0.25">
      <c r="A1579" s="1096"/>
      <c r="B1579" s="1455">
        <v>1329</v>
      </c>
      <c r="C1579" s="1100">
        <v>1.0034489738821148</v>
      </c>
      <c r="D1579" s="1100">
        <v>1.0215939710682742</v>
      </c>
      <c r="E1579" s="1100">
        <v>1.0173158853539481</v>
      </c>
      <c r="F1579" s="1100">
        <v>0.97747955978146717</v>
      </c>
      <c r="G1579" s="1100">
        <v>1.0192718569320087</v>
      </c>
      <c r="H1579" s="1100">
        <v>1.0081666779895582</v>
      </c>
      <c r="I1579" s="1100">
        <v>1.0049618159135556</v>
      </c>
      <c r="K1579">
        <v>2.1896531189636184</v>
      </c>
      <c r="L1579">
        <v>0</v>
      </c>
      <c r="M1579">
        <v>1.4920189023993784E-3</v>
      </c>
      <c r="N1579">
        <v>0.14296709457237516</v>
      </c>
      <c r="O1579">
        <v>1.9602760503223259E-2</v>
      </c>
      <c r="P1579">
        <v>2.6019931814620208E-2</v>
      </c>
      <c r="Q1579">
        <v>5.5623057708772275E-3</v>
      </c>
      <c r="R1579">
        <v>1.4712182975793243E-3</v>
      </c>
      <c r="S1579">
        <v>0.24010618110807927</v>
      </c>
      <c r="T1579">
        <v>1.31362937158454</v>
      </c>
      <c r="U1579">
        <v>0.14232158190727662</v>
      </c>
      <c r="V1579">
        <v>0.18671617672808935</v>
      </c>
      <c r="W1579">
        <v>9.2964536577435433E-2</v>
      </c>
      <c r="X1579">
        <v>1.5779807782890575E-2</v>
      </c>
      <c r="Y1579">
        <v>4.0041712190294664E-3</v>
      </c>
    </row>
    <row r="1580" spans="1:25" x14ac:dyDescent="0.25">
      <c r="A1580" s="1096"/>
      <c r="B1580" s="1455">
        <v>1330</v>
      </c>
      <c r="C1580" s="1100">
        <v>0.97763317891366308</v>
      </c>
      <c r="D1580" s="1100">
        <v>1.0213381580550063</v>
      </c>
      <c r="E1580" s="1100">
        <v>1.0097814208210696</v>
      </c>
      <c r="F1580" s="1100">
        <v>0.99608900013994339</v>
      </c>
      <c r="G1580" s="1100">
        <v>1.0400389932862284</v>
      </c>
      <c r="H1580" s="1100">
        <v>0.98308556103771239</v>
      </c>
      <c r="I1580" s="1100">
        <v>0.98642415708703246</v>
      </c>
      <c r="K1580">
        <v>2.22192363984965</v>
      </c>
      <c r="L1580">
        <v>0</v>
      </c>
      <c r="M1580">
        <v>1.5169743405012395E-3</v>
      </c>
      <c r="N1580">
        <v>0.14203886651211056</v>
      </c>
      <c r="O1580">
        <v>2.0116705932715934E-2</v>
      </c>
      <c r="P1580">
        <v>2.6320992429454626E-2</v>
      </c>
      <c r="Q1580">
        <v>5.6653910518233933E-3</v>
      </c>
      <c r="R1580">
        <v>1.4952862711056854E-3</v>
      </c>
      <c r="S1580">
        <v>0.23985362735903876</v>
      </c>
      <c r="T1580">
        <v>1.3386243513554403</v>
      </c>
      <c r="U1580">
        <v>0.14606200516452852</v>
      </c>
      <c r="V1580">
        <v>0.19061822003827147</v>
      </c>
      <c r="W1580">
        <v>9.2771068287816172E-2</v>
      </c>
      <c r="X1580">
        <v>1.5804423478882917E-2</v>
      </c>
      <c r="Y1580">
        <v>4.0696763089628808E-3</v>
      </c>
    </row>
    <row r="1581" spans="1:25" x14ac:dyDescent="0.25">
      <c r="A1581" s="1096"/>
      <c r="B1581" s="1455">
        <v>1331</v>
      </c>
      <c r="C1581" s="1100">
        <v>0.98380368746577063</v>
      </c>
      <c r="D1581" s="1100">
        <v>1.0243764539323506</v>
      </c>
      <c r="E1581" s="1100">
        <v>1.0052725463682521</v>
      </c>
      <c r="F1581" s="1100">
        <v>0.97923863186295823</v>
      </c>
      <c r="G1581" s="1100">
        <v>0.98720443232483324</v>
      </c>
      <c r="H1581" s="1100">
        <v>0.99639111161059413</v>
      </c>
      <c r="I1581" s="1100">
        <v>0.98642159023696308</v>
      </c>
      <c r="K1581">
        <v>2.1909925248170348</v>
      </c>
      <c r="L1581">
        <v>0</v>
      </c>
      <c r="M1581">
        <v>1.5412284850600975E-3</v>
      </c>
      <c r="N1581">
        <v>0.14238599894958304</v>
      </c>
      <c r="O1581">
        <v>1.9974621621314675E-2</v>
      </c>
      <c r="P1581">
        <v>2.5811885019960006E-2</v>
      </c>
      <c r="Q1581">
        <v>5.6000439921247485E-3</v>
      </c>
      <c r="R1581">
        <v>1.5194879034015878E-3</v>
      </c>
      <c r="S1581">
        <v>0.23902641713059627</v>
      </c>
      <c r="T1581">
        <v>1.3159717251136756</v>
      </c>
      <c r="U1581">
        <v>0.14513532655680211</v>
      </c>
      <c r="V1581">
        <v>0.1842613798621191</v>
      </c>
      <c r="W1581">
        <v>9.3245866964949756E-2</v>
      </c>
      <c r="X1581">
        <v>1.5465455013558947E-2</v>
      </c>
      <c r="Y1581">
        <v>4.1355451740063848E-3</v>
      </c>
    </row>
    <row r="1582" spans="1:25" x14ac:dyDescent="0.25">
      <c r="A1582" s="1096"/>
      <c r="B1582" s="1455">
        <v>1332</v>
      </c>
      <c r="C1582" s="1100">
        <v>0.95642555378736738</v>
      </c>
      <c r="D1582" s="1100">
        <v>0.99423214898296453</v>
      </c>
      <c r="E1582" s="1100">
        <v>1.0172968857329279</v>
      </c>
      <c r="F1582" s="1100">
        <v>0.99265935673984318</v>
      </c>
      <c r="G1582" s="1100">
        <v>1.0198000986889646</v>
      </c>
      <c r="H1582" s="1100">
        <v>0.9881479543237236</v>
      </c>
      <c r="I1582" s="1100">
        <v>0.96930779800622902</v>
      </c>
      <c r="K1582">
        <v>2.2351462916607936</v>
      </c>
      <c r="L1582">
        <v>0</v>
      </c>
      <c r="M1582">
        <v>1.543544518927406E-3</v>
      </c>
      <c r="N1582">
        <v>0.1478535025301404</v>
      </c>
      <c r="O1582">
        <v>2.0689738841205996E-2</v>
      </c>
      <c r="P1582">
        <v>2.6501950215766103E-2</v>
      </c>
      <c r="Q1582">
        <v>5.8706260685650585E-3</v>
      </c>
      <c r="R1582">
        <v>1.5215896342148085E-3</v>
      </c>
      <c r="S1582">
        <v>0.2446451736453622</v>
      </c>
      <c r="T1582">
        <v>1.3340293796556073</v>
      </c>
      <c r="U1582">
        <v>0.14931888938083443</v>
      </c>
      <c r="V1582">
        <v>0.18968336589667939</v>
      </c>
      <c r="W1582">
        <v>9.6143000583567992E-2</v>
      </c>
      <c r="X1582">
        <v>1.6291354335332339E-2</v>
      </c>
      <c r="Y1582">
        <v>4.1412653924445958E-3</v>
      </c>
    </row>
    <row r="1583" spans="1:25" x14ac:dyDescent="0.25">
      <c r="A1583" s="1096"/>
      <c r="B1583" s="1455">
        <v>1333</v>
      </c>
      <c r="C1583" s="1100">
        <v>1.0303271660023559</v>
      </c>
      <c r="D1583" s="1100">
        <v>1.0054657445357391</v>
      </c>
      <c r="E1583" s="1100">
        <v>0.96562221709454843</v>
      </c>
      <c r="F1583" s="1100">
        <v>1.0024781850363818</v>
      </c>
      <c r="G1583" s="1100">
        <v>0.96890985862786794</v>
      </c>
      <c r="H1583" s="1100">
        <v>0.9688501947037973</v>
      </c>
      <c r="I1583" s="1100">
        <v>0.98758513299307815</v>
      </c>
      <c r="K1583">
        <v>2.1742427217107574</v>
      </c>
      <c r="L1583">
        <v>0</v>
      </c>
      <c r="M1583">
        <v>1.5597137932932934E-3</v>
      </c>
      <c r="N1583">
        <v>0.12775788379743747</v>
      </c>
      <c r="O1583">
        <v>1.9127077004805215E-2</v>
      </c>
      <c r="P1583">
        <v>2.5168600263505342E-2</v>
      </c>
      <c r="Q1583">
        <v>5.1512378728571463E-3</v>
      </c>
      <c r="R1583">
        <v>1.5370870391020861E-3</v>
      </c>
      <c r="S1583">
        <v>0.22822995499891599</v>
      </c>
      <c r="T1583">
        <v>1.3471521112752236</v>
      </c>
      <c r="U1583">
        <v>0.13849348148967847</v>
      </c>
      <c r="V1583">
        <v>0.17943727102163834</v>
      </c>
      <c r="W1583">
        <v>8.5684755215296726E-2</v>
      </c>
      <c r="X1583">
        <v>1.3879531305758789E-2</v>
      </c>
      <c r="Y1583">
        <v>4.1834442198296169E-3</v>
      </c>
    </row>
    <row r="1584" spans="1:25" x14ac:dyDescent="0.25">
      <c r="A1584" s="1096"/>
      <c r="B1584" s="1455">
        <v>1334</v>
      </c>
      <c r="C1584" s="1100">
        <v>1.0172188847156998</v>
      </c>
      <c r="D1584" s="1100">
        <v>0.99764471623515361</v>
      </c>
      <c r="E1584" s="1100">
        <v>0.99422170642626118</v>
      </c>
      <c r="F1584" s="1100">
        <v>0.98411194701517424</v>
      </c>
      <c r="G1584" s="1100">
        <v>0.9798326804879488</v>
      </c>
      <c r="H1584" s="1100">
        <v>0.96786889483147809</v>
      </c>
      <c r="I1584" s="1100">
        <v>0.99350343037043498</v>
      </c>
      <c r="K1584">
        <v>2.1678529764383039</v>
      </c>
      <c r="L1584">
        <v>0</v>
      </c>
      <c r="M1584">
        <v>1.4901466600791241E-3</v>
      </c>
      <c r="N1584">
        <v>0.13309019861016266</v>
      </c>
      <c r="O1584">
        <v>1.9424382751797878E-2</v>
      </c>
      <c r="P1584">
        <v>2.5511578252904475E-2</v>
      </c>
      <c r="Q1584">
        <v>5.385614240891296E-3</v>
      </c>
      <c r="R1584">
        <v>1.4685071981456177E-3</v>
      </c>
      <c r="S1584">
        <v>0.23360257864859066</v>
      </c>
      <c r="T1584">
        <v>1.3225035849847648</v>
      </c>
      <c r="U1584">
        <v>0.14034268348533446</v>
      </c>
      <c r="V1584">
        <v>0.18143750266942937</v>
      </c>
      <c r="W1584">
        <v>8.7732683005874335E-2</v>
      </c>
      <c r="X1584">
        <v>1.4847016750401822E-2</v>
      </c>
      <c r="Y1584">
        <v>3.9967925000846073E-3</v>
      </c>
    </row>
    <row r="1585" spans="1:25" x14ac:dyDescent="0.25">
      <c r="A1585" s="1096"/>
      <c r="B1585" s="1455">
        <v>1335</v>
      </c>
      <c r="C1585" s="1100">
        <v>0.97442867094714314</v>
      </c>
      <c r="D1585" s="1100">
        <v>0.98187587090710637</v>
      </c>
      <c r="E1585" s="1100">
        <v>1.0250893790668583</v>
      </c>
      <c r="F1585" s="1100">
        <v>1.0089936035424054</v>
      </c>
      <c r="G1585" s="1100">
        <v>1.0359551446448529</v>
      </c>
      <c r="H1585" s="1100">
        <v>1.0398597955444548</v>
      </c>
      <c r="I1585" s="1100">
        <v>1.0117065395146536</v>
      </c>
      <c r="K1585">
        <v>2.2780266579687574</v>
      </c>
      <c r="L1585">
        <v>0</v>
      </c>
      <c r="M1585">
        <v>1.5729873758149326E-3</v>
      </c>
      <c r="N1585">
        <v>0.1543681949799634</v>
      </c>
      <c r="O1585">
        <v>2.0368464712041918E-2</v>
      </c>
      <c r="P1585">
        <v>2.7096294403137124E-2</v>
      </c>
      <c r="Q1585">
        <v>5.8243829119182348E-3</v>
      </c>
      <c r="R1585">
        <v>1.5517263396214104E-3</v>
      </c>
      <c r="S1585">
        <v>0.25659047336405655</v>
      </c>
      <c r="T1585">
        <v>1.3559969879356122</v>
      </c>
      <c r="U1585">
        <v>0.14657861008290185</v>
      </c>
      <c r="V1585">
        <v>0.19037035233241853</v>
      </c>
      <c r="W1585">
        <v>9.9923071549946299E-2</v>
      </c>
      <c r="X1585">
        <v>1.6707799162953906E-2</v>
      </c>
      <c r="Y1585">
        <v>4.2232875699990983E-3</v>
      </c>
    </row>
    <row r="1586" spans="1:25" x14ac:dyDescent="0.25">
      <c r="A1586" s="1096"/>
      <c r="B1586" s="1455">
        <v>1336</v>
      </c>
      <c r="C1586" s="1100">
        <v>1.0041038942900573</v>
      </c>
      <c r="D1586" s="1100">
        <v>1.0262193498463916</v>
      </c>
      <c r="E1586" s="1100">
        <v>0.97633812971025957</v>
      </c>
      <c r="F1586" s="1100">
        <v>1.0185695049285768</v>
      </c>
      <c r="G1586" s="1100">
        <v>0.98752608389087304</v>
      </c>
      <c r="H1586" s="1100">
        <v>1.0357680806750569</v>
      </c>
      <c r="I1586" s="1100">
        <v>1.0271444727297865</v>
      </c>
      <c r="K1586">
        <v>2.2456485860859177</v>
      </c>
      <c r="L1586">
        <v>0</v>
      </c>
      <c r="M1586">
        <v>1.6660423006861571E-3</v>
      </c>
      <c r="N1586">
        <v>0.1411016243504144</v>
      </c>
      <c r="O1586">
        <v>1.9545180407473019E-2</v>
      </c>
      <c r="P1586">
        <v>2.6009803350572309E-2</v>
      </c>
      <c r="Q1586">
        <v>5.3217772934570822E-3</v>
      </c>
      <c r="R1586">
        <v>1.6434345436292142E-3</v>
      </c>
      <c r="S1586">
        <v>0.24662965435208054</v>
      </c>
      <c r="T1586">
        <v>1.3687863994244291</v>
      </c>
      <c r="U1586">
        <v>0.14213484491260678</v>
      </c>
      <c r="V1586">
        <v>0.18305353949905823</v>
      </c>
      <c r="W1586">
        <v>9.4019418875014624E-2</v>
      </c>
      <c r="X1586">
        <v>1.4596064308160824E-2</v>
      </c>
      <c r="Y1586">
        <v>4.4728870697070154E-3</v>
      </c>
    </row>
    <row r="1587" spans="1:25" x14ac:dyDescent="0.25">
      <c r="A1587" s="1096"/>
      <c r="B1587" s="1455">
        <v>1337</v>
      </c>
      <c r="C1587" s="1100">
        <v>1.0056602141089774</v>
      </c>
      <c r="D1587" s="1100">
        <v>1.0011229609421242</v>
      </c>
      <c r="E1587" s="1100">
        <v>1.0054906957827532</v>
      </c>
      <c r="F1587" s="1100">
        <v>0.99626058068968892</v>
      </c>
      <c r="G1587" s="1100">
        <v>1.0288254007693525</v>
      </c>
      <c r="H1587" s="1100">
        <v>1.0138830694065599</v>
      </c>
      <c r="I1587" s="1100">
        <v>0.98980339942751094</v>
      </c>
      <c r="K1587">
        <v>2.2139161046182143</v>
      </c>
      <c r="L1587">
        <v>0</v>
      </c>
      <c r="M1587">
        <v>1.5412724698142285E-3</v>
      </c>
      <c r="N1587">
        <v>0.1425190736719073</v>
      </c>
      <c r="O1587">
        <v>1.963959885422881E-2</v>
      </c>
      <c r="P1587">
        <v>2.6128368515433056E-2</v>
      </c>
      <c r="Q1587">
        <v>5.5073216163007586E-3</v>
      </c>
      <c r="R1587">
        <v>1.5199063565121947E-3</v>
      </c>
      <c r="S1587">
        <v>0.23870948431299474</v>
      </c>
      <c r="T1587">
        <v>1.3388474229031293</v>
      </c>
      <c r="U1587">
        <v>0.14198152627953581</v>
      </c>
      <c r="V1587">
        <v>0.18765552648350925</v>
      </c>
      <c r="W1587">
        <v>9.3320965919305707E-2</v>
      </c>
      <c r="X1587">
        <v>1.5491498109741556E-2</v>
      </c>
      <c r="Y1587">
        <v>4.1366840654304257E-3</v>
      </c>
    </row>
    <row r="1588" spans="1:25" x14ac:dyDescent="0.25">
      <c r="A1588" s="1096"/>
      <c r="B1588" s="1455">
        <v>1338</v>
      </c>
      <c r="C1588" s="1100">
        <v>0.98897188310814554</v>
      </c>
      <c r="D1588" s="1100">
        <v>0.97033468699818071</v>
      </c>
      <c r="E1588" s="1100">
        <v>1.0013410369558629</v>
      </c>
      <c r="F1588" s="1100">
        <v>0.99567084544122153</v>
      </c>
      <c r="G1588" s="1100">
        <v>0.99610937014584378</v>
      </c>
      <c r="H1588" s="1100">
        <v>1.0117633384467206</v>
      </c>
      <c r="I1588" s="1100">
        <v>1.0309399044883993</v>
      </c>
      <c r="K1588">
        <v>2.2360137944293728</v>
      </c>
      <c r="L1588">
        <v>0</v>
      </c>
      <c r="M1588">
        <v>1.5884097397338907E-3</v>
      </c>
      <c r="N1588">
        <v>0.14504405416460076</v>
      </c>
      <c r="O1588">
        <v>2.010608012245952E-2</v>
      </c>
      <c r="P1588">
        <v>2.6276869760835906E-2</v>
      </c>
      <c r="Q1588">
        <v>5.6147076320561626E-3</v>
      </c>
      <c r="R1588">
        <v>1.566344046318751E-3</v>
      </c>
      <c r="S1588">
        <v>0.25658770677445242</v>
      </c>
      <c r="T1588">
        <v>1.338048009824176</v>
      </c>
      <c r="U1588">
        <v>0.14436771726142283</v>
      </c>
      <c r="V1588">
        <v>0.18494927383189982</v>
      </c>
      <c r="W1588">
        <v>9.5208208907989048E-2</v>
      </c>
      <c r="X1588">
        <v>1.5570159693990695E-2</v>
      </c>
      <c r="Y1588">
        <v>4.263072148903542E-3</v>
      </c>
    </row>
    <row r="1589" spans="1:25" x14ac:dyDescent="0.25">
      <c r="A1589" s="1096"/>
      <c r="B1589" s="1455">
        <v>1339</v>
      </c>
      <c r="C1589" s="1100">
        <v>0.97926155777179591</v>
      </c>
      <c r="D1589" s="1100">
        <v>0.96590684365202317</v>
      </c>
      <c r="E1589" s="1100">
        <v>0.97354261166811285</v>
      </c>
      <c r="F1589" s="1100">
        <v>0.98508999286498344</v>
      </c>
      <c r="G1589" s="1100">
        <v>0.98494879576701388</v>
      </c>
      <c r="H1589" s="1100">
        <v>1.0410296055793025</v>
      </c>
      <c r="I1589" s="1100">
        <v>0.9777813424108579</v>
      </c>
      <c r="K1589">
        <v>2.2178211353392694</v>
      </c>
      <c r="L1589">
        <v>0</v>
      </c>
      <c r="M1589">
        <v>1.7500966552170983E-3</v>
      </c>
      <c r="N1589">
        <v>0.14698176667051849</v>
      </c>
      <c r="O1589">
        <v>2.0308060510173122E-2</v>
      </c>
      <c r="P1589">
        <v>2.5441664427168696E-2</v>
      </c>
      <c r="Q1589">
        <v>5.5137617160469811E-3</v>
      </c>
      <c r="R1589">
        <v>1.7264683304678116E-3</v>
      </c>
      <c r="S1589">
        <v>0.24847655381874248</v>
      </c>
      <c r="T1589">
        <v>1.3237926852033397</v>
      </c>
      <c r="U1589">
        <v>0.14573403814120681</v>
      </c>
      <c r="V1589">
        <v>0.18425802219110851</v>
      </c>
      <c r="W1589">
        <v>9.8103623515873789E-2</v>
      </c>
      <c r="X1589">
        <v>1.4535709804435663E-2</v>
      </c>
      <c r="Y1589">
        <v>4.6988776654012018E-3</v>
      </c>
    </row>
    <row r="1590" spans="1:25" x14ac:dyDescent="0.25">
      <c r="A1590" s="1096"/>
      <c r="B1590" s="1455">
        <v>1340</v>
      </c>
      <c r="C1590" s="1100">
        <v>1.000579328677528</v>
      </c>
      <c r="D1590" s="1100">
        <v>1.0256686221789182</v>
      </c>
      <c r="E1590" s="1100">
        <v>0.96672258007831546</v>
      </c>
      <c r="F1590" s="1100">
        <v>0.97989456095132743</v>
      </c>
      <c r="G1590" s="1100">
        <v>1.023839073651921</v>
      </c>
      <c r="H1590" s="1100">
        <v>0.97114962748967171</v>
      </c>
      <c r="I1590" s="1100">
        <v>1.0065538911970329</v>
      </c>
      <c r="K1590">
        <v>2.1718957715373279</v>
      </c>
      <c r="L1590">
        <v>0</v>
      </c>
      <c r="M1590">
        <v>1.5992315344310576E-3</v>
      </c>
      <c r="N1590">
        <v>0.13143670333196281</v>
      </c>
      <c r="O1590">
        <v>1.9610403171842112E-2</v>
      </c>
      <c r="P1590">
        <v>2.5067806435264451E-2</v>
      </c>
      <c r="Q1590">
        <v>5.2873614159124503E-3</v>
      </c>
      <c r="R1590">
        <v>1.5760864284471827E-3</v>
      </c>
      <c r="S1590">
        <v>0.23735281807826736</v>
      </c>
      <c r="T1590">
        <v>1.3168046574399566</v>
      </c>
      <c r="U1590">
        <v>0.14261349557477013</v>
      </c>
      <c r="V1590">
        <v>0.18735859944667757</v>
      </c>
      <c r="W1590">
        <v>8.8092871811319889E-2</v>
      </c>
      <c r="X1590">
        <v>1.4004612235856102E-2</v>
      </c>
      <c r="Y1590">
        <v>4.2895877014817278E-3</v>
      </c>
    </row>
    <row r="1591" spans="1:25" x14ac:dyDescent="0.25">
      <c r="A1591" s="1096"/>
      <c r="B1591" s="1455">
        <v>1341</v>
      </c>
      <c r="C1591" s="1100">
        <v>0.9928594889470268</v>
      </c>
      <c r="D1591" s="1100">
        <v>0.97904008274372567</v>
      </c>
      <c r="E1591" s="1100">
        <v>1.0237217504241301</v>
      </c>
      <c r="F1591" s="1100">
        <v>0.96651229797516403</v>
      </c>
      <c r="G1591" s="1100">
        <v>1.0112488194687097</v>
      </c>
      <c r="H1591" s="1100">
        <v>0.98701885960292113</v>
      </c>
      <c r="I1591" s="1100">
        <v>1.0095455779412477</v>
      </c>
      <c r="K1591">
        <v>2.1849340342306434</v>
      </c>
      <c r="L1591">
        <v>0</v>
      </c>
      <c r="M1591">
        <v>1.4704529912752274E-3</v>
      </c>
      <c r="N1591">
        <v>0.14360640188873944</v>
      </c>
      <c r="O1591">
        <v>2.0002213762575292E-2</v>
      </c>
      <c r="P1591">
        <v>2.6055389775041512E-2</v>
      </c>
      <c r="Q1591">
        <v>5.7119006140156298E-3</v>
      </c>
      <c r="R1591">
        <v>1.4495138112410604E-3</v>
      </c>
      <c r="S1591">
        <v>0.24731144012273307</v>
      </c>
      <c r="T1591">
        <v>1.298903121880417</v>
      </c>
      <c r="U1591">
        <v>0.14385443400540088</v>
      </c>
      <c r="V1591">
        <v>0.18644593038412494</v>
      </c>
      <c r="W1591">
        <v>9.3031075908786467E-2</v>
      </c>
      <c r="X1591">
        <v>1.6087966306745846E-2</v>
      </c>
      <c r="Y1591">
        <v>3.9450987620987107E-3</v>
      </c>
    </row>
    <row r="1592" spans="1:25" x14ac:dyDescent="0.25">
      <c r="A1592" s="1096"/>
      <c r="B1592" s="1455">
        <v>1342</v>
      </c>
      <c r="C1592" s="1100">
        <v>0.97510775149648787</v>
      </c>
      <c r="D1592" s="1100">
        <v>0.97989084209330302</v>
      </c>
      <c r="E1592" s="1100">
        <v>0.97421754638013414</v>
      </c>
      <c r="F1592" s="1100">
        <v>1.0036403799955733</v>
      </c>
      <c r="G1592" s="1100">
        <v>1.016555078914088</v>
      </c>
      <c r="H1592" s="1100">
        <v>0.97300136949730953</v>
      </c>
      <c r="I1592" s="1100">
        <v>0.99624746013226051</v>
      </c>
      <c r="K1592">
        <v>2.2299422599827916</v>
      </c>
      <c r="L1592">
        <v>0</v>
      </c>
      <c r="M1592">
        <v>1.6352330166975757E-3</v>
      </c>
      <c r="N1592">
        <v>0.13748413902333856</v>
      </c>
      <c r="O1592">
        <v>2.0330611627954111E-2</v>
      </c>
      <c r="P1592">
        <v>2.582613332742471E-2</v>
      </c>
      <c r="Q1592">
        <v>5.5236853696679312E-3</v>
      </c>
      <c r="R1592">
        <v>1.6116119137356815E-3</v>
      </c>
      <c r="S1592">
        <v>0.24684792951278955</v>
      </c>
      <c r="T1592">
        <v>1.3487219272171735</v>
      </c>
      <c r="U1592">
        <v>0.14635642915515207</v>
      </c>
      <c r="V1592">
        <v>0.18808945044096548</v>
      </c>
      <c r="W1592">
        <v>9.172681831834141E-2</v>
      </c>
      <c r="X1592">
        <v>1.4672480731480713E-2</v>
      </c>
      <c r="Y1592">
        <v>4.3862763614639436E-3</v>
      </c>
    </row>
    <row r="1593" spans="1:25" x14ac:dyDescent="0.25">
      <c r="A1593" s="1096"/>
      <c r="B1593" s="1455">
        <v>1343</v>
      </c>
      <c r="C1593" s="1100">
        <v>1.0288596698535886</v>
      </c>
      <c r="D1593" s="1100">
        <v>1.0271585536405901</v>
      </c>
      <c r="E1593" s="1100">
        <v>0.99143504857838038</v>
      </c>
      <c r="F1593" s="1100">
        <v>0.97660219892601341</v>
      </c>
      <c r="G1593" s="1100">
        <v>1.0108531415671207</v>
      </c>
      <c r="H1593" s="1100">
        <v>1.0109199585935624</v>
      </c>
      <c r="I1593" s="1100">
        <v>1.0164661561071242</v>
      </c>
      <c r="K1593">
        <v>2.1664374682319911</v>
      </c>
      <c r="L1593">
        <v>0</v>
      </c>
      <c r="M1593">
        <v>1.5378343445580048E-3</v>
      </c>
      <c r="N1593">
        <v>0.13628271331015274</v>
      </c>
      <c r="O1593">
        <v>1.908014675137323E-2</v>
      </c>
      <c r="P1593">
        <v>2.5374194657765622E-2</v>
      </c>
      <c r="Q1593">
        <v>5.2753148500198129E-3</v>
      </c>
      <c r="R1593">
        <v>1.516453406182211E-3</v>
      </c>
      <c r="S1593">
        <v>0.23624425696208362</v>
      </c>
      <c r="T1593">
        <v>1.3124076660146082</v>
      </c>
      <c r="U1593">
        <v>0.13874858123262873</v>
      </c>
      <c r="V1593">
        <v>0.18428186792891599</v>
      </c>
      <c r="W1593">
        <v>8.9986941494459044E-2</v>
      </c>
      <c r="X1593">
        <v>1.4649879695459854E-2</v>
      </c>
      <c r="Y1593">
        <v>4.1272862728969802E-3</v>
      </c>
    </row>
    <row r="1594" spans="1:25" x14ac:dyDescent="0.25">
      <c r="A1594" s="1096"/>
      <c r="B1594" s="1455">
        <v>1344</v>
      </c>
      <c r="C1594" s="1100">
        <v>1.0067352888289307</v>
      </c>
      <c r="D1594" s="1100">
        <v>1.0061949408262532</v>
      </c>
      <c r="E1594" s="1100">
        <v>0.99719525105936824</v>
      </c>
      <c r="F1594" s="1100">
        <v>0.96484709540625158</v>
      </c>
      <c r="G1594" s="1100">
        <v>0.97662365098324289</v>
      </c>
      <c r="H1594" s="1100">
        <v>1.0201244653170152</v>
      </c>
      <c r="I1594" s="1100">
        <v>0.98860020841776908</v>
      </c>
      <c r="K1594">
        <v>2.1630098860842373</v>
      </c>
      <c r="L1594">
        <v>0</v>
      </c>
      <c r="M1594">
        <v>1.5742454242463194E-3</v>
      </c>
      <c r="N1594">
        <v>0.14197765674615584</v>
      </c>
      <c r="O1594">
        <v>1.9591685438914246E-2</v>
      </c>
      <c r="P1594">
        <v>2.5299199922567281E-2</v>
      </c>
      <c r="Q1594">
        <v>5.4482996604305169E-3</v>
      </c>
      <c r="R1594">
        <v>1.5525557388211216E-3</v>
      </c>
      <c r="S1594">
        <v>0.23799545829731655</v>
      </c>
      <c r="T1594">
        <v>1.2966187211618549</v>
      </c>
      <c r="U1594">
        <v>0.14181093180066823</v>
      </c>
      <c r="V1594">
        <v>0.18168460926504645</v>
      </c>
      <c r="W1594">
        <v>9.3425450743520516E-2</v>
      </c>
      <c r="X1594">
        <v>1.4954017811979109E-2</v>
      </c>
      <c r="Y1594">
        <v>4.2255449212093409E-3</v>
      </c>
    </row>
    <row r="1595" spans="1:25" x14ac:dyDescent="0.25">
      <c r="A1595" s="1096"/>
      <c r="B1595" s="1455">
        <v>1345</v>
      </c>
      <c r="C1595" s="1100">
        <v>1.0219634291816069</v>
      </c>
      <c r="D1595" s="1100">
        <v>1.0390973503714025</v>
      </c>
      <c r="E1595" s="1100">
        <v>0.99971657145427617</v>
      </c>
      <c r="F1595" s="1100">
        <v>1.0222822273967027</v>
      </c>
      <c r="G1595" s="1100">
        <v>0.99603985518700766</v>
      </c>
      <c r="H1595" s="1100">
        <v>0.99803044652438455</v>
      </c>
      <c r="I1595" s="1100">
        <v>0.96724555109287558</v>
      </c>
      <c r="K1595">
        <v>2.2161366037370507</v>
      </c>
      <c r="L1595">
        <v>0</v>
      </c>
      <c r="M1595">
        <v>1.4986419624891576E-3</v>
      </c>
      <c r="N1595">
        <v>0.13615064752157102</v>
      </c>
      <c r="O1595">
        <v>1.9165142628541583E-2</v>
      </c>
      <c r="P1595">
        <v>2.619968907307765E-2</v>
      </c>
      <c r="Q1595">
        <v>5.3432174725881959E-3</v>
      </c>
      <c r="R1595">
        <v>1.4775368303614157E-3</v>
      </c>
      <c r="S1595">
        <v>0.22412414053104035</v>
      </c>
      <c r="T1595">
        <v>1.3738074732919168</v>
      </c>
      <c r="U1595">
        <v>0.1397035048216354</v>
      </c>
      <c r="V1595">
        <v>0.18300349250498987</v>
      </c>
      <c r="W1595">
        <v>8.9456789828086525E-2</v>
      </c>
      <c r="X1595">
        <v>1.5182243013371347E-2</v>
      </c>
      <c r="Y1595">
        <v>4.0213681823585493E-3</v>
      </c>
    </row>
    <row r="1596" spans="1:25" x14ac:dyDescent="0.25">
      <c r="A1596" s="1096"/>
      <c r="B1596" s="1455">
        <v>1346</v>
      </c>
      <c r="C1596" s="1100">
        <v>0.98534387036064797</v>
      </c>
      <c r="D1596" s="1100">
        <v>1.0143845427668046</v>
      </c>
      <c r="E1596" s="1100">
        <v>1.0214265292047935</v>
      </c>
      <c r="F1596" s="1100">
        <v>1.0154166997823495</v>
      </c>
      <c r="G1596" s="1100">
        <v>1.0049568299420781</v>
      </c>
      <c r="H1596" s="1100">
        <v>0.98709009858500119</v>
      </c>
      <c r="I1596" s="1100">
        <v>0.99292958229123252</v>
      </c>
      <c r="K1596">
        <v>2.2455253953764891</v>
      </c>
      <c r="L1596">
        <v>0</v>
      </c>
      <c r="M1596">
        <v>1.4773003492016216E-3</v>
      </c>
      <c r="N1596">
        <v>0.14327992344393323</v>
      </c>
      <c r="O1596">
        <v>1.9996682573779172E-2</v>
      </c>
      <c r="P1596">
        <v>2.6843543449425484E-2</v>
      </c>
      <c r="Q1596">
        <v>5.6973246631972152E-3</v>
      </c>
      <c r="R1596">
        <v>1.4562651813514941E-3</v>
      </c>
      <c r="S1596">
        <v>0.24077372403874547</v>
      </c>
      <c r="T1596">
        <v>1.3646212714779991</v>
      </c>
      <c r="U1596">
        <v>0.14494628894866152</v>
      </c>
      <c r="V1596">
        <v>0.18618852922172344</v>
      </c>
      <c r="W1596">
        <v>9.2944048711857435E-2</v>
      </c>
      <c r="X1596">
        <v>1.629162024906616E-2</v>
      </c>
      <c r="Y1596">
        <v>3.9634737659507528E-3</v>
      </c>
    </row>
    <row r="1597" spans="1:25" x14ac:dyDescent="0.25">
      <c r="A1597" s="1096"/>
      <c r="B1597" s="1455">
        <v>1347</v>
      </c>
      <c r="C1597" s="1100">
        <v>1.0074060623287984</v>
      </c>
      <c r="D1597" s="1100">
        <v>1.0003232960614425</v>
      </c>
      <c r="E1597" s="1100">
        <v>0.99146885087032244</v>
      </c>
      <c r="F1597" s="1100">
        <v>0.99552748088038634</v>
      </c>
      <c r="G1597" s="1100">
        <v>0.99612770367001591</v>
      </c>
      <c r="H1597" s="1100">
        <v>1.0205506035580938</v>
      </c>
      <c r="I1597" s="1100">
        <v>0.9705216668796216</v>
      </c>
      <c r="K1597">
        <v>2.2021789080191154</v>
      </c>
      <c r="L1597">
        <v>0</v>
      </c>
      <c r="M1597">
        <v>1.5946958530602532E-3</v>
      </c>
      <c r="N1597">
        <v>0.14135502113620543</v>
      </c>
      <c r="O1597">
        <v>1.9600318158810075E-2</v>
      </c>
      <c r="P1597">
        <v>2.5725461904179063E-2</v>
      </c>
      <c r="Q1597">
        <v>5.419317824002649E-3</v>
      </c>
      <c r="R1597">
        <v>1.5727335794447762E-3</v>
      </c>
      <c r="S1597">
        <v>0.23415753649672541</v>
      </c>
      <c r="T1597">
        <v>1.3378404689996244</v>
      </c>
      <c r="U1597">
        <v>0.14170343274277489</v>
      </c>
      <c r="V1597">
        <v>0.18384510572088736</v>
      </c>
      <c r="W1597">
        <v>9.3334278638818477E-2</v>
      </c>
      <c r="X1597">
        <v>1.4939466318937561E-2</v>
      </c>
      <c r="Y1597">
        <v>4.2804623517635546E-3</v>
      </c>
    </row>
    <row r="1598" spans="1:25" x14ac:dyDescent="0.25">
      <c r="A1598" s="1096"/>
      <c r="B1598" s="1455">
        <v>1348</v>
      </c>
      <c r="C1598" s="1100">
        <v>1.0305441590204356</v>
      </c>
      <c r="D1598" s="1100">
        <v>1.0015268294107396</v>
      </c>
      <c r="E1598" s="1100">
        <v>0.96994979561832873</v>
      </c>
      <c r="F1598" s="1100">
        <v>0.98707789273016555</v>
      </c>
      <c r="G1598" s="1100">
        <v>0.98192679302277242</v>
      </c>
      <c r="H1598" s="1100">
        <v>0.98446328053261101</v>
      </c>
      <c r="I1598" s="1100">
        <v>0.9991800878367163</v>
      </c>
      <c r="K1598">
        <v>2.1636736841089173</v>
      </c>
      <c r="L1598">
        <v>0</v>
      </c>
      <c r="M1598">
        <v>1.5717835309712789E-3</v>
      </c>
      <c r="N1598">
        <v>0.13047538291903332</v>
      </c>
      <c r="O1598">
        <v>1.9142178819228063E-2</v>
      </c>
      <c r="P1598">
        <v>2.5053403202907793E-2</v>
      </c>
      <c r="Q1598">
        <v>5.1781863859497032E-3</v>
      </c>
      <c r="R1598">
        <v>1.5493433069172092E-3</v>
      </c>
      <c r="S1598">
        <v>0.23255854455173544</v>
      </c>
      <c r="T1598">
        <v>1.3264606367394896</v>
      </c>
      <c r="U1598">
        <v>0.13847393740021247</v>
      </c>
      <c r="V1598">
        <v>0.18090014329627313</v>
      </c>
      <c r="W1598">
        <v>8.7276741819642581E-2</v>
      </c>
      <c r="X1598">
        <v>1.3960167457951301E-2</v>
      </c>
      <c r="Y1598">
        <v>4.2168017405447827E-3</v>
      </c>
    </row>
    <row r="1599" spans="1:25" x14ac:dyDescent="0.25">
      <c r="A1599" s="1096"/>
      <c r="B1599" s="1455">
        <v>1349</v>
      </c>
      <c r="C1599" s="1100">
        <v>1.0303750444413318</v>
      </c>
      <c r="D1599" s="1100">
        <v>1.0029733158054961</v>
      </c>
      <c r="E1599" s="1100">
        <v>0.99518779121397583</v>
      </c>
      <c r="F1599" s="1100">
        <v>0.98264405755064455</v>
      </c>
      <c r="G1599" s="1100">
        <v>0.97674142629645</v>
      </c>
      <c r="H1599" s="1100">
        <v>1.0154221622231496</v>
      </c>
      <c r="I1599" s="1100">
        <v>1.0074640184584249</v>
      </c>
      <c r="K1599">
        <v>2.174074182333618</v>
      </c>
      <c r="L1599">
        <v>0</v>
      </c>
      <c r="M1599">
        <v>1.538507608577214E-3</v>
      </c>
      <c r="N1599">
        <v>0.13790639186878476</v>
      </c>
      <c r="O1599">
        <v>1.9154490571378236E-2</v>
      </c>
      <c r="P1599">
        <v>2.550979521367782E-2</v>
      </c>
      <c r="Q1599">
        <v>5.3159587051468888E-3</v>
      </c>
      <c r="R1599">
        <v>1.5172121504555111E-3</v>
      </c>
      <c r="S1599">
        <v>0.23696646920146111</v>
      </c>
      <c r="T1599">
        <v>1.3205323566649718</v>
      </c>
      <c r="U1599">
        <v>0.13855289985773037</v>
      </c>
      <c r="V1599">
        <v>0.18034431774822227</v>
      </c>
      <c r="W1599">
        <v>9.0855102329258003E-2</v>
      </c>
      <c r="X1599">
        <v>1.4828344306418707E-2</v>
      </c>
      <c r="Y1599">
        <v>4.1293513246889214E-3</v>
      </c>
    </row>
    <row r="1600" spans="1:25" x14ac:dyDescent="0.25">
      <c r="A1600" s="1096"/>
      <c r="B1600" s="1455">
        <v>1350</v>
      </c>
      <c r="C1600" s="1100">
        <v>0.98549772795611856</v>
      </c>
      <c r="D1600" s="1100">
        <v>1.0287007871050278</v>
      </c>
      <c r="E1600" s="1100">
        <v>0.99445729116757042</v>
      </c>
      <c r="F1600" s="1100">
        <v>0.99730764605791722</v>
      </c>
      <c r="G1600" s="1100">
        <v>1.0108903184992097</v>
      </c>
      <c r="H1600" s="1100">
        <v>0.96259452113083555</v>
      </c>
      <c r="I1600" s="1100">
        <v>0.97983007157629476</v>
      </c>
      <c r="K1600">
        <v>2.2013940063794535</v>
      </c>
      <c r="L1600">
        <v>0</v>
      </c>
      <c r="M1600">
        <v>1.5187060225465355E-3</v>
      </c>
      <c r="N1600">
        <v>0.13572659254914973</v>
      </c>
      <c r="O1600">
        <v>1.9915001848246489E-2</v>
      </c>
      <c r="P1600">
        <v>2.5893911601292039E-2</v>
      </c>
      <c r="Q1600">
        <v>5.5229553550420786E-3</v>
      </c>
      <c r="R1600">
        <v>1.4965309879215035E-3</v>
      </c>
      <c r="S1600">
        <v>0.23377027295416763</v>
      </c>
      <c r="T1600">
        <v>1.3402370338867982</v>
      </c>
      <c r="U1600">
        <v>0.1448605773807734</v>
      </c>
      <c r="V1600">
        <v>0.18682541504204941</v>
      </c>
      <c r="W1600">
        <v>8.9458003634877742E-2</v>
      </c>
      <c r="X1600">
        <v>1.5133353143867538E-2</v>
      </c>
      <c r="Y1600">
        <v>4.07306401781475E-3</v>
      </c>
    </row>
    <row r="1601" spans="1:25" x14ac:dyDescent="0.25">
      <c r="A1601" s="1096"/>
      <c r="B1601" s="1455">
        <v>1351</v>
      </c>
      <c r="C1601" s="1100">
        <v>0.99705014918552015</v>
      </c>
      <c r="D1601" s="1100">
        <v>1.0012962492974511</v>
      </c>
      <c r="E1601" s="1100">
        <v>0.99318603227649516</v>
      </c>
      <c r="F1601" s="1100">
        <v>0.98781405696870561</v>
      </c>
      <c r="G1601" s="1100">
        <v>0.9988296032041265</v>
      </c>
      <c r="H1601" s="1100">
        <v>1.0073182309439539</v>
      </c>
      <c r="I1601" s="1100">
        <v>0.97887381796485384</v>
      </c>
      <c r="K1601">
        <v>2.1973895629001832</v>
      </c>
      <c r="L1601">
        <v>0</v>
      </c>
      <c r="M1601">
        <v>1.5843808997986594E-3</v>
      </c>
      <c r="N1601">
        <v>0.14114570861172965</v>
      </c>
      <c r="O1601">
        <v>1.9800736982887451E-2</v>
      </c>
      <c r="P1601">
        <v>2.5695640133866181E-2</v>
      </c>
      <c r="Q1601">
        <v>5.4842301731908294E-3</v>
      </c>
      <c r="R1601">
        <v>1.5622740489567191E-3</v>
      </c>
      <c r="S1601">
        <v>0.23748289223939581</v>
      </c>
      <c r="T1601">
        <v>1.327477194717722</v>
      </c>
      <c r="U1601">
        <v>0.14317920318321053</v>
      </c>
      <c r="V1601">
        <v>0.18476357534533036</v>
      </c>
      <c r="W1601">
        <v>9.3100428169836144E-2</v>
      </c>
      <c r="X1601">
        <v>1.5030065236094455E-2</v>
      </c>
      <c r="Y1601">
        <v>4.2519949577583607E-3</v>
      </c>
    </row>
    <row r="1602" spans="1:25" x14ac:dyDescent="0.25">
      <c r="A1602" s="1096"/>
      <c r="B1602" s="1455">
        <v>1352</v>
      </c>
      <c r="C1602" s="1100">
        <v>0.9661221379862428</v>
      </c>
      <c r="D1602" s="1100">
        <v>0.9943965682210465</v>
      </c>
      <c r="E1602" s="1100">
        <v>1.0292161279892043</v>
      </c>
      <c r="F1602" s="1100">
        <v>1.0127613380362277</v>
      </c>
      <c r="G1602" s="1100">
        <v>0.98757003760468764</v>
      </c>
      <c r="H1602" s="1100">
        <v>0.98894368217490891</v>
      </c>
      <c r="I1602" s="1100">
        <v>1.0088678858610178</v>
      </c>
      <c r="K1602">
        <v>2.2646325062980313</v>
      </c>
      <c r="L1602">
        <v>0</v>
      </c>
      <c r="M1602">
        <v>1.4917510303646474E-3</v>
      </c>
      <c r="N1602">
        <v>0.14812432418626004</v>
      </c>
      <c r="O1602">
        <v>2.0489082563104576E-2</v>
      </c>
      <c r="P1602">
        <v>2.7136327283035236E-2</v>
      </c>
      <c r="Q1602">
        <v>5.8828648604493114E-3</v>
      </c>
      <c r="R1602">
        <v>1.470549912372831E-3</v>
      </c>
      <c r="S1602">
        <v>0.25221535439686155</v>
      </c>
      <c r="T1602">
        <v>1.3610695767013041</v>
      </c>
      <c r="U1602">
        <v>0.14784873952364472</v>
      </c>
      <c r="V1602">
        <v>0.18542902272043552</v>
      </c>
      <c r="W1602">
        <v>9.5651472613842659E-2</v>
      </c>
      <c r="X1602">
        <v>1.6804590472254913E-2</v>
      </c>
      <c r="Y1602">
        <v>4.0023520948305165E-3</v>
      </c>
    </row>
    <row r="1603" spans="1:25" x14ac:dyDescent="0.25">
      <c r="A1603" s="1096"/>
      <c r="B1603" s="1455">
        <v>1353</v>
      </c>
      <c r="C1603" s="1100">
        <v>1.0123992564209188</v>
      </c>
      <c r="D1603" s="1100">
        <v>1.0323848777291953</v>
      </c>
      <c r="E1603" s="1100">
        <v>0.98054741892516184</v>
      </c>
      <c r="F1603" s="1100">
        <v>1.0001223007215609</v>
      </c>
      <c r="G1603" s="1100">
        <v>0.99062200844520665</v>
      </c>
      <c r="H1603" s="1100">
        <v>1.0069148439543425</v>
      </c>
      <c r="I1603" s="1100">
        <v>0.96405112105561097</v>
      </c>
      <c r="K1603">
        <v>2.1904946468587343</v>
      </c>
      <c r="L1603">
        <v>0</v>
      </c>
      <c r="M1603">
        <v>1.5903460884272201E-3</v>
      </c>
      <c r="N1603">
        <v>0.13636350674444792</v>
      </c>
      <c r="O1603">
        <v>1.9362073025664527E-2</v>
      </c>
      <c r="P1603">
        <v>2.5475319791586407E-2</v>
      </c>
      <c r="Q1603">
        <v>5.2945435601350812E-3</v>
      </c>
      <c r="R1603">
        <v>1.568147115648252E-3</v>
      </c>
      <c r="S1603">
        <v>0.22675368016182018</v>
      </c>
      <c r="T1603">
        <v>1.3440011692984843</v>
      </c>
      <c r="U1603">
        <v>0.14097976451435221</v>
      </c>
      <c r="V1603">
        <v>0.18292310616640745</v>
      </c>
      <c r="W1603">
        <v>9.0631363563464379E-2</v>
      </c>
      <c r="X1603">
        <v>1.4464339495910467E-2</v>
      </c>
      <c r="Y1603">
        <v>4.2679795092367984E-3</v>
      </c>
    </row>
    <row r="1604" spans="1:25" x14ac:dyDescent="0.25">
      <c r="A1604" s="1096"/>
      <c r="B1604" s="1455">
        <v>1354</v>
      </c>
      <c r="C1604" s="1100">
        <v>0.97306282997282101</v>
      </c>
      <c r="D1604" s="1100">
        <v>0.99448596585237714</v>
      </c>
      <c r="E1604" s="1100">
        <v>0.98967208939739582</v>
      </c>
      <c r="F1604" s="1100">
        <v>1.023289478390601</v>
      </c>
      <c r="G1604" s="1100">
        <v>1.0192104394132191</v>
      </c>
      <c r="H1604" s="1100">
        <v>0.99033254974816132</v>
      </c>
      <c r="I1604" s="1100">
        <v>1.0054267899737808</v>
      </c>
      <c r="K1604">
        <v>2.2675279089302767</v>
      </c>
      <c r="L1604">
        <v>0</v>
      </c>
      <c r="M1604">
        <v>1.6101394014322692E-3</v>
      </c>
      <c r="N1604">
        <v>0.14189026586379852</v>
      </c>
      <c r="O1604">
        <v>2.031708177293564E-2</v>
      </c>
      <c r="P1604">
        <v>2.653267820417711E-2</v>
      </c>
      <c r="Q1604">
        <v>5.6073072609351422E-3</v>
      </c>
      <c r="R1604">
        <v>1.587287812605109E-3</v>
      </c>
      <c r="S1604">
        <v>0.24935383968881633</v>
      </c>
      <c r="T1604">
        <v>1.3751459040744758</v>
      </c>
      <c r="U1604">
        <v>0.14670046195610709</v>
      </c>
      <c r="V1604">
        <v>0.18853085525059426</v>
      </c>
      <c r="W1604">
        <v>9.3788542810239767E-2</v>
      </c>
      <c r="X1604">
        <v>1.5363749460398337E-2</v>
      </c>
      <c r="Y1604">
        <v>4.3200741766243082E-3</v>
      </c>
    </row>
    <row r="1605" spans="1:25" x14ac:dyDescent="0.25">
      <c r="A1605" s="1096"/>
      <c r="B1605" s="1455">
        <v>1355</v>
      </c>
      <c r="C1605" s="1100">
        <v>1.0048729238369254</v>
      </c>
      <c r="D1605" s="1100">
        <v>1.0158127780998931</v>
      </c>
      <c r="E1605" s="1100">
        <v>0.97228935778529701</v>
      </c>
      <c r="F1605" s="1100">
        <v>1.0146492963775025</v>
      </c>
      <c r="G1605" s="1100">
        <v>0.99654765976518522</v>
      </c>
      <c r="H1605" s="1100">
        <v>1.0026663514897358</v>
      </c>
      <c r="I1605" s="1100">
        <v>0.99242856725008322</v>
      </c>
      <c r="K1605">
        <v>2.2227535458545948</v>
      </c>
      <c r="L1605">
        <v>0</v>
      </c>
      <c r="M1605">
        <v>1.628747943304877E-3</v>
      </c>
      <c r="N1605">
        <v>0.13620095924415351</v>
      </c>
      <c r="O1605">
        <v>1.9571567227504569E-2</v>
      </c>
      <c r="P1605">
        <v>2.5737428720239514E-2</v>
      </c>
      <c r="Q1605">
        <v>5.3070081612408455E-3</v>
      </c>
      <c r="R1605">
        <v>1.6059166025162478E-3</v>
      </c>
      <c r="S1605">
        <v>0.23667146842551759</v>
      </c>
      <c r="T1605">
        <v>1.3635140712969767</v>
      </c>
      <c r="U1605">
        <v>0.14201683129264239</v>
      </c>
      <c r="V1605">
        <v>0.18402479983447684</v>
      </c>
      <c r="W1605">
        <v>9.0977134409522542E-2</v>
      </c>
      <c r="X1605">
        <v>1.4384332981326655E-2</v>
      </c>
      <c r="Y1605">
        <v>4.3707756017834836E-3</v>
      </c>
    </row>
    <row r="1606" spans="1:25" x14ac:dyDescent="0.25">
      <c r="A1606" s="1096"/>
      <c r="B1606" s="1455">
        <v>1356</v>
      </c>
      <c r="C1606" s="1100">
        <v>0.99424431720087836</v>
      </c>
      <c r="D1606" s="1100">
        <v>1.0190564561592161</v>
      </c>
      <c r="E1606" s="1100">
        <v>0.98688949110256663</v>
      </c>
      <c r="F1606" s="1100">
        <v>0.9760620068309056</v>
      </c>
      <c r="G1606" s="1100">
        <v>0.97767911459154677</v>
      </c>
      <c r="H1606" s="1100">
        <v>0.97212158365322443</v>
      </c>
      <c r="I1606" s="1100">
        <v>0.97693057161612651</v>
      </c>
      <c r="K1606">
        <v>2.1645760791628503</v>
      </c>
      <c r="L1606">
        <v>0</v>
      </c>
      <c r="M1606">
        <v>1.5474656032648687E-3</v>
      </c>
      <c r="N1606">
        <v>0.13518820495381209</v>
      </c>
      <c r="O1606">
        <v>1.9776025995941904E-2</v>
      </c>
      <c r="P1606">
        <v>2.5272724450121471E-2</v>
      </c>
      <c r="Q1606">
        <v>5.4426374677779147E-3</v>
      </c>
      <c r="R1606">
        <v>1.5250920791922964E-3</v>
      </c>
      <c r="S1606">
        <v>0.23280804938828928</v>
      </c>
      <c r="T1606">
        <v>1.3116757133370558</v>
      </c>
      <c r="U1606">
        <v>0.14356870813107819</v>
      </c>
      <c r="V1606">
        <v>0.18253515366675263</v>
      </c>
      <c r="W1606">
        <v>8.9507807296117556E-2</v>
      </c>
      <c r="X1606">
        <v>1.4672630106882516E-2</v>
      </c>
      <c r="Y1606">
        <v>4.150797893092641E-3</v>
      </c>
    </row>
    <row r="1607" spans="1:25" x14ac:dyDescent="0.25">
      <c r="A1607" s="1096"/>
      <c r="B1607" s="1455">
        <v>1357</v>
      </c>
      <c r="C1607" s="1100">
        <v>0.98837446711861754</v>
      </c>
      <c r="D1607" s="1100">
        <v>0.98799884313980146</v>
      </c>
      <c r="E1607" s="1100">
        <v>0.97666386286170248</v>
      </c>
      <c r="F1607" s="1100">
        <v>1.0010422190361872</v>
      </c>
      <c r="G1607" s="1100">
        <v>0.9987176288049826</v>
      </c>
      <c r="H1607" s="1100">
        <v>1.0427885559557086</v>
      </c>
      <c r="I1607" s="1100">
        <v>1.0035235814478647</v>
      </c>
      <c r="K1607">
        <v>2.2380165037640722</v>
      </c>
      <c r="L1607">
        <v>0</v>
      </c>
      <c r="M1607">
        <v>1.7171607978686138E-3</v>
      </c>
      <c r="N1607">
        <v>0.14558790843033942</v>
      </c>
      <c r="O1607">
        <v>2.0022933515668629E-2</v>
      </c>
      <c r="P1607">
        <v>2.58057031771576E-2</v>
      </c>
      <c r="Q1607">
        <v>5.4536690815193472E-3</v>
      </c>
      <c r="R1607">
        <v>1.6940162508285142E-3</v>
      </c>
      <c r="S1607">
        <v>0.25000578488332403</v>
      </c>
      <c r="T1607">
        <v>1.3452330211940398</v>
      </c>
      <c r="U1607">
        <v>0.14439759740385885</v>
      </c>
      <c r="V1607">
        <v>0.18525883479456148</v>
      </c>
      <c r="W1607">
        <v>9.6989606953976959E-2</v>
      </c>
      <c r="X1607">
        <v>1.4674035074215032E-2</v>
      </c>
      <c r="Y1607">
        <v>4.6105538024482119E-3</v>
      </c>
    </row>
    <row r="1608" spans="1:25" x14ac:dyDescent="0.25">
      <c r="A1608" s="1096"/>
      <c r="B1608" s="1455">
        <v>1358</v>
      </c>
      <c r="C1608" s="1100">
        <v>0.98259670919152597</v>
      </c>
      <c r="D1608" s="1100">
        <v>0.98786454042243377</v>
      </c>
      <c r="E1608" s="1100">
        <v>1.0142135472181533</v>
      </c>
      <c r="F1608" s="1100">
        <v>0.98859291975786034</v>
      </c>
      <c r="G1608" s="1100">
        <v>1.0315326795590369</v>
      </c>
      <c r="H1608" s="1100">
        <v>0.95268976522839799</v>
      </c>
      <c r="I1608" s="1100">
        <v>0.96527189889469311</v>
      </c>
      <c r="K1608">
        <v>2.1987992887481571</v>
      </c>
      <c r="L1608">
        <v>0</v>
      </c>
      <c r="M1608">
        <v>1.4598990226818375E-3</v>
      </c>
      <c r="N1608">
        <v>0.13847169858346883</v>
      </c>
      <c r="O1608">
        <v>2.016519070481752E-2</v>
      </c>
      <c r="P1608">
        <v>2.6175083121537879E-2</v>
      </c>
      <c r="Q1608">
        <v>5.7042347785071302E-3</v>
      </c>
      <c r="R1608">
        <v>1.4383610265254381E-3</v>
      </c>
      <c r="S1608">
        <v>0.23507877827800072</v>
      </c>
      <c r="T1608">
        <v>1.3285586285406694</v>
      </c>
      <c r="U1608">
        <v>0.14533458552903514</v>
      </c>
      <c r="V1608">
        <v>0.18935417152935838</v>
      </c>
      <c r="W1608">
        <v>9.0205522459413004E-2</v>
      </c>
      <c r="X1608">
        <v>1.5858188660885855E-2</v>
      </c>
      <c r="Y1608">
        <v>3.9147445586172804E-3</v>
      </c>
    </row>
    <row r="1609" spans="1:25" x14ac:dyDescent="0.25">
      <c r="A1609" s="1096"/>
      <c r="B1609" s="1455">
        <v>1359</v>
      </c>
      <c r="C1609" s="1100">
        <v>1.0066217620256939</v>
      </c>
      <c r="D1609" s="1100">
        <v>1.0086004968602269</v>
      </c>
      <c r="E1609" s="1100">
        <v>0.95913576082400309</v>
      </c>
      <c r="F1609" s="1100">
        <v>1.0037565738340908</v>
      </c>
      <c r="G1609" s="1100">
        <v>0.99154533120591248</v>
      </c>
      <c r="H1609" s="1100">
        <v>0.99878092510124661</v>
      </c>
      <c r="I1609" s="1100">
        <v>0.9515272784940676</v>
      </c>
      <c r="K1609">
        <v>2.1932018023894351</v>
      </c>
      <c r="L1609">
        <v>0</v>
      </c>
      <c r="M1609">
        <v>1.6667803890009481E-3</v>
      </c>
      <c r="N1609">
        <v>0.13393012506852084</v>
      </c>
      <c r="O1609">
        <v>1.9560113924411461E-2</v>
      </c>
      <c r="P1609">
        <v>2.5143194387731802E-2</v>
      </c>
      <c r="Q1609">
        <v>5.2329052815069744E-3</v>
      </c>
      <c r="R1609">
        <v>1.6433250281180597E-3</v>
      </c>
      <c r="S1609">
        <v>0.22693912960098045</v>
      </c>
      <c r="T1609">
        <v>1.3488650694943443</v>
      </c>
      <c r="U1609">
        <v>0.1417401849687471</v>
      </c>
      <c r="V1609">
        <v>0.18334604645146851</v>
      </c>
      <c r="W1609">
        <v>9.0181838242114773E-2</v>
      </c>
      <c r="X1609">
        <v>1.3814061325901926E-2</v>
      </c>
      <c r="Y1609">
        <v>4.4725890045874302E-3</v>
      </c>
    </row>
    <row r="1610" spans="1:25" x14ac:dyDescent="0.25">
      <c r="A1610" s="1096"/>
      <c r="B1610" s="1455">
        <v>1360</v>
      </c>
      <c r="C1610" s="1100">
        <v>1.0148288163992079</v>
      </c>
      <c r="D1610" s="1100">
        <v>1.0461930628262868</v>
      </c>
      <c r="E1610" s="1100">
        <v>1.0292451207016737</v>
      </c>
      <c r="F1610" s="1100">
        <v>1.0276812342292809</v>
      </c>
      <c r="G1610" s="1100">
        <v>0.98460805897522052</v>
      </c>
      <c r="H1610" s="1100">
        <v>1.0128577980060125</v>
      </c>
      <c r="I1610" s="1100">
        <v>1.0330174625358597</v>
      </c>
      <c r="K1610">
        <v>2.253014840438941</v>
      </c>
      <c r="L1610">
        <v>0</v>
      </c>
      <c r="M1610">
        <v>1.4382513239631915E-3</v>
      </c>
      <c r="N1610">
        <v>0.14287313841393876</v>
      </c>
      <c r="O1610">
        <v>1.9289042366910744E-2</v>
      </c>
      <c r="P1610">
        <v>2.7124533205841982E-2</v>
      </c>
      <c r="Q1610">
        <v>5.5384658318392956E-3</v>
      </c>
      <c r="R1610">
        <v>1.4182931739194773E-3</v>
      </c>
      <c r="S1610">
        <v>0.24166260566840145</v>
      </c>
      <c r="T1610">
        <v>1.381120780280362</v>
      </c>
      <c r="U1610">
        <v>0.14075280979782745</v>
      </c>
      <c r="V1610">
        <v>0.18214577435073434</v>
      </c>
      <c r="W1610">
        <v>9.2258959027238241E-2</v>
      </c>
      <c r="X1610">
        <v>1.640856316669969E-2</v>
      </c>
      <c r="Y1610">
        <v>3.8601264791896894E-3</v>
      </c>
    </row>
    <row r="1611" spans="1:25" x14ac:dyDescent="0.25">
      <c r="A1611" s="1096"/>
      <c r="B1611" s="1455">
        <v>1361</v>
      </c>
      <c r="C1611" s="1100">
        <v>0.98496296195269417</v>
      </c>
      <c r="D1611" s="1100">
        <v>1.0182866505163257</v>
      </c>
      <c r="E1611" s="1100">
        <v>0.9705319371549298</v>
      </c>
      <c r="F1611" s="1100">
        <v>0.99804681355448654</v>
      </c>
      <c r="G1611" s="1100">
        <v>1.0109460934445875</v>
      </c>
      <c r="H1611" s="1100">
        <v>0.99652422434686028</v>
      </c>
      <c r="I1611" s="1100">
        <v>1.0131096906715393</v>
      </c>
      <c r="K1611">
        <v>2.2182904429261487</v>
      </c>
      <c r="L1611">
        <v>0</v>
      </c>
      <c r="M1611">
        <v>1.6566096135413094E-3</v>
      </c>
      <c r="N1611">
        <v>0.13778363767526966</v>
      </c>
      <c r="O1611">
        <v>1.9955398177419491E-2</v>
      </c>
      <c r="P1611">
        <v>2.5601157003073156E-2</v>
      </c>
      <c r="Q1611">
        <v>5.4013842666316304E-3</v>
      </c>
      <c r="R1611">
        <v>1.6332445861852367E-3</v>
      </c>
      <c r="S1611">
        <v>0.24567242416384177</v>
      </c>
      <c r="T1611">
        <v>1.3412014996005914</v>
      </c>
      <c r="U1611">
        <v>0.14488345923819662</v>
      </c>
      <c r="V1611">
        <v>0.18684380587619287</v>
      </c>
      <c r="W1611">
        <v>9.2132688771570534E-2</v>
      </c>
      <c r="X1611">
        <v>1.4393199816056671E-2</v>
      </c>
      <c r="Y1611">
        <v>4.4451533646630761E-3</v>
      </c>
    </row>
    <row r="1612" spans="1:25" x14ac:dyDescent="0.25">
      <c r="A1612" s="1096"/>
      <c r="B1612" s="1455">
        <v>1362</v>
      </c>
      <c r="C1612" s="1100">
        <v>0.96495523686895113</v>
      </c>
      <c r="D1612" s="1100">
        <v>1.0114438232144154</v>
      </c>
      <c r="E1612" s="1100">
        <v>0.97535352990674629</v>
      </c>
      <c r="F1612" s="1100">
        <v>1.0034273123650168</v>
      </c>
      <c r="G1612" s="1100">
        <v>0.98617338547522726</v>
      </c>
      <c r="H1612" s="1100">
        <v>0.98481427540122857</v>
      </c>
      <c r="I1612" s="1100">
        <v>1.0179408847555551</v>
      </c>
      <c r="K1612">
        <v>2.2375500263274595</v>
      </c>
      <c r="L1612">
        <v>0</v>
      </c>
      <c r="M1612">
        <v>1.6569850310783781E-3</v>
      </c>
      <c r="N1612">
        <v>0.13981738291114809</v>
      </c>
      <c r="O1612">
        <v>2.040249790400751E-2</v>
      </c>
      <c r="P1612">
        <v>2.5895097996263074E-2</v>
      </c>
      <c r="Q1612">
        <v>5.5496389576466382E-3</v>
      </c>
      <c r="R1612">
        <v>1.6333368236183057E-3</v>
      </c>
      <c r="S1612">
        <v>0.25185980752289433</v>
      </c>
      <c r="T1612">
        <v>1.3484367850950576</v>
      </c>
      <c r="U1612">
        <v>0.14789897792497428</v>
      </c>
      <c r="V1612">
        <v>0.18529581379385396</v>
      </c>
      <c r="W1612">
        <v>9.3219285220450657E-2</v>
      </c>
      <c r="X1612">
        <v>1.475298280407379E-2</v>
      </c>
      <c r="Y1612">
        <v>4.4454044045498277E-3</v>
      </c>
    </row>
    <row r="1613" spans="1:25" x14ac:dyDescent="0.25">
      <c r="A1613" s="1096"/>
      <c r="B1613" s="1455">
        <v>1363</v>
      </c>
      <c r="C1613" s="1100">
        <v>0.96089011255856138</v>
      </c>
      <c r="D1613" s="1100">
        <v>1.0199026357149628</v>
      </c>
      <c r="E1613" s="1100">
        <v>0.97447923310123774</v>
      </c>
      <c r="F1613" s="1100">
        <v>0.99948346007798239</v>
      </c>
      <c r="G1613" s="1100">
        <v>1.0256239234572446</v>
      </c>
      <c r="H1613" s="1100">
        <v>0.9837392603720293</v>
      </c>
      <c r="I1613" s="1100">
        <v>1.0387856175534407</v>
      </c>
      <c r="K1613">
        <v>2.2429480200974008</v>
      </c>
      <c r="L1613">
        <v>0</v>
      </c>
      <c r="M1613">
        <v>1.6621356776069392E-3</v>
      </c>
      <c r="N1613">
        <v>0.13987912410900288</v>
      </c>
      <c r="O1613">
        <v>2.0450742820676233E-2</v>
      </c>
      <c r="P1613">
        <v>2.5946365521535203E-2</v>
      </c>
      <c r="Q1613">
        <v>5.5578068919247816E-3</v>
      </c>
      <c r="R1613">
        <v>1.6383880382744552E-3</v>
      </c>
      <c r="S1613">
        <v>0.25693635682626714</v>
      </c>
      <c r="T1613">
        <v>1.3431360033050119</v>
      </c>
      <c r="U1613">
        <v>0.14852259032486684</v>
      </c>
      <c r="V1613">
        <v>0.19001466431582864</v>
      </c>
      <c r="W1613">
        <v>9.3309895543995894E-2</v>
      </c>
      <c r="X1613">
        <v>1.4759065931910377E-2</v>
      </c>
      <c r="Y1613">
        <v>4.4591521457114031E-3</v>
      </c>
    </row>
    <row r="1614" spans="1:25" x14ac:dyDescent="0.25">
      <c r="A1614" s="1096"/>
      <c r="B1614" s="1455">
        <v>1364</v>
      </c>
      <c r="C1614" s="1100">
        <v>1.0347833284687793</v>
      </c>
      <c r="D1614" s="1100">
        <v>1.0010715162464945</v>
      </c>
      <c r="E1614" s="1100">
        <v>1.0318473956616869</v>
      </c>
      <c r="F1614" s="1100">
        <v>0.97053864714417304</v>
      </c>
      <c r="G1614" s="1100">
        <v>1.0114310534158166</v>
      </c>
      <c r="H1614" s="1100">
        <v>1.0066146380429524</v>
      </c>
      <c r="I1614" s="1100">
        <v>1.0182999296737751</v>
      </c>
      <c r="K1614">
        <v>2.1669811554507414</v>
      </c>
      <c r="L1614">
        <v>0</v>
      </c>
      <c r="M1614">
        <v>1.4078293461547585E-3</v>
      </c>
      <c r="N1614">
        <v>0.14094014210747352</v>
      </c>
      <c r="O1614">
        <v>1.9103026881563335E-2</v>
      </c>
      <c r="P1614">
        <v>2.6045181802768755E-2</v>
      </c>
      <c r="Q1614">
        <v>5.4991813577783622E-3</v>
      </c>
      <c r="R1614">
        <v>1.3881721872172554E-3</v>
      </c>
      <c r="S1614">
        <v>0.23830220797025356</v>
      </c>
      <c r="T1614">
        <v>1.30433142274172</v>
      </c>
      <c r="U1614">
        <v>0.13804438308182956</v>
      </c>
      <c r="V1614">
        <v>0.18405206474434835</v>
      </c>
      <c r="W1614">
        <v>9.0873430830152868E-2</v>
      </c>
      <c r="X1614">
        <v>1.6031624009023658E-2</v>
      </c>
      <c r="Y1614">
        <v>3.778147082766838E-3</v>
      </c>
    </row>
    <row r="1615" spans="1:25" x14ac:dyDescent="0.25">
      <c r="A1615" s="1096"/>
      <c r="B1615" s="1455">
        <v>1365</v>
      </c>
      <c r="C1615" s="1100">
        <v>1.0018356388893137</v>
      </c>
      <c r="D1615" s="1100">
        <v>0.98211314489240731</v>
      </c>
      <c r="E1615" s="1100">
        <v>1.0060677179108395</v>
      </c>
      <c r="F1615" s="1100">
        <v>0.97922621013800004</v>
      </c>
      <c r="G1615" s="1100">
        <v>1.0343105817125366</v>
      </c>
      <c r="H1615" s="1100">
        <v>0.99878647052959102</v>
      </c>
      <c r="I1615" s="1100">
        <v>1.0260336646785777</v>
      </c>
      <c r="K1615">
        <v>2.201690811571257</v>
      </c>
      <c r="L1615">
        <v>0</v>
      </c>
      <c r="M1615">
        <v>1.5287286680883119E-3</v>
      </c>
      <c r="N1615">
        <v>0.14157562238216942</v>
      </c>
      <c r="O1615">
        <v>1.9798260458646338E-2</v>
      </c>
      <c r="P1615">
        <v>2.5993325167820311E-2</v>
      </c>
      <c r="Q1615">
        <v>5.555024148347922E-3</v>
      </c>
      <c r="R1615">
        <v>1.5072161258510267E-3</v>
      </c>
      <c r="S1615">
        <v>0.24953737453739219</v>
      </c>
      <c r="T1615">
        <v>1.3159563672256813</v>
      </c>
      <c r="U1615">
        <v>0.14252487759164259</v>
      </c>
      <c r="V1615">
        <v>0.18850126706418277</v>
      </c>
      <c r="W1615">
        <v>9.2671554930680897E-2</v>
      </c>
      <c r="X1615">
        <v>1.5496505166026041E-2</v>
      </c>
      <c r="Y1615">
        <v>4.1021454409041402E-3</v>
      </c>
    </row>
    <row r="1616" spans="1:25" x14ac:dyDescent="0.25">
      <c r="A1616" s="1096"/>
      <c r="B1616" s="1455">
        <v>1366</v>
      </c>
      <c r="C1616" s="1100">
        <v>1.0056197287030415</v>
      </c>
      <c r="D1616" s="1100">
        <v>0.99161992730900139</v>
      </c>
      <c r="E1616" s="1100">
        <v>1.0031830998421147</v>
      </c>
      <c r="F1616" s="1100">
        <v>0.97864169172560711</v>
      </c>
      <c r="G1616" s="1100">
        <v>1.0325195290177327</v>
      </c>
      <c r="H1616" s="1100">
        <v>0.96814574095761396</v>
      </c>
      <c r="I1616" s="1100">
        <v>1.0394952789085061</v>
      </c>
      <c r="K1616">
        <v>2.1888094160440672</v>
      </c>
      <c r="L1616">
        <v>0</v>
      </c>
      <c r="M1616">
        <v>1.4819763327136206E-3</v>
      </c>
      <c r="N1616">
        <v>0.1359939216089211</v>
      </c>
      <c r="O1616">
        <v>1.9680207102484124E-2</v>
      </c>
      <c r="P1616">
        <v>2.5893726241995131E-2</v>
      </c>
      <c r="Q1616">
        <v>5.5059534774509105E-3</v>
      </c>
      <c r="R1616">
        <v>1.4604616718033843E-3</v>
      </c>
      <c r="S1616">
        <v>0.24808261450675292</v>
      </c>
      <c r="T1616">
        <v>1.3151660708608521</v>
      </c>
      <c r="U1616">
        <v>0.14198195563963401</v>
      </c>
      <c r="V1616">
        <v>0.18807345253142949</v>
      </c>
      <c r="W1616">
        <v>8.9170116827519005E-2</v>
      </c>
      <c r="X1616">
        <v>1.5308016678351424E-2</v>
      </c>
      <c r="Y1616">
        <v>3.9748952295880907E-3</v>
      </c>
    </row>
    <row r="1617" spans="1:25" x14ac:dyDescent="0.25">
      <c r="A1617" s="1096"/>
      <c r="B1617" s="1455">
        <v>1367</v>
      </c>
      <c r="C1617" s="1100">
        <v>0.97627171847495187</v>
      </c>
      <c r="D1617" s="1100">
        <v>0.98979092630779164</v>
      </c>
      <c r="E1617" s="1100">
        <v>0.98110575767905772</v>
      </c>
      <c r="F1617" s="1100">
        <v>1.0257222327182551</v>
      </c>
      <c r="G1617" s="1100">
        <v>1.0373235565896779</v>
      </c>
      <c r="H1617" s="1100">
        <v>1.0108914105279272</v>
      </c>
      <c r="I1617" s="1100">
        <v>1.0105503802340547</v>
      </c>
      <c r="K1617">
        <v>2.277453935609508</v>
      </c>
      <c r="L1617">
        <v>0</v>
      </c>
      <c r="M1617">
        <v>1.6692010295772026E-3</v>
      </c>
      <c r="N1617">
        <v>0.14337484832858274</v>
      </c>
      <c r="O1617">
        <v>2.0265914639859405E-2</v>
      </c>
      <c r="P1617">
        <v>2.6459396201403061E-2</v>
      </c>
      <c r="Q1617">
        <v>5.5448426631196637E-3</v>
      </c>
      <c r="R1617">
        <v>1.6459930082752859E-3</v>
      </c>
      <c r="S1617">
        <v>0.25203370814249432</v>
      </c>
      <c r="T1617">
        <v>1.3784039719944499</v>
      </c>
      <c r="U1617">
        <v>0.14619812044079888</v>
      </c>
      <c r="V1617">
        <v>0.19037056617572481</v>
      </c>
      <c r="W1617">
        <v>9.5259216071750974E-2</v>
      </c>
      <c r="X1617">
        <v>1.5086708605551126E-2</v>
      </c>
      <c r="Y1617">
        <v>4.4798503670759778E-3</v>
      </c>
    </row>
    <row r="1618" spans="1:25" x14ac:dyDescent="0.25">
      <c r="A1618" s="1096"/>
      <c r="B1618" s="1455">
        <v>1368</v>
      </c>
      <c r="C1618" s="1100">
        <v>0.98939232828339474</v>
      </c>
      <c r="D1618" s="1100">
        <v>1.0010575262885175</v>
      </c>
      <c r="E1618" s="1100">
        <v>1.0096369229772448</v>
      </c>
      <c r="F1618" s="1100">
        <v>1.0080016150992306</v>
      </c>
      <c r="G1618" s="1100">
        <v>1.0392572893877023</v>
      </c>
      <c r="H1618" s="1100">
        <v>1.0083833423372832</v>
      </c>
      <c r="I1618" s="1100">
        <v>0.99392830429328016</v>
      </c>
      <c r="K1618">
        <v>2.2432366536139181</v>
      </c>
      <c r="L1618">
        <v>0</v>
      </c>
      <c r="M1618">
        <v>1.5447800641054186E-3</v>
      </c>
      <c r="N1618">
        <v>0.14463192271267147</v>
      </c>
      <c r="O1618">
        <v>1.996542636631397E-2</v>
      </c>
      <c r="P1618">
        <v>2.6549748329742391E-2</v>
      </c>
      <c r="Q1618">
        <v>5.6219745065860796E-3</v>
      </c>
      <c r="R1618">
        <v>1.5232485301965469E-3</v>
      </c>
      <c r="S1618">
        <v>0.24324269840316057</v>
      </c>
      <c r="T1618">
        <v>1.3546332170461715</v>
      </c>
      <c r="U1618">
        <v>0.14432568877463905</v>
      </c>
      <c r="V1618">
        <v>0.18980840785083794</v>
      </c>
      <c r="W1618">
        <v>9.4472744652446788E-2</v>
      </c>
      <c r="X1618">
        <v>1.5860576144806127E-2</v>
      </c>
      <c r="Y1618">
        <v>4.1457803604519755E-3</v>
      </c>
    </row>
    <row r="1619" spans="1:25" x14ac:dyDescent="0.25">
      <c r="A1619" s="1096"/>
      <c r="B1619" s="1455">
        <v>1369</v>
      </c>
      <c r="C1619" s="1100">
        <v>0.9967764072814711</v>
      </c>
      <c r="D1619" s="1100">
        <v>1.0232211098300636</v>
      </c>
      <c r="E1619" s="1100">
        <v>1.021037282469295</v>
      </c>
      <c r="F1619" s="1100">
        <v>0.99723728756567698</v>
      </c>
      <c r="G1619" s="1100">
        <v>1.0163345838682927</v>
      </c>
      <c r="H1619" s="1100">
        <v>0.9898915995558818</v>
      </c>
      <c r="I1619" s="1100">
        <v>1.0090109198004293</v>
      </c>
      <c r="K1619">
        <v>2.2167869784300067</v>
      </c>
      <c r="L1619">
        <v>0</v>
      </c>
      <c r="M1619">
        <v>1.4628937967072204E-3</v>
      </c>
      <c r="N1619">
        <v>0.1417219625670228</v>
      </c>
      <c r="O1619">
        <v>1.9729403312705625E-2</v>
      </c>
      <c r="P1619">
        <v>2.6486352820632317E-2</v>
      </c>
      <c r="Q1619">
        <v>5.6189998798149201E-3</v>
      </c>
      <c r="R1619">
        <v>1.4421227139311417E-3</v>
      </c>
      <c r="S1619">
        <v>0.24104888154209358</v>
      </c>
      <c r="T1619">
        <v>1.3401891143981508</v>
      </c>
      <c r="U1619">
        <v>0.14328292406742402</v>
      </c>
      <c r="V1619">
        <v>0.18678342996780464</v>
      </c>
      <c r="W1619">
        <v>9.195433540737899E-2</v>
      </c>
      <c r="X1619">
        <v>1.6067362918056487E-2</v>
      </c>
      <c r="Y1619">
        <v>3.9249826316956858E-3</v>
      </c>
    </row>
    <row r="1620" spans="1:25" x14ac:dyDescent="0.25">
      <c r="A1620" s="1096"/>
      <c r="B1620" s="1455">
        <v>1370</v>
      </c>
      <c r="C1620" s="1100">
        <v>1.0067232546877209</v>
      </c>
      <c r="D1620" s="1100">
        <v>0.95642058097452398</v>
      </c>
      <c r="E1620" s="1100">
        <v>1.0390279824816304</v>
      </c>
      <c r="F1620" s="1100">
        <v>1.020114763230215</v>
      </c>
      <c r="G1620" s="1100">
        <v>0.98949115922436204</v>
      </c>
      <c r="H1620" s="1100">
        <v>0.99365005389297711</v>
      </c>
      <c r="I1620" s="1100">
        <v>0.98310061458323705</v>
      </c>
      <c r="K1620">
        <v>2.2492392692451175</v>
      </c>
      <c r="L1620">
        <v>0</v>
      </c>
      <c r="M1620">
        <v>1.421397808840775E-3</v>
      </c>
      <c r="N1620">
        <v>0.14538421458730419</v>
      </c>
      <c r="O1620">
        <v>1.9838101450009988E-2</v>
      </c>
      <c r="P1620">
        <v>2.7195767207144197E-2</v>
      </c>
      <c r="Q1620">
        <v>5.7513529076322926E-3</v>
      </c>
      <c r="R1620">
        <v>1.4012922495780322E-3</v>
      </c>
      <c r="S1620">
        <v>0.24097337466107094</v>
      </c>
      <c r="T1620">
        <v>1.3709752365832968</v>
      </c>
      <c r="U1620">
        <v>0.14190855848870954</v>
      </c>
      <c r="V1620">
        <v>0.1831777104154701</v>
      </c>
      <c r="W1620">
        <v>9.3350568472157142E-2</v>
      </c>
      <c r="X1620">
        <v>1.6890634464096894E-2</v>
      </c>
      <c r="Y1620">
        <v>3.8138555674854789E-3</v>
      </c>
    </row>
    <row r="1621" spans="1:25" x14ac:dyDescent="0.25">
      <c r="A1621" s="1096"/>
      <c r="B1621" s="1455">
        <v>1371</v>
      </c>
      <c r="C1621" s="1100">
        <v>1.0200902657839701</v>
      </c>
      <c r="D1621" s="1100">
        <v>0.99150070255992084</v>
      </c>
      <c r="E1621" s="1100">
        <v>0.98903254732981549</v>
      </c>
      <c r="F1621" s="1100">
        <v>0.9824768882596846</v>
      </c>
      <c r="G1621" s="1100">
        <v>1.0282111997677201</v>
      </c>
      <c r="H1621" s="1100">
        <v>0.98668710473098598</v>
      </c>
      <c r="I1621" s="1100">
        <v>1.0055569003436153</v>
      </c>
      <c r="K1621">
        <v>2.1779956772726243</v>
      </c>
      <c r="L1621">
        <v>0</v>
      </c>
      <c r="M1621">
        <v>1.5332980199727218E-3</v>
      </c>
      <c r="N1621">
        <v>0.13485057439632145</v>
      </c>
      <c r="O1621">
        <v>1.9392869527016597E-2</v>
      </c>
      <c r="P1621">
        <v>2.55076146283785E-2</v>
      </c>
      <c r="Q1621">
        <v>5.3487741573396237E-3</v>
      </c>
      <c r="R1621">
        <v>1.51145658844584E-3</v>
      </c>
      <c r="S1621">
        <v>0.23795408925825479</v>
      </c>
      <c r="T1621">
        <v>1.3202991166072107</v>
      </c>
      <c r="U1621">
        <v>0.13993594637537984</v>
      </c>
      <c r="V1621">
        <v>0.18673760596902689</v>
      </c>
      <c r="W1621">
        <v>8.9169526539075394E-2</v>
      </c>
      <c r="X1621">
        <v>1.4707714663927913E-2</v>
      </c>
      <c r="Y1621">
        <v>4.113686582219102E-3</v>
      </c>
    </row>
    <row r="1622" spans="1:25" x14ac:dyDescent="0.25">
      <c r="A1622" s="1096"/>
      <c r="B1622" s="1455">
        <v>1372</v>
      </c>
      <c r="C1622" s="1100">
        <v>1.0125818495571139</v>
      </c>
      <c r="D1622" s="1100">
        <v>1.0081716670162049</v>
      </c>
      <c r="E1622" s="1100">
        <v>1.0043217461830112</v>
      </c>
      <c r="F1622" s="1100">
        <v>0.99079747649726313</v>
      </c>
      <c r="G1622" s="1100">
        <v>0.98025210554984976</v>
      </c>
      <c r="H1622" s="1100">
        <v>1.0079080888603138</v>
      </c>
      <c r="I1622" s="1100">
        <v>1.0137690912106709</v>
      </c>
      <c r="K1622">
        <v>2.198314402165888</v>
      </c>
      <c r="L1622">
        <v>0</v>
      </c>
      <c r="M1622">
        <v>1.5230603625206482E-3</v>
      </c>
      <c r="N1622">
        <v>0.14032700930200409</v>
      </c>
      <c r="O1622">
        <v>1.947454518791689E-2</v>
      </c>
      <c r="P1622">
        <v>2.594919351733831E-2</v>
      </c>
      <c r="Q1622">
        <v>5.4546417876152904E-3</v>
      </c>
      <c r="R1622">
        <v>1.5018215533856491E-3</v>
      </c>
      <c r="S1622">
        <v>0.24148556070053276</v>
      </c>
      <c r="T1622">
        <v>1.3315037391035882</v>
      </c>
      <c r="U1622">
        <v>0.14100833313577343</v>
      </c>
      <c r="V1622">
        <v>0.18176076334500685</v>
      </c>
      <c r="W1622">
        <v>9.1949223974352276E-2</v>
      </c>
      <c r="X1622">
        <v>1.5335167727919085E-2</v>
      </c>
      <c r="Y1622">
        <v>4.0874631929737172E-3</v>
      </c>
    </row>
    <row r="1623" spans="1:25" x14ac:dyDescent="0.25">
      <c r="A1623" s="1096"/>
      <c r="B1623" s="1455">
        <v>1373</v>
      </c>
      <c r="C1623" s="1100">
        <v>1.0081577352520463</v>
      </c>
      <c r="D1623" s="1100">
        <v>1.0189878540787665</v>
      </c>
      <c r="E1623" s="1100">
        <v>1.0044354840848917</v>
      </c>
      <c r="F1623" s="1100">
        <v>0.97716703476786559</v>
      </c>
      <c r="G1623" s="1100">
        <v>0.99636402537639346</v>
      </c>
      <c r="H1623" s="1100">
        <v>1.0281302113270558</v>
      </c>
      <c r="I1623" s="1100">
        <v>0.99527853408519973</v>
      </c>
      <c r="K1623">
        <v>2.1847333772409931</v>
      </c>
      <c r="L1623">
        <v>0</v>
      </c>
      <c r="M1623">
        <v>1.556409354387333E-3</v>
      </c>
      <c r="N1623">
        <v>0.14348878513407848</v>
      </c>
      <c r="O1623">
        <v>1.9514208657325911E-2</v>
      </c>
      <c r="P1623">
        <v>2.5696127961395854E-2</v>
      </c>
      <c r="Q1623">
        <v>5.46637456893801E-3</v>
      </c>
      <c r="R1623">
        <v>1.5351323889412868E-3</v>
      </c>
      <c r="S1623">
        <v>0.23845804616211549</v>
      </c>
      <c r="T1623">
        <v>1.3131863747673362</v>
      </c>
      <c r="U1623">
        <v>0.1416273821211384</v>
      </c>
      <c r="V1623">
        <v>0.1838391885135886</v>
      </c>
      <c r="W1623">
        <v>9.4014642845573995E-2</v>
      </c>
      <c r="X1623">
        <v>1.5285399168502165E-2</v>
      </c>
      <c r="Y1623">
        <v>4.1781243064421729E-3</v>
      </c>
    </row>
    <row r="1624" spans="1:25" x14ac:dyDescent="0.25">
      <c r="A1624" s="1096"/>
      <c r="B1624" s="1455">
        <v>1374</v>
      </c>
      <c r="C1624" s="1100">
        <v>1.0004103531184501</v>
      </c>
      <c r="D1624" s="1100">
        <v>1.0098829816744734</v>
      </c>
      <c r="E1624" s="1100">
        <v>1.002018134928802</v>
      </c>
      <c r="F1624" s="1100">
        <v>0.99246329593397564</v>
      </c>
      <c r="G1624" s="1100">
        <v>0.992060134871671</v>
      </c>
      <c r="H1624" s="1100">
        <v>1.0189549437019914</v>
      </c>
      <c r="I1624" s="1100">
        <v>1.0219206052007137</v>
      </c>
      <c r="K1624">
        <v>2.2154124362718055</v>
      </c>
      <c r="L1624">
        <v>0</v>
      </c>
      <c r="M1624">
        <v>1.5653711738370787E-3</v>
      </c>
      <c r="N1624">
        <v>0.14324722183017044</v>
      </c>
      <c r="O1624">
        <v>1.9702692906396979E-2</v>
      </c>
      <c r="P1624">
        <v>2.606292861441678E-2</v>
      </c>
      <c r="Q1624">
        <v>5.5058025735984445E-3</v>
      </c>
      <c r="R1624">
        <v>1.5437790019793246E-3</v>
      </c>
      <c r="S1624">
        <v>0.24706587758664725</v>
      </c>
      <c r="T1624">
        <v>1.3337385880593287</v>
      </c>
      <c r="U1624">
        <v>0.14271860747785056</v>
      </c>
      <c r="V1624">
        <v>0.183806288023415</v>
      </c>
      <c r="W1624">
        <v>9.3990969902187985E-2</v>
      </c>
      <c r="X1624">
        <v>1.5393393932871903E-2</v>
      </c>
      <c r="Y1624">
        <v>4.2016575367764906E-3</v>
      </c>
    </row>
    <row r="1625" spans="1:25" x14ac:dyDescent="0.25">
      <c r="A1625" s="1096"/>
      <c r="B1625" s="1455">
        <v>1375</v>
      </c>
      <c r="C1625" s="1100">
        <v>1.0238076653230896</v>
      </c>
      <c r="D1625" s="1100">
        <v>1.0262615411874871</v>
      </c>
      <c r="E1625" s="1100">
        <v>0.9810958106971438</v>
      </c>
      <c r="F1625" s="1100">
        <v>0.99538410509547592</v>
      </c>
      <c r="G1625" s="1100">
        <v>0.99764981112750228</v>
      </c>
      <c r="H1625" s="1100">
        <v>1.000116777813201</v>
      </c>
      <c r="I1625" s="1100">
        <v>1.0025066819267989</v>
      </c>
      <c r="K1625">
        <v>2.1852256097435077</v>
      </c>
      <c r="L1625">
        <v>0</v>
      </c>
      <c r="M1625">
        <v>1.5622801238647443E-3</v>
      </c>
      <c r="N1625">
        <v>0.13416653090641431</v>
      </c>
      <c r="O1625">
        <v>1.9171725206449577E-2</v>
      </c>
      <c r="P1625">
        <v>2.5469587647058419E-2</v>
      </c>
      <c r="Q1625">
        <v>5.2454146609040072E-3</v>
      </c>
      <c r="R1625">
        <v>1.5403246825336165E-3</v>
      </c>
      <c r="S1625">
        <v>0.23333188619577699</v>
      </c>
      <c r="T1625">
        <v>1.3376344476003452</v>
      </c>
      <c r="U1625">
        <v>0.13941003987683753</v>
      </c>
      <c r="V1625">
        <v>0.18306524032709354</v>
      </c>
      <c r="W1625">
        <v>8.9141682816621506E-2</v>
      </c>
      <c r="X1625">
        <v>1.441875392937567E-2</v>
      </c>
      <c r="Y1625">
        <v>4.1922560179613729E-3</v>
      </c>
    </row>
    <row r="1626" spans="1:25" x14ac:dyDescent="0.25">
      <c r="A1626" s="1096"/>
      <c r="B1626" s="1455">
        <v>1376</v>
      </c>
      <c r="C1626" s="1100">
        <v>1.0065230402485701</v>
      </c>
      <c r="D1626" s="1100">
        <v>0.98902043528709638</v>
      </c>
      <c r="E1626" s="1100">
        <v>1.030495033303354</v>
      </c>
      <c r="F1626" s="1100">
        <v>0.96529684267119698</v>
      </c>
      <c r="G1626" s="1100">
        <v>0.96847605843079743</v>
      </c>
      <c r="H1626" s="1100">
        <v>1.0271370783838341</v>
      </c>
      <c r="I1626" s="1100">
        <v>1.0098734814271175</v>
      </c>
      <c r="K1626">
        <v>2.1813545523588016</v>
      </c>
      <c r="L1626">
        <v>0</v>
      </c>
      <c r="M1626">
        <v>1.48498515493971E-3</v>
      </c>
      <c r="N1626">
        <v>0.14810144063698782</v>
      </c>
      <c r="O1626">
        <v>1.9690938272170163E-2</v>
      </c>
      <c r="P1626">
        <v>2.6038680399335799E-2</v>
      </c>
      <c r="Q1626">
        <v>5.6608540254686314E-3</v>
      </c>
      <c r="R1626">
        <v>1.4646649687946375E-3</v>
      </c>
      <c r="S1626">
        <v>0.24608289012644052</v>
      </c>
      <c r="T1626">
        <v>1.2972838783146885</v>
      </c>
      <c r="U1626">
        <v>0.14191716663687565</v>
      </c>
      <c r="V1626">
        <v>0.18080617239977817</v>
      </c>
      <c r="W1626">
        <v>9.5565715697367284E-2</v>
      </c>
      <c r="X1626">
        <v>1.6240800817451561E-2</v>
      </c>
      <c r="Y1626">
        <v>3.9863352183818028E-3</v>
      </c>
    </row>
    <row r="1627" spans="1:25" x14ac:dyDescent="0.25">
      <c r="A1627" s="1096"/>
      <c r="B1627" s="1455">
        <v>1377</v>
      </c>
      <c r="C1627" s="1100">
        <v>1.0046124208656968</v>
      </c>
      <c r="D1627" s="1100">
        <v>1.0151315845416391</v>
      </c>
      <c r="E1627" s="1100">
        <v>0.99063721018850126</v>
      </c>
      <c r="F1627" s="1100">
        <v>1.0186430583753179</v>
      </c>
      <c r="G1627" s="1100">
        <v>1.0208946240053431</v>
      </c>
      <c r="H1627" s="1100">
        <v>1.0440723706708761</v>
      </c>
      <c r="I1627" s="1100">
        <v>1.0102677662740429</v>
      </c>
      <c r="K1627">
        <v>2.2530793658770438</v>
      </c>
      <c r="L1627">
        <v>0</v>
      </c>
      <c r="M1627">
        <v>1.6335184932696272E-3</v>
      </c>
      <c r="N1627">
        <v>0.14447813537621418</v>
      </c>
      <c r="O1627">
        <v>1.9590868862952089E-2</v>
      </c>
      <c r="P1627">
        <v>2.6316279902407959E-2</v>
      </c>
      <c r="Q1627">
        <v>5.4121564980260063E-3</v>
      </c>
      <c r="R1627">
        <v>1.6115283818792429E-3</v>
      </c>
      <c r="S1627">
        <v>0.24453280607266051</v>
      </c>
      <c r="T1627">
        <v>1.3689031743006455</v>
      </c>
      <c r="U1627">
        <v>0.14209558059148295</v>
      </c>
      <c r="V1627">
        <v>0.1868077453804215</v>
      </c>
      <c r="W1627">
        <v>9.5443916089148984E-2</v>
      </c>
      <c r="X1627">
        <v>1.5134643899188551E-2</v>
      </c>
      <c r="Y1627">
        <v>4.3860490152869865E-3</v>
      </c>
    </row>
    <row r="1628" spans="1:25" x14ac:dyDescent="0.25">
      <c r="A1628" s="1096"/>
      <c r="B1628" s="1455">
        <v>1378</v>
      </c>
      <c r="C1628" s="1100">
        <v>1.0187807689960335</v>
      </c>
      <c r="D1628" s="1100">
        <v>1.0176886408995518</v>
      </c>
      <c r="E1628" s="1100">
        <v>1.0054117008909793</v>
      </c>
      <c r="F1628" s="1100">
        <v>0.976212668396778</v>
      </c>
      <c r="G1628" s="1100">
        <v>1.0409991711262971</v>
      </c>
      <c r="H1628" s="1100">
        <v>0.98642883529667524</v>
      </c>
      <c r="I1628" s="1100">
        <v>1.0122687964692076</v>
      </c>
      <c r="K1628">
        <v>2.1723577719052152</v>
      </c>
      <c r="L1628">
        <v>0</v>
      </c>
      <c r="M1628">
        <v>1.475132433892884E-3</v>
      </c>
      <c r="N1628">
        <v>0.13631731525300506</v>
      </c>
      <c r="O1628">
        <v>1.9316747663990642E-2</v>
      </c>
      <c r="P1628">
        <v>2.571569190677785E-2</v>
      </c>
      <c r="Q1628">
        <v>5.4163591240797056E-3</v>
      </c>
      <c r="R1628">
        <v>1.4541140543646264E-3</v>
      </c>
      <c r="S1628">
        <v>0.23685032408188275</v>
      </c>
      <c r="T1628">
        <v>1.3119054484665975</v>
      </c>
      <c r="U1628">
        <v>0.14015281249662509</v>
      </c>
      <c r="V1628">
        <v>0.18827173364357958</v>
      </c>
      <c r="W1628">
        <v>8.9264250180017421E-2</v>
      </c>
      <c r="X1628">
        <v>1.5210488360778719E-2</v>
      </c>
      <c r="Y1628">
        <v>3.9576191074113193E-3</v>
      </c>
    </row>
    <row r="1629" spans="1:25" x14ac:dyDescent="0.25">
      <c r="A1629" s="1096"/>
      <c r="B1629" s="1455">
        <v>1379</v>
      </c>
      <c r="C1629" s="1100">
        <v>0.99921421556479229</v>
      </c>
      <c r="D1629" s="1100">
        <v>1.0002521862830256</v>
      </c>
      <c r="E1629" s="1100">
        <v>1.0001988472726431</v>
      </c>
      <c r="F1629" s="1100">
        <v>0.95912463157701344</v>
      </c>
      <c r="G1629" s="1100">
        <v>1.0068082692221363</v>
      </c>
      <c r="H1629" s="1100">
        <v>0.98794342629023568</v>
      </c>
      <c r="I1629" s="1100">
        <v>1.0428490062972988</v>
      </c>
      <c r="K1629">
        <v>2.1687532341721631</v>
      </c>
      <c r="L1629">
        <v>0</v>
      </c>
      <c r="M1629">
        <v>1.528511622328362E-3</v>
      </c>
      <c r="N1629">
        <v>0.13904648659207905</v>
      </c>
      <c r="O1629">
        <v>1.9766770076100615E-2</v>
      </c>
      <c r="P1629">
        <v>2.5496245179739065E-2</v>
      </c>
      <c r="Q1629">
        <v>5.5136227160351142E-3</v>
      </c>
      <c r="R1629">
        <v>1.5067660598179181E-3</v>
      </c>
      <c r="S1629">
        <v>0.2510227079802696</v>
      </c>
      <c r="T1629">
        <v>1.2889330399949799</v>
      </c>
      <c r="U1629">
        <v>0.14288526021410036</v>
      </c>
      <c r="V1629">
        <v>0.18554273893247247</v>
      </c>
      <c r="W1629">
        <v>9.133329551591271E-2</v>
      </c>
      <c r="X1629">
        <v>1.5133892023458882E-2</v>
      </c>
      <c r="Y1629">
        <v>4.1009205095262459E-3</v>
      </c>
    </row>
    <row r="1630" spans="1:25" x14ac:dyDescent="0.25">
      <c r="A1630" s="1096"/>
      <c r="B1630" s="1455">
        <v>1380</v>
      </c>
      <c r="C1630" s="1100">
        <v>1.0210100537167597</v>
      </c>
      <c r="D1630" s="1100">
        <v>1.0258065338912428</v>
      </c>
      <c r="E1630" s="1100">
        <v>0.97292579343582086</v>
      </c>
      <c r="F1630" s="1100">
        <v>1.0113135038897667</v>
      </c>
      <c r="G1630" s="1100">
        <v>1.0039050960168643</v>
      </c>
      <c r="H1630" s="1100">
        <v>1.0132727015103173</v>
      </c>
      <c r="I1630" s="1100">
        <v>0.98020586366656004</v>
      </c>
      <c r="K1630">
        <v>2.2066576150060619</v>
      </c>
      <c r="L1630">
        <v>0</v>
      </c>
      <c r="M1630">
        <v>1.6143535582361034E-3</v>
      </c>
      <c r="N1630">
        <v>0.13527773249993008</v>
      </c>
      <c r="O1630">
        <v>1.9221180015381964E-2</v>
      </c>
      <c r="P1630">
        <v>2.5566326216472729E-2</v>
      </c>
      <c r="Q1630">
        <v>5.2153839917777872E-3</v>
      </c>
      <c r="R1630">
        <v>1.5919608671120674E-3</v>
      </c>
      <c r="S1630">
        <v>0.22976344492908915</v>
      </c>
      <c r="T1630">
        <v>1.3590319779395981</v>
      </c>
      <c r="U1630">
        <v>0.13977367484395165</v>
      </c>
      <c r="V1630">
        <v>0.18392437614641827</v>
      </c>
      <c r="W1630">
        <v>9.0325531044650353E-2</v>
      </c>
      <c r="X1630">
        <v>1.4247587379397356E-2</v>
      </c>
      <c r="Y1630">
        <v>4.3327926905202445E-3</v>
      </c>
    </row>
    <row r="1631" spans="1:25" x14ac:dyDescent="0.25">
      <c r="A1631" s="1096"/>
      <c r="B1631" s="1455">
        <v>1381</v>
      </c>
      <c r="C1631" s="1100">
        <v>1.0332972356875079</v>
      </c>
      <c r="D1631" s="1100">
        <v>0.97328837750013952</v>
      </c>
      <c r="E1631" s="1100">
        <v>1.0109237757715648</v>
      </c>
      <c r="F1631" s="1100">
        <v>1.0206699975528621</v>
      </c>
      <c r="G1631" s="1100">
        <v>0.99011875717188325</v>
      </c>
      <c r="H1631" s="1100">
        <v>0.99122455646239149</v>
      </c>
      <c r="I1631" s="1100">
        <v>0.98134857885755988</v>
      </c>
      <c r="K1631">
        <v>2.2206840008891118</v>
      </c>
      <c r="L1631">
        <v>0</v>
      </c>
      <c r="M1631">
        <v>1.4590932721592338E-3</v>
      </c>
      <c r="N1631">
        <v>0.13710758438355031</v>
      </c>
      <c r="O1631">
        <v>1.9236559784330653E-2</v>
      </c>
      <c r="P1631">
        <v>2.6457492483115033E-2</v>
      </c>
      <c r="Q1631">
        <v>5.4237076765353909E-3</v>
      </c>
      <c r="R1631">
        <v>1.4384040111205588E-3</v>
      </c>
      <c r="S1631">
        <v>0.23190958857163405</v>
      </c>
      <c r="T1631">
        <v>1.3716603860426222</v>
      </c>
      <c r="U1631">
        <v>0.13819614702194316</v>
      </c>
      <c r="V1631">
        <v>0.18170712049152915</v>
      </c>
      <c r="W1631">
        <v>8.9489971778228386E-2</v>
      </c>
      <c r="X1631">
        <v>1.5601270368144161E-2</v>
      </c>
      <c r="Y1631">
        <v>3.9148615485153316E-3</v>
      </c>
    </row>
    <row r="1632" spans="1:25" x14ac:dyDescent="0.25">
      <c r="A1632" s="1096"/>
      <c r="B1632" s="1455">
        <v>1382</v>
      </c>
      <c r="C1632" s="1100">
        <v>1.0009945621161955</v>
      </c>
      <c r="D1632" s="1100">
        <v>0.9656884489105918</v>
      </c>
      <c r="E1632" s="1100">
        <v>0.99964666766198373</v>
      </c>
      <c r="F1632" s="1100">
        <v>1.0029612016775369</v>
      </c>
      <c r="G1632" s="1100">
        <v>1.0005379373771264</v>
      </c>
      <c r="H1632" s="1100">
        <v>0.99649833887701589</v>
      </c>
      <c r="I1632" s="1100">
        <v>0.99164369598878577</v>
      </c>
      <c r="K1632">
        <v>2.2232341416354586</v>
      </c>
      <c r="L1632">
        <v>0</v>
      </c>
      <c r="M1632">
        <v>1.5527355948563607E-3</v>
      </c>
      <c r="N1632">
        <v>0.14103213179453852</v>
      </c>
      <c r="O1632">
        <v>1.9884512886104714E-2</v>
      </c>
      <c r="P1632">
        <v>2.6167860164798808E-2</v>
      </c>
      <c r="Q1632">
        <v>5.5433873954810944E-3</v>
      </c>
      <c r="R1632">
        <v>1.5308350506536941E-3</v>
      </c>
      <c r="S1632">
        <v>0.24319674903041982</v>
      </c>
      <c r="T1632">
        <v>1.3478425465554087</v>
      </c>
      <c r="U1632">
        <v>0.14262985767048059</v>
      </c>
      <c r="V1632">
        <v>0.18472788492359077</v>
      </c>
      <c r="W1632">
        <v>9.2667984425808744E-2</v>
      </c>
      <c r="X1632">
        <v>1.5396698964789171E-2</v>
      </c>
      <c r="Y1632">
        <v>4.1664283682405325E-3</v>
      </c>
    </row>
    <row r="1633" spans="1:25" x14ac:dyDescent="0.25">
      <c r="A1633" s="1096"/>
      <c r="B1633" s="1455">
        <v>1383</v>
      </c>
      <c r="C1633" s="1100">
        <v>0.96227771004962104</v>
      </c>
      <c r="D1633" s="1100">
        <v>0.99838577224578517</v>
      </c>
      <c r="E1633" s="1100">
        <v>0.98745391867030285</v>
      </c>
      <c r="F1633" s="1100">
        <v>0.9777672471916341</v>
      </c>
      <c r="G1633" s="1100">
        <v>0.97872706884108263</v>
      </c>
      <c r="H1633" s="1100">
        <v>0.96641111315103934</v>
      </c>
      <c r="I1633" s="1100">
        <v>0.99447773432278896</v>
      </c>
      <c r="K1633">
        <v>2.1968247682484172</v>
      </c>
      <c r="L1633">
        <v>0</v>
      </c>
      <c r="M1633">
        <v>1.5947974973571229E-3</v>
      </c>
      <c r="N1633">
        <v>0.13954907946022138</v>
      </c>
      <c r="O1633">
        <v>2.0525673896529838E-2</v>
      </c>
      <c r="P1633">
        <v>2.5598111703958176E-2</v>
      </c>
      <c r="Q1633">
        <v>5.6521797340048962E-3</v>
      </c>
      <c r="R1633">
        <v>1.5716033929954957E-3</v>
      </c>
      <c r="S1633">
        <v>0.24691661449300281</v>
      </c>
      <c r="T1633">
        <v>1.313968015624303</v>
      </c>
      <c r="U1633">
        <v>0.14833936973980144</v>
      </c>
      <c r="V1633">
        <v>0.18463584029050945</v>
      </c>
      <c r="W1633">
        <v>9.2363826596105966E-2</v>
      </c>
      <c r="X1633">
        <v>1.5021864457525957E-2</v>
      </c>
      <c r="Y1633">
        <v>4.2773863568144749E-3</v>
      </c>
    </row>
    <row r="1634" spans="1:25" x14ac:dyDescent="0.25">
      <c r="A1634" s="1096"/>
      <c r="B1634" s="1455">
        <v>1384</v>
      </c>
      <c r="C1634" s="1100">
        <v>0.98715655554982451</v>
      </c>
      <c r="D1634" s="1100">
        <v>1.0351315018257523</v>
      </c>
      <c r="E1634" s="1100">
        <v>1.0082533895696923</v>
      </c>
      <c r="F1634" s="1100">
        <v>0.99976884710959391</v>
      </c>
      <c r="G1634" s="1100">
        <v>1.0315812259922283</v>
      </c>
      <c r="H1634" s="1100">
        <v>0.97810888751516079</v>
      </c>
      <c r="I1634" s="1100">
        <v>0.98837449614949691</v>
      </c>
      <c r="K1634">
        <v>2.2150860823130327</v>
      </c>
      <c r="L1634">
        <v>0</v>
      </c>
      <c r="M1634">
        <v>1.4950673769895863E-3</v>
      </c>
      <c r="N1634">
        <v>0.1393330289262896</v>
      </c>
      <c r="O1634">
        <v>1.9862963399222729E-2</v>
      </c>
      <c r="P1634">
        <v>2.626590342520424E-2</v>
      </c>
      <c r="Q1634">
        <v>5.5853877914990501E-3</v>
      </c>
      <c r="R1634">
        <v>1.4735837532860398E-3</v>
      </c>
      <c r="S1634">
        <v>0.2360210839508774</v>
      </c>
      <c r="T1634">
        <v>1.3435668948640165</v>
      </c>
      <c r="U1634">
        <v>0.1446493352035606</v>
      </c>
      <c r="V1634">
        <v>0.18907533468794166</v>
      </c>
      <c r="W1634">
        <v>9.1085880176924275E-2</v>
      </c>
      <c r="X1634">
        <v>1.5651144301508782E-2</v>
      </c>
      <c r="Y1634">
        <v>4.010609209690881E-3</v>
      </c>
    </row>
    <row r="1635" spans="1:25" x14ac:dyDescent="0.25">
      <c r="A1635" s="1096"/>
      <c r="B1635" s="1455">
        <v>1385</v>
      </c>
      <c r="C1635" s="1100">
        <v>0.98948546424145245</v>
      </c>
      <c r="D1635" s="1100">
        <v>1.0413429761138833</v>
      </c>
      <c r="E1635" s="1100">
        <v>0.9820793874392586</v>
      </c>
      <c r="F1635" s="1100">
        <v>1.0001899256663329</v>
      </c>
      <c r="G1635" s="1100">
        <v>0.99673040361169729</v>
      </c>
      <c r="H1635" s="1100">
        <v>1.016622207278169</v>
      </c>
      <c r="I1635" s="1100">
        <v>1.0003285844491669</v>
      </c>
      <c r="K1635">
        <v>2.2181981861440865</v>
      </c>
      <c r="L1635">
        <v>0</v>
      </c>
      <c r="M1635">
        <v>1.6345544022476478E-3</v>
      </c>
      <c r="N1635">
        <v>0.14082425116654929</v>
      </c>
      <c r="O1635">
        <v>1.9773783208438953E-2</v>
      </c>
      <c r="P1635">
        <v>2.5762883459296917E-2</v>
      </c>
      <c r="Q1635">
        <v>5.4155451621237189E-3</v>
      </c>
      <c r="R1635">
        <v>1.6119562066035638E-3</v>
      </c>
      <c r="S1635">
        <v>0.24050173293794064</v>
      </c>
      <c r="T1635">
        <v>1.3440938593927534</v>
      </c>
      <c r="U1635">
        <v>0.14424802629736966</v>
      </c>
      <c r="V1635">
        <v>0.18497145763252004</v>
      </c>
      <c r="W1635">
        <v>9.3509660968390543E-2</v>
      </c>
      <c r="X1635">
        <v>1.4732370701193636E-2</v>
      </c>
      <c r="Y1635">
        <v>4.3872134131542071E-3</v>
      </c>
    </row>
    <row r="1636" spans="1:25" x14ac:dyDescent="0.25">
      <c r="A1636" s="1096"/>
      <c r="B1636" s="1455">
        <v>1386</v>
      </c>
      <c r="C1636" s="1100">
        <v>1.0188648441200159</v>
      </c>
      <c r="D1636" s="1100">
        <v>1.0106910713564905</v>
      </c>
      <c r="E1636" s="1100">
        <v>0.96875703655084389</v>
      </c>
      <c r="F1636" s="1100">
        <v>1.0245052658826654</v>
      </c>
      <c r="G1636" s="1100">
        <v>0.9978707244056092</v>
      </c>
      <c r="H1636" s="1100">
        <v>0.97487985087703621</v>
      </c>
      <c r="I1636" s="1100">
        <v>1.0281119344283252</v>
      </c>
      <c r="K1636">
        <v>2.2266353724825634</v>
      </c>
      <c r="L1636">
        <v>0</v>
      </c>
      <c r="M1636">
        <v>1.5750463826074874E-3</v>
      </c>
      <c r="N1636">
        <v>0.13025632104745191</v>
      </c>
      <c r="O1636">
        <v>1.9322120959526574E-2</v>
      </c>
      <c r="P1636">
        <v>2.5855832665725539E-2</v>
      </c>
      <c r="Q1636">
        <v>5.2204924321597032E-3</v>
      </c>
      <c r="R1636">
        <v>1.5523385214508748E-3</v>
      </c>
      <c r="S1636">
        <v>0.24015563792909847</v>
      </c>
      <c r="T1636">
        <v>1.3767553799705785</v>
      </c>
      <c r="U1636">
        <v>0.14005859146745891</v>
      </c>
      <c r="V1636">
        <v>0.18336112094566392</v>
      </c>
      <c r="W1636">
        <v>8.7193516285061029E-2</v>
      </c>
      <c r="X1636">
        <v>1.4254112913862797E-2</v>
      </c>
      <c r="Y1636">
        <v>4.2249537271332157E-3</v>
      </c>
    </row>
    <row r="1637" spans="1:25" x14ac:dyDescent="0.25">
      <c r="A1637" s="1096"/>
      <c r="B1637" s="1455">
        <v>1387</v>
      </c>
      <c r="C1637" s="1100">
        <v>0.98273020991797388</v>
      </c>
      <c r="D1637" s="1100">
        <v>1.007471460787563</v>
      </c>
      <c r="E1637" s="1100">
        <v>1.0354808926472052</v>
      </c>
      <c r="F1637" s="1100">
        <v>0.97500344643280301</v>
      </c>
      <c r="G1637" s="1100">
        <v>1.0015257850265915</v>
      </c>
      <c r="H1637" s="1100">
        <v>0.98443384402569967</v>
      </c>
      <c r="I1637" s="1100">
        <v>1.0174687310562638</v>
      </c>
      <c r="K1637">
        <v>2.2015045807063385</v>
      </c>
      <c r="L1637">
        <v>0</v>
      </c>
      <c r="M1637">
        <v>1.4367775555613419E-3</v>
      </c>
      <c r="N1637">
        <v>0.14537555366910079</v>
      </c>
      <c r="O1637">
        <v>2.0089009510212516E-2</v>
      </c>
      <c r="P1637">
        <v>2.6464815397547116E-2</v>
      </c>
      <c r="Q1637">
        <v>5.8037863264349086E-3</v>
      </c>
      <c r="R1637">
        <v>1.4162641873303801E-3</v>
      </c>
      <c r="S1637">
        <v>0.24811554272682063</v>
      </c>
      <c r="T1637">
        <v>1.3103399742195596</v>
      </c>
      <c r="U1637">
        <v>0.14536485443459607</v>
      </c>
      <c r="V1637">
        <v>0.18597415525538646</v>
      </c>
      <c r="W1637">
        <v>9.3536310373819376E-2</v>
      </c>
      <c r="X1637">
        <v>1.6606487914539701E-2</v>
      </c>
      <c r="Y1637">
        <v>3.8546042465494161E-3</v>
      </c>
    </row>
    <row r="1638" spans="1:25" x14ac:dyDescent="0.25">
      <c r="A1638" s="1096"/>
      <c r="B1638" s="1455">
        <v>1388</v>
      </c>
      <c r="C1638" s="1100">
        <v>0.99630472157899885</v>
      </c>
      <c r="D1638" s="1100">
        <v>0.98787215427239483</v>
      </c>
      <c r="E1638" s="1100">
        <v>0.97514164097480638</v>
      </c>
      <c r="F1638" s="1100">
        <v>0.98214640184338931</v>
      </c>
      <c r="G1638" s="1100">
        <v>0.97175247357231254</v>
      </c>
      <c r="H1638" s="1100">
        <v>0.99066218776773685</v>
      </c>
      <c r="I1638" s="1100">
        <v>0.99849714388260713</v>
      </c>
      <c r="K1638">
        <v>2.1848606786766673</v>
      </c>
      <c r="L1638">
        <v>0</v>
      </c>
      <c r="M1638">
        <v>1.6234838692644549E-3</v>
      </c>
      <c r="N1638">
        <v>0.13691440787591752</v>
      </c>
      <c r="O1638">
        <v>1.9863164758671444E-2</v>
      </c>
      <c r="P1638">
        <v>2.5273671462102493E-2</v>
      </c>
      <c r="Q1638">
        <v>5.4017695729457801E-3</v>
      </c>
      <c r="R1638">
        <v>1.6004505584582545E-3</v>
      </c>
      <c r="S1638">
        <v>0.24258312162520454</v>
      </c>
      <c r="T1638">
        <v>1.3198386182434581</v>
      </c>
      <c r="U1638">
        <v>0.14324473657709141</v>
      </c>
      <c r="V1638">
        <v>0.18173174478928089</v>
      </c>
      <c r="W1638">
        <v>9.1295532748486036E-2</v>
      </c>
      <c r="X1638">
        <v>1.4381045502576137E-2</v>
      </c>
      <c r="Y1638">
        <v>4.3558988317385647E-3</v>
      </c>
    </row>
    <row r="1639" spans="1:25" x14ac:dyDescent="0.25">
      <c r="A1639" s="1096"/>
      <c r="B1639" s="1455">
        <v>1389</v>
      </c>
      <c r="C1639" s="1100">
        <v>1.033827503507659</v>
      </c>
      <c r="D1639" s="1100">
        <v>0.95633679129679749</v>
      </c>
      <c r="E1639" s="1100">
        <v>0.97744822396358111</v>
      </c>
      <c r="F1639" s="1100">
        <v>1.0070669336808116</v>
      </c>
      <c r="G1639" s="1100">
        <v>1.0095736061768268</v>
      </c>
      <c r="H1639" s="1100">
        <v>0.97645334480414403</v>
      </c>
      <c r="I1639" s="1100">
        <v>1.029710120583639</v>
      </c>
      <c r="K1639">
        <v>2.2066400045371748</v>
      </c>
      <c r="L1639">
        <v>0</v>
      </c>
      <c r="M1639">
        <v>1.5457797784584712E-3</v>
      </c>
      <c r="N1639">
        <v>0.1312470576138878</v>
      </c>
      <c r="O1639">
        <v>1.9280749313951739E-2</v>
      </c>
      <c r="P1639">
        <v>2.574408936061286E-2</v>
      </c>
      <c r="Q1639">
        <v>5.2557147031615306E-3</v>
      </c>
      <c r="R1639">
        <v>1.5235297740617579E-3</v>
      </c>
      <c r="S1639">
        <v>0.24392795354695423</v>
      </c>
      <c r="T1639">
        <v>1.3533300887789996</v>
      </c>
      <c r="U1639">
        <v>0.13805078416580244</v>
      </c>
      <c r="V1639">
        <v>0.18384874520939185</v>
      </c>
      <c r="W1639">
        <v>8.7394338425559867E-2</v>
      </c>
      <c r="X1639">
        <v>1.4436187609708002E-2</v>
      </c>
      <c r="Y1639">
        <v>4.1465458135410641E-3</v>
      </c>
    </row>
    <row r="1640" spans="1:25" x14ac:dyDescent="0.25">
      <c r="A1640" s="1096"/>
      <c r="B1640" s="1455">
        <v>1390</v>
      </c>
      <c r="C1640" s="1100">
        <v>0.99134736512411892</v>
      </c>
      <c r="D1640" s="1100">
        <v>0.97257280896061438</v>
      </c>
      <c r="E1640" s="1100">
        <v>0.9743693957630879</v>
      </c>
      <c r="F1640" s="1100">
        <v>0.98420756462519399</v>
      </c>
      <c r="G1640" s="1100">
        <v>1.0264988831327093</v>
      </c>
      <c r="H1640" s="1100">
        <v>0.98949457958939979</v>
      </c>
      <c r="I1640" s="1100">
        <v>0.99487212075425546</v>
      </c>
      <c r="K1640">
        <v>2.1989669707580859</v>
      </c>
      <c r="L1640">
        <v>0</v>
      </c>
      <c r="M1640">
        <v>1.6378961187908023E-3</v>
      </c>
      <c r="N1640">
        <v>0.13780501096309264</v>
      </c>
      <c r="O1640">
        <v>2.0030671174423888E-2</v>
      </c>
      <c r="P1640">
        <v>2.5420835727661087E-2</v>
      </c>
      <c r="Q1640">
        <v>5.4430363240079889E-3</v>
      </c>
      <c r="R1640">
        <v>1.6146309123154607E-3</v>
      </c>
      <c r="S1640">
        <v>0.24472200665305907</v>
      </c>
      <c r="T1640">
        <v>1.322607683027875</v>
      </c>
      <c r="U1640">
        <v>0.14395926364648573</v>
      </c>
      <c r="V1640">
        <v>0.18821746000495301</v>
      </c>
      <c r="W1640">
        <v>9.1932430081540562E-2</v>
      </c>
      <c r="X1640">
        <v>1.4457345281073867E-2</v>
      </c>
      <c r="Y1640">
        <v>4.3944930803854875E-3</v>
      </c>
    </row>
    <row r="1641" spans="1:25" x14ac:dyDescent="0.25">
      <c r="A1641" s="1096"/>
      <c r="B1641" s="1455">
        <v>1391</v>
      </c>
      <c r="C1641" s="1100">
        <v>0.98839684948913142</v>
      </c>
      <c r="D1641" s="1100">
        <v>1.0249303960928982</v>
      </c>
      <c r="E1641" s="1100">
        <v>0.98340029865202216</v>
      </c>
      <c r="F1641" s="1100">
        <v>0.96027075141667084</v>
      </c>
      <c r="G1641" s="1100">
        <v>0.98880461305946188</v>
      </c>
      <c r="H1641" s="1100">
        <v>1.0050166824529596</v>
      </c>
      <c r="I1641" s="1100">
        <v>0.99586026113816184</v>
      </c>
      <c r="K1641">
        <v>2.1618071268057095</v>
      </c>
      <c r="L1641">
        <v>0</v>
      </c>
      <c r="M1641">
        <v>1.6189083516616307E-3</v>
      </c>
      <c r="N1641">
        <v>0.14001204084446459</v>
      </c>
      <c r="O1641">
        <v>1.986569708520116E-2</v>
      </c>
      <c r="P1641">
        <v>2.505895163526883E-2</v>
      </c>
      <c r="Q1641">
        <v>5.4480163963334738E-3</v>
      </c>
      <c r="R1641">
        <v>1.596268010352737E-3</v>
      </c>
      <c r="S1641">
        <v>0.24065416105847406</v>
      </c>
      <c r="T1641">
        <v>1.2904504718060388</v>
      </c>
      <c r="U1641">
        <v>0.14440996861728334</v>
      </c>
      <c r="V1641">
        <v>0.18414267233386181</v>
      </c>
      <c r="W1641">
        <v>9.2896377096898325E-2</v>
      </c>
      <c r="X1641">
        <v>1.4546894958618852E-2</v>
      </c>
      <c r="Y1641">
        <v>4.3445153145719598E-3</v>
      </c>
    </row>
    <row r="1642" spans="1:25" x14ac:dyDescent="0.25">
      <c r="A1642" s="1096"/>
      <c r="B1642" s="1455">
        <v>1392</v>
      </c>
      <c r="C1642" s="1100">
        <v>1.0396708340895278</v>
      </c>
      <c r="D1642" s="1100">
        <v>1.0199346229802544</v>
      </c>
      <c r="E1642" s="1100">
        <v>1.0092032949160974</v>
      </c>
      <c r="F1642" s="1100">
        <v>1.0007372537573591</v>
      </c>
      <c r="G1642" s="1100">
        <v>1.0014834590536672</v>
      </c>
      <c r="H1642" s="1100">
        <v>0.99355861270946066</v>
      </c>
      <c r="I1642" s="1100">
        <v>0.96750436011948326</v>
      </c>
      <c r="K1642">
        <v>2.1794448427220314</v>
      </c>
      <c r="L1642">
        <v>0</v>
      </c>
      <c r="M1642">
        <v>1.4438212956713842E-3</v>
      </c>
      <c r="N1642">
        <v>0.13497420284251238</v>
      </c>
      <c r="O1642">
        <v>1.8921709829979379E-2</v>
      </c>
      <c r="P1642">
        <v>2.5922731183025665E-2</v>
      </c>
      <c r="Q1642">
        <v>5.3257692583203271E-3</v>
      </c>
      <c r="R1642">
        <v>1.4233966783795719E-3</v>
      </c>
      <c r="S1642">
        <v>0.22214074433227915</v>
      </c>
      <c r="T1642">
        <v>1.3448700077736497</v>
      </c>
      <c r="U1642">
        <v>0.13734513344105437</v>
      </c>
      <c r="V1642">
        <v>0.18263820765375671</v>
      </c>
      <c r="W1642">
        <v>8.8186934102493036E-2</v>
      </c>
      <c r="X1642">
        <v>1.5265810386288985E-2</v>
      </c>
      <c r="Y1642">
        <v>3.8740165359602732E-3</v>
      </c>
    </row>
    <row r="1643" spans="1:25" x14ac:dyDescent="0.25">
      <c r="A1643" s="1096"/>
      <c r="B1643" s="1455">
        <v>1393</v>
      </c>
      <c r="C1643" s="1100">
        <v>1.0102741324390077</v>
      </c>
      <c r="D1643" s="1100">
        <v>1.0046503456545426</v>
      </c>
      <c r="E1643" s="1100">
        <v>0.98003331346774081</v>
      </c>
      <c r="F1643" s="1100">
        <v>1.0153272663611816</v>
      </c>
      <c r="G1643" s="1100">
        <v>0.99558430526081054</v>
      </c>
      <c r="H1643" s="1100">
        <v>1.0152665399734317</v>
      </c>
      <c r="I1643" s="1100">
        <v>0.98978399147203688</v>
      </c>
      <c r="K1643">
        <v>2.2268234829698446</v>
      </c>
      <c r="L1643">
        <v>0</v>
      </c>
      <c r="M1643">
        <v>1.6182854709985088E-3</v>
      </c>
      <c r="N1643">
        <v>0.13855962127003471</v>
      </c>
      <c r="O1643">
        <v>1.9519076586674986E-2</v>
      </c>
      <c r="P1643">
        <v>2.5892479027369162E-2</v>
      </c>
      <c r="Q1643">
        <v>5.3346882167688986E-3</v>
      </c>
      <c r="R1643">
        <v>1.59588232348445E-3</v>
      </c>
      <c r="S1643">
        <v>0.23711731873069916</v>
      </c>
      <c r="T1643">
        <v>1.3644335560039722</v>
      </c>
      <c r="U1643">
        <v>0.14127514928483351</v>
      </c>
      <c r="V1643">
        <v>0.18360684426697269</v>
      </c>
      <c r="W1643">
        <v>9.2119554100792284E-2</v>
      </c>
      <c r="X1643">
        <v>1.4644133027182118E-2</v>
      </c>
      <c r="Y1643">
        <v>4.3434656020581242E-3</v>
      </c>
    </row>
    <row r="1644" spans="1:25" x14ac:dyDescent="0.25">
      <c r="A1644" s="1096"/>
      <c r="B1644" s="1455">
        <v>1394</v>
      </c>
      <c r="C1644" s="1100">
        <v>0.99425327659537421</v>
      </c>
      <c r="D1644" s="1100">
        <v>1.0038114077491345</v>
      </c>
      <c r="E1644" s="1100">
        <v>0.99384350490410034</v>
      </c>
      <c r="F1644" s="1100">
        <v>1.0235871131895218</v>
      </c>
      <c r="G1644" s="1100">
        <v>0.97999613525894802</v>
      </c>
      <c r="H1644" s="1100">
        <v>1.025819558810277</v>
      </c>
      <c r="I1644" s="1100">
        <v>0.99115303811038247</v>
      </c>
      <c r="K1644">
        <v>2.2549070174936166</v>
      </c>
      <c r="L1644">
        <v>0</v>
      </c>
      <c r="M1644">
        <v>1.6149253839960959E-3</v>
      </c>
      <c r="N1644">
        <v>0.14418976812665829</v>
      </c>
      <c r="O1644">
        <v>1.9845893273256487E-2</v>
      </c>
      <c r="P1644">
        <v>2.6405741708828059E-2</v>
      </c>
      <c r="Q1644">
        <v>5.500384111451144E-3</v>
      </c>
      <c r="R1644">
        <v>1.5927987443709107E-3</v>
      </c>
      <c r="S1644">
        <v>0.24231893088761475</v>
      </c>
      <c r="T1644">
        <v>1.3755519113283809</v>
      </c>
      <c r="U1644">
        <v>0.14358349267139903</v>
      </c>
      <c r="V1644">
        <v>0.18280261180472893</v>
      </c>
      <c r="W1644">
        <v>9.5070956698666456E-2</v>
      </c>
      <c r="X1644">
        <v>1.5324380406043262E-2</v>
      </c>
      <c r="Y1644">
        <v>4.3350731162126507E-3</v>
      </c>
    </row>
    <row r="1645" spans="1:25" x14ac:dyDescent="0.25">
      <c r="A1645" s="1096"/>
      <c r="B1645" s="1455">
        <v>1395</v>
      </c>
      <c r="C1645" s="1100">
        <v>0.96783464932730234</v>
      </c>
      <c r="D1645" s="1100">
        <v>0.99405759808571637</v>
      </c>
      <c r="E1645" s="1100">
        <v>0.9988147325989063</v>
      </c>
      <c r="F1645" s="1100">
        <v>1.0224468142567402</v>
      </c>
      <c r="G1645" s="1100">
        <v>0.98438368316152791</v>
      </c>
      <c r="H1645" s="1100">
        <v>1.0213938185311233</v>
      </c>
      <c r="I1645" s="1100">
        <v>1.0348128553831732</v>
      </c>
      <c r="K1645">
        <v>2.2865265441701945</v>
      </c>
      <c r="L1645">
        <v>0</v>
      </c>
      <c r="M1645">
        <v>1.6384292084349402E-3</v>
      </c>
      <c r="N1645">
        <v>0.14849369523521389</v>
      </c>
      <c r="O1645">
        <v>2.0434672904074407E-2</v>
      </c>
      <c r="P1645">
        <v>2.681828211052225E-2</v>
      </c>
      <c r="Q1645">
        <v>5.6919966151170792E-3</v>
      </c>
      <c r="R1645">
        <v>1.6158832639505765E-3</v>
      </c>
      <c r="S1645">
        <v>0.26082313330944562</v>
      </c>
      <c r="T1645">
        <v>1.3740272021947859</v>
      </c>
      <c r="U1645">
        <v>0.14751465746320175</v>
      </c>
      <c r="V1645">
        <v>0.18493163455236247</v>
      </c>
      <c r="W1645">
        <v>9.7619039763889776E-2</v>
      </c>
      <c r="X1645">
        <v>1.5796874397366729E-2</v>
      </c>
      <c r="Y1645">
        <v>4.3979015686986681E-3</v>
      </c>
    </row>
    <row r="1646" spans="1:25" x14ac:dyDescent="0.25">
      <c r="A1646" s="1096"/>
      <c r="B1646" s="1455">
        <v>1396</v>
      </c>
      <c r="C1646" s="1100">
        <v>1.0009879034298439</v>
      </c>
      <c r="D1646" s="1100">
        <v>1.015738118408418</v>
      </c>
      <c r="E1646" s="1100">
        <v>1.0170779075639911</v>
      </c>
      <c r="F1646" s="1100">
        <v>1.0359238790933434</v>
      </c>
      <c r="G1646" s="1100">
        <v>1.0172797295612974</v>
      </c>
      <c r="H1646" s="1100">
        <v>0.98124643881882079</v>
      </c>
      <c r="I1646" s="1100">
        <v>0.99857298065576372</v>
      </c>
      <c r="K1646">
        <v>2.2618835050608359</v>
      </c>
      <c r="L1646">
        <v>0</v>
      </c>
      <c r="M1646">
        <v>1.4583129749793564E-3</v>
      </c>
      <c r="N1646">
        <v>0.13958288236010888</v>
      </c>
      <c r="O1646">
        <v>1.9675676254000959E-2</v>
      </c>
      <c r="P1646">
        <v>2.707104859569676E-2</v>
      </c>
      <c r="Q1646">
        <v>5.5816729666709683E-3</v>
      </c>
      <c r="R1646">
        <v>1.4374245053453251E-3</v>
      </c>
      <c r="S1646">
        <v>0.23770098235883799</v>
      </c>
      <c r="T1646">
        <v>1.3921718849995195</v>
      </c>
      <c r="U1646">
        <v>0.14267095086009479</v>
      </c>
      <c r="V1646">
        <v>0.18663618442262511</v>
      </c>
      <c r="W1646">
        <v>9.0776614052939186E-2</v>
      </c>
      <c r="X1646">
        <v>1.6124301003285452E-2</v>
      </c>
      <c r="Y1646">
        <v>3.9121956566891374E-3</v>
      </c>
    </row>
    <row r="1647" spans="1:25" x14ac:dyDescent="0.25">
      <c r="A1647" s="1096"/>
      <c r="B1647" s="1455">
        <v>1397</v>
      </c>
      <c r="C1647" s="1100">
        <v>0.98205038021916558</v>
      </c>
      <c r="D1647" s="1100">
        <v>1.009342888052055</v>
      </c>
      <c r="E1647" s="1100">
        <v>1.0000733090245093</v>
      </c>
      <c r="F1647" s="1100">
        <v>0.98339351018193855</v>
      </c>
      <c r="G1647" s="1100">
        <v>1.0331909008354399</v>
      </c>
      <c r="H1647" s="1100">
        <v>1.018994769689606</v>
      </c>
      <c r="I1647" s="1100">
        <v>0.9887173802469964</v>
      </c>
      <c r="K1647">
        <v>2.2127089909990731</v>
      </c>
      <c r="L1647">
        <v>0</v>
      </c>
      <c r="M1647">
        <v>1.6013347456724735E-3</v>
      </c>
      <c r="N1647">
        <v>0.14567990034854519</v>
      </c>
      <c r="O1647">
        <v>2.0072173131782584E-2</v>
      </c>
      <c r="P1647">
        <v>2.5925909184046372E-2</v>
      </c>
      <c r="Q1647">
        <v>5.5981035810520443E-3</v>
      </c>
      <c r="R1647">
        <v>1.579247368415236E-3</v>
      </c>
      <c r="S1647">
        <v>0.2435602225266485</v>
      </c>
      <c r="T1647">
        <v>1.3215469147551708</v>
      </c>
      <c r="U1647">
        <v>0.14538225028104143</v>
      </c>
      <c r="V1647">
        <v>0.18956247267359341</v>
      </c>
      <c r="W1647">
        <v>9.5697621739735172E-2</v>
      </c>
      <c r="X1647">
        <v>1.5407319416641193E-2</v>
      </c>
      <c r="Y1647">
        <v>4.298190738071187E-3</v>
      </c>
    </row>
    <row r="1648" spans="1:25" x14ac:dyDescent="0.25">
      <c r="A1648" s="1096"/>
      <c r="B1648" s="1455">
        <v>1398</v>
      </c>
      <c r="C1648" s="1100">
        <v>0.99539776156482618</v>
      </c>
      <c r="D1648" s="1100">
        <v>1.0052952038135838</v>
      </c>
      <c r="E1648" s="1100">
        <v>0.97158017575476974</v>
      </c>
      <c r="F1648" s="1100">
        <v>1.0129841680599596</v>
      </c>
      <c r="G1648" s="1100">
        <v>1.013994825152216</v>
      </c>
      <c r="H1648" s="1100">
        <v>0.99191049439331902</v>
      </c>
      <c r="I1648" s="1100">
        <v>0.97974485106505715</v>
      </c>
      <c r="K1648">
        <v>2.2243857147470916</v>
      </c>
      <c r="L1648">
        <v>0</v>
      </c>
      <c r="M1648">
        <v>1.6327318456108816E-3</v>
      </c>
      <c r="N1648">
        <v>0.1362202754654615</v>
      </c>
      <c r="O1648">
        <v>1.9802717742394952E-2</v>
      </c>
      <c r="P1648">
        <v>2.5739720059862605E-2</v>
      </c>
      <c r="Q1648">
        <v>5.3658001719089268E-3</v>
      </c>
      <c r="R1648">
        <v>1.6095964806279147E-3</v>
      </c>
      <c r="S1648">
        <v>0.23624232673279574</v>
      </c>
      <c r="T1648">
        <v>1.3612757242114646</v>
      </c>
      <c r="U1648">
        <v>0.1433670525325916</v>
      </c>
      <c r="V1648">
        <v>0.18655822818366982</v>
      </c>
      <c r="W1648">
        <v>9.1029259272964264E-2</v>
      </c>
      <c r="X1648">
        <v>1.4426954722025452E-2</v>
      </c>
      <c r="Y1648">
        <v>4.3807910169319482E-3</v>
      </c>
    </row>
    <row r="1649" spans="1:25" x14ac:dyDescent="0.25">
      <c r="A1649" s="1096"/>
      <c r="B1649" s="1455">
        <v>1399</v>
      </c>
      <c r="C1649" s="1100">
        <v>0.98054208864488246</v>
      </c>
      <c r="D1649" s="1100">
        <v>1.0387240199124756</v>
      </c>
      <c r="E1649" s="1100">
        <v>1.0009047699700759</v>
      </c>
      <c r="F1649" s="1100">
        <v>0.97084370805503994</v>
      </c>
      <c r="G1649" s="1100">
        <v>0.97495839803594919</v>
      </c>
      <c r="H1649" s="1100">
        <v>1.0068294759963321</v>
      </c>
      <c r="I1649" s="1100">
        <v>1.0072409950969965</v>
      </c>
      <c r="K1649">
        <v>2.1855160209755167</v>
      </c>
      <c r="L1649">
        <v>0</v>
      </c>
      <c r="M1649">
        <v>1.5719655234534976E-3</v>
      </c>
      <c r="N1649">
        <v>0.14334351382755448</v>
      </c>
      <c r="O1649">
        <v>1.997707153036191E-2</v>
      </c>
      <c r="P1649">
        <v>2.5632540233087035E-2</v>
      </c>
      <c r="Q1649">
        <v>5.5762370945760869E-3</v>
      </c>
      <c r="R1649">
        <v>1.5500212567850558E-3</v>
      </c>
      <c r="S1649">
        <v>0.24402149381670998</v>
      </c>
      <c r="T1649">
        <v>1.3046829840221368</v>
      </c>
      <c r="U1649">
        <v>0.14560783290400647</v>
      </c>
      <c r="V1649">
        <v>0.1830737738749032</v>
      </c>
      <c r="W1649">
        <v>9.4116338032149499E-2</v>
      </c>
      <c r="X1649">
        <v>1.5287533010099016E-2</v>
      </c>
      <c r="Y1649">
        <v>4.2186468965989491E-3</v>
      </c>
    </row>
    <row r="1650" spans="1:25" x14ac:dyDescent="0.25">
      <c r="A1650" s="1096"/>
      <c r="B1650" s="1455">
        <v>1400</v>
      </c>
      <c r="C1650" s="1100">
        <v>1.0030279959800805</v>
      </c>
      <c r="D1650" s="1100">
        <v>1.0245404170586756</v>
      </c>
      <c r="E1650" s="1100">
        <v>1.0294245925819974</v>
      </c>
      <c r="F1650" s="1100">
        <v>1.0116786839583836</v>
      </c>
      <c r="G1650" s="1100">
        <v>1.0065993772478992</v>
      </c>
      <c r="H1650" s="1100">
        <v>0.99794262137870904</v>
      </c>
      <c r="I1650" s="1100">
        <v>1.0183791010131646</v>
      </c>
      <c r="K1650">
        <v>2.237544609744782</v>
      </c>
      <c r="L1650">
        <v>0</v>
      </c>
      <c r="M1650">
        <v>1.4398173912853239E-3</v>
      </c>
      <c r="N1650">
        <v>0.1430760183972529</v>
      </c>
      <c r="O1650">
        <v>1.960609393973391E-2</v>
      </c>
      <c r="P1650">
        <v>2.6904937697942725E-2</v>
      </c>
      <c r="Q1650">
        <v>5.6305002691090693E-3</v>
      </c>
      <c r="R1650">
        <v>1.4195388915933416E-3</v>
      </c>
      <c r="S1650">
        <v>0.24233237841491279</v>
      </c>
      <c r="T1650">
        <v>1.3596150453788429</v>
      </c>
      <c r="U1650">
        <v>0.14240920789292508</v>
      </c>
      <c r="V1650">
        <v>0.18531967396280116</v>
      </c>
      <c r="W1650">
        <v>9.2380337208111368E-2</v>
      </c>
      <c r="X1650">
        <v>1.6427178170795562E-2</v>
      </c>
      <c r="Y1650">
        <v>3.8635169120472268E-3</v>
      </c>
    </row>
    <row r="1651" spans="1:25" x14ac:dyDescent="0.25">
      <c r="A1651" s="1096"/>
      <c r="B1651" s="1455">
        <v>1401</v>
      </c>
      <c r="C1651" s="1100">
        <v>0.97438346547573707</v>
      </c>
      <c r="D1651" s="1100">
        <v>1.0073157692419106</v>
      </c>
      <c r="E1651" s="1100">
        <v>1.0006090652288924</v>
      </c>
      <c r="F1651" s="1100">
        <v>0.97600018584463921</v>
      </c>
      <c r="G1651" s="1100">
        <v>1.0226982632573078</v>
      </c>
      <c r="H1651" s="1100">
        <v>0.9889671890357189</v>
      </c>
      <c r="I1651" s="1100">
        <v>1.0075615660269828</v>
      </c>
      <c r="K1651">
        <v>2.202475222429463</v>
      </c>
      <c r="L1651">
        <v>0</v>
      </c>
      <c r="M1651">
        <v>1.5653279208277158E-3</v>
      </c>
      <c r="N1651">
        <v>0.14257432501943779</v>
      </c>
      <c r="O1651">
        <v>2.0239402921188789E-2</v>
      </c>
      <c r="P1651">
        <v>2.5866198307474629E-2</v>
      </c>
      <c r="Q1651">
        <v>5.6477838707249739E-3</v>
      </c>
      <c r="R1651">
        <v>1.5430816394766133E-3</v>
      </c>
      <c r="S1651">
        <v>0.24792475469230116</v>
      </c>
      <c r="T1651">
        <v>1.3116121303719062</v>
      </c>
      <c r="U1651">
        <v>0.14652745327771238</v>
      </c>
      <c r="V1651">
        <v>0.18885222960878842</v>
      </c>
      <c r="W1651">
        <v>9.3627748698254604E-2</v>
      </c>
      <c r="X1651">
        <v>1.5425682397096605E-2</v>
      </c>
      <c r="Y1651">
        <v>4.1997595459295984E-3</v>
      </c>
    </row>
    <row r="1652" spans="1:25" x14ac:dyDescent="0.25">
      <c r="A1652" s="1096"/>
      <c r="B1652" s="1455">
        <v>1402</v>
      </c>
      <c r="C1652" s="1100">
        <v>0.98280292300601901</v>
      </c>
      <c r="D1652" s="1100">
        <v>1.0076349231722677</v>
      </c>
      <c r="E1652" s="1100">
        <v>0.97845776852631661</v>
      </c>
      <c r="F1652" s="1100">
        <v>0.99309614715368277</v>
      </c>
      <c r="G1652" s="1100">
        <v>0.9821849722040743</v>
      </c>
      <c r="H1652" s="1100">
        <v>0.98768475394186017</v>
      </c>
      <c r="I1652" s="1100">
        <v>0.98693717214493026</v>
      </c>
      <c r="K1652">
        <v>2.2041903163729923</v>
      </c>
      <c r="L1652">
        <v>0</v>
      </c>
      <c r="M1652">
        <v>1.6225477922114351E-3</v>
      </c>
      <c r="N1652">
        <v>0.13820964105347469</v>
      </c>
      <c r="O1652">
        <v>2.0050585551758499E-2</v>
      </c>
      <c r="P1652">
        <v>2.5559999452371761E-2</v>
      </c>
      <c r="Q1652">
        <v>5.4711808621063073E-3</v>
      </c>
      <c r="R1652">
        <v>1.5994583668395431E-3</v>
      </c>
      <c r="S1652">
        <v>0.24046003554439743</v>
      </c>
      <c r="T1652">
        <v>1.3345567925832231</v>
      </c>
      <c r="U1652">
        <v>0.14522037963575676</v>
      </c>
      <c r="V1652">
        <v>0.18373162068558946</v>
      </c>
      <c r="W1652">
        <v>9.1974384929034148E-2</v>
      </c>
      <c r="X1652">
        <v>1.4625587087423349E-2</v>
      </c>
      <c r="Y1652">
        <v>4.3531984132283118E-3</v>
      </c>
    </row>
    <row r="1653" spans="1:25" x14ac:dyDescent="0.25">
      <c r="A1653" s="1096"/>
      <c r="B1653" s="1455">
        <v>1403</v>
      </c>
      <c r="C1653" s="1100">
        <v>1.0184911568934407</v>
      </c>
      <c r="D1653" s="1100">
        <v>1.0096947613440546</v>
      </c>
      <c r="E1653" s="1100">
        <v>0.99049168921190478</v>
      </c>
      <c r="F1653" s="1100">
        <v>0.99624098269856676</v>
      </c>
      <c r="G1653" s="1100">
        <v>0.98672261399410766</v>
      </c>
      <c r="H1653" s="1100">
        <v>0.98579033890894718</v>
      </c>
      <c r="I1653" s="1100">
        <v>1.0310290945950036</v>
      </c>
      <c r="K1653">
        <v>2.196060545791183</v>
      </c>
      <c r="L1653">
        <v>0</v>
      </c>
      <c r="M1653">
        <v>1.5235730569756617E-3</v>
      </c>
      <c r="N1653">
        <v>0.13458596641596443</v>
      </c>
      <c r="O1653">
        <v>1.9346663339062816E-2</v>
      </c>
      <c r="P1653">
        <v>2.5783046586826813E-2</v>
      </c>
      <c r="Q1653">
        <v>5.3439066571594534E-3</v>
      </c>
      <c r="R1653">
        <v>1.5018504120559769E-3</v>
      </c>
      <c r="S1653">
        <v>0.24209242839244616</v>
      </c>
      <c r="T1653">
        <v>1.3387979504947667</v>
      </c>
      <c r="U1653">
        <v>0.14015894955203131</v>
      </c>
      <c r="V1653">
        <v>0.18214029919020036</v>
      </c>
      <c r="W1653">
        <v>8.8916783230681071E-2</v>
      </c>
      <c r="X1653">
        <v>1.4828732840198929E-2</v>
      </c>
      <c r="Y1653">
        <v>4.0875417367610932E-3</v>
      </c>
    </row>
    <row r="1654" spans="1:25" x14ac:dyDescent="0.25">
      <c r="A1654" s="1096"/>
      <c r="B1654" s="1455">
        <v>1404</v>
      </c>
      <c r="C1654" s="1100">
        <v>1.0316559236653462</v>
      </c>
      <c r="D1654" s="1100">
        <v>1.021357307555218</v>
      </c>
      <c r="E1654" s="1100">
        <v>1.0173389232541195</v>
      </c>
      <c r="F1654" s="1100">
        <v>0.97670343267980297</v>
      </c>
      <c r="G1654" s="1100">
        <v>1.0097216006985856</v>
      </c>
      <c r="H1654" s="1100">
        <v>1.0111983620111968</v>
      </c>
      <c r="I1654" s="1100">
        <v>1.0088869555989448</v>
      </c>
      <c r="K1654">
        <v>2.1696930418197145</v>
      </c>
      <c r="L1654">
        <v>0</v>
      </c>
      <c r="M1654">
        <v>1.4555934349270877E-3</v>
      </c>
      <c r="N1654">
        <v>0.13949236979924007</v>
      </c>
      <c r="O1654">
        <v>1.9067778775750478E-2</v>
      </c>
      <c r="P1654">
        <v>2.5840404860121527E-2</v>
      </c>
      <c r="Q1654">
        <v>5.4106281928896311E-3</v>
      </c>
      <c r="R1654">
        <v>1.4353614865787606E-3</v>
      </c>
      <c r="S1654">
        <v>0.2347171728027449</v>
      </c>
      <c r="T1654">
        <v>1.3125863828980633</v>
      </c>
      <c r="U1654">
        <v>0.13843035767208101</v>
      </c>
      <c r="V1654">
        <v>0.18401983676953126</v>
      </c>
      <c r="W1654">
        <v>9.0703867214725592E-2</v>
      </c>
      <c r="X1654">
        <v>1.5537893983235821E-2</v>
      </c>
      <c r="Y1654">
        <v>3.906580799680503E-3</v>
      </c>
    </row>
    <row r="1655" spans="1:25" x14ac:dyDescent="0.25">
      <c r="A1655" s="1096"/>
      <c r="B1655" s="1455">
        <v>1405</v>
      </c>
      <c r="C1655" s="1100">
        <v>0.97383693187052578</v>
      </c>
      <c r="D1655" s="1100">
        <v>0.99073595977871576</v>
      </c>
      <c r="E1655" s="1100">
        <v>0.99803754411668155</v>
      </c>
      <c r="F1655" s="1100">
        <v>1.0194292214380722</v>
      </c>
      <c r="G1655" s="1100">
        <v>0.97739036396837786</v>
      </c>
      <c r="H1655" s="1100">
        <v>0.9909634416226768</v>
      </c>
      <c r="I1655" s="1100">
        <v>0.99737309759658843</v>
      </c>
      <c r="K1655">
        <v>2.2576920983444753</v>
      </c>
      <c r="L1655">
        <v>0</v>
      </c>
      <c r="M1655">
        <v>1.5835317608603667E-3</v>
      </c>
      <c r="N1655">
        <v>0.14312026447039397</v>
      </c>
      <c r="O1655">
        <v>2.0323183592109079E-2</v>
      </c>
      <c r="P1655">
        <v>2.6540894000223362E-2</v>
      </c>
      <c r="Q1655">
        <v>5.6565171820006869E-3</v>
      </c>
      <c r="R1655">
        <v>1.5610721037092488E-3</v>
      </c>
      <c r="S1655">
        <v>0.24774501757820605</v>
      </c>
      <c r="T1655">
        <v>1.3699707402231027</v>
      </c>
      <c r="U1655">
        <v>0.14660360807048872</v>
      </c>
      <c r="V1655">
        <v>0.18376263793137049</v>
      </c>
      <c r="W1655">
        <v>9.4130096684408152E-2</v>
      </c>
      <c r="X1655">
        <v>1.5612874610304413E-2</v>
      </c>
      <c r="Y1655">
        <v>4.2487236590158907E-3</v>
      </c>
    </row>
    <row r="1656" spans="1:25" x14ac:dyDescent="0.25">
      <c r="A1656" s="1096"/>
      <c r="B1656" s="1455">
        <v>1406</v>
      </c>
      <c r="C1656" s="1100">
        <v>0.99981294948466648</v>
      </c>
      <c r="D1656" s="1100">
        <v>1.0217417341621715</v>
      </c>
      <c r="E1656" s="1100">
        <v>0.95999070540600862</v>
      </c>
      <c r="F1656" s="1100">
        <v>0.98265804117545952</v>
      </c>
      <c r="G1656" s="1100">
        <v>0.98194492872647676</v>
      </c>
      <c r="H1656" s="1100">
        <v>1.0029317363358039</v>
      </c>
      <c r="I1656" s="1100">
        <v>0.98038704203367699</v>
      </c>
      <c r="K1656">
        <v>2.174230132020095</v>
      </c>
      <c r="L1656">
        <v>0</v>
      </c>
      <c r="M1656">
        <v>1.6773551181242404E-3</v>
      </c>
      <c r="N1656">
        <v>0.13513743655564373</v>
      </c>
      <c r="O1656">
        <v>1.9637843132945219E-2</v>
      </c>
      <c r="P1656">
        <v>2.4884962892444316E-2</v>
      </c>
      <c r="Q1656">
        <v>5.2583197857552473E-3</v>
      </c>
      <c r="R1656">
        <v>1.6538486369999216E-3</v>
      </c>
      <c r="S1656">
        <v>0.2342357315145471</v>
      </c>
      <c r="T1656">
        <v>1.3205130924931874</v>
      </c>
      <c r="U1656">
        <v>0.14270740346509844</v>
      </c>
      <c r="V1656">
        <v>0.18266251188536023</v>
      </c>
      <c r="W1656">
        <v>9.0947050429545248E-2</v>
      </c>
      <c r="X1656">
        <v>1.3768055547832649E-2</v>
      </c>
      <c r="Y1656">
        <v>4.5012307988571238E-3</v>
      </c>
    </row>
    <row r="1657" spans="1:25" x14ac:dyDescent="0.25">
      <c r="A1657" s="1096"/>
      <c r="B1657" s="1455">
        <v>1407</v>
      </c>
      <c r="C1657" s="1100">
        <v>0.99709997303552678</v>
      </c>
      <c r="D1657" s="1100">
        <v>0.98180718426913738</v>
      </c>
      <c r="E1657" s="1100">
        <v>0.97371576523945857</v>
      </c>
      <c r="F1657" s="1100">
        <v>1.0201004433846366</v>
      </c>
      <c r="G1657" s="1100">
        <v>0.99075388949019616</v>
      </c>
      <c r="H1657" s="1100">
        <v>0.97380949843016495</v>
      </c>
      <c r="I1657" s="1100">
        <v>0.96047457099270972</v>
      </c>
      <c r="K1657">
        <v>2.2244234004761263</v>
      </c>
      <c r="L1657">
        <v>0</v>
      </c>
      <c r="M1657">
        <v>1.6014655931901785E-3</v>
      </c>
      <c r="N1657">
        <v>0.13444238209967121</v>
      </c>
      <c r="O1657">
        <v>1.9873337524125255E-2</v>
      </c>
      <c r="P1657">
        <v>2.5820813045299908E-2</v>
      </c>
      <c r="Q1657">
        <v>5.396684856081085E-3</v>
      </c>
      <c r="R1657">
        <v>1.578351461511781E-3</v>
      </c>
      <c r="S1657">
        <v>0.23256515961994462</v>
      </c>
      <c r="T1657">
        <v>1.3708409295243424</v>
      </c>
      <c r="U1657">
        <v>0.14312721093280079</v>
      </c>
      <c r="V1657">
        <v>0.18383105940109098</v>
      </c>
      <c r="W1657">
        <v>8.9724727286393413E-2</v>
      </c>
      <c r="X1657">
        <v>1.4528457943240258E-2</v>
      </c>
      <c r="Y1657">
        <v>4.2957523748156142E-3</v>
      </c>
    </row>
    <row r="1658" spans="1:25" x14ac:dyDescent="0.25">
      <c r="A1658" s="1096"/>
      <c r="B1658" s="1455">
        <v>1408</v>
      </c>
      <c r="C1658" s="1100">
        <v>0.9807463552885104</v>
      </c>
      <c r="D1658" s="1100">
        <v>0.95990778266103538</v>
      </c>
      <c r="E1658" s="1100">
        <v>0.99803681218216889</v>
      </c>
      <c r="F1658" s="1100">
        <v>0.95962996185128568</v>
      </c>
      <c r="G1658" s="1100">
        <v>1.0138330409147687</v>
      </c>
      <c r="H1658" s="1100">
        <v>1.0382240620920644</v>
      </c>
      <c r="I1658" s="1100">
        <v>0.96540619029831287</v>
      </c>
      <c r="K1658">
        <v>2.1881653844027675</v>
      </c>
      <c r="L1658">
        <v>0</v>
      </c>
      <c r="M1658">
        <v>1.6588636225358905E-3</v>
      </c>
      <c r="N1658">
        <v>0.15002664932212326</v>
      </c>
      <c r="O1658">
        <v>2.0320833585375668E-2</v>
      </c>
      <c r="P1658">
        <v>2.5454316112056775E-2</v>
      </c>
      <c r="Q1658">
        <v>5.6558589429322129E-3</v>
      </c>
      <c r="R1658">
        <v>1.6364065278309278E-3</v>
      </c>
      <c r="S1658">
        <v>0.24569098931788774</v>
      </c>
      <c r="T1658">
        <v>1.2896088717308689</v>
      </c>
      <c r="U1658">
        <v>0.14557077416605796</v>
      </c>
      <c r="V1658">
        <v>0.18745283876656818</v>
      </c>
      <c r="W1658">
        <v>9.867246410635834E-2</v>
      </c>
      <c r="X1658">
        <v>1.528048631975251E-2</v>
      </c>
      <c r="Y1658">
        <v>4.4537591274888639E-3</v>
      </c>
    </row>
    <row r="1659" spans="1:25" x14ac:dyDescent="0.25">
      <c r="A1659" s="1096"/>
      <c r="B1659" s="1455">
        <v>1409</v>
      </c>
      <c r="C1659" s="1100">
        <v>1.0254555473321907</v>
      </c>
      <c r="D1659" s="1100">
        <v>1.0287021008032284</v>
      </c>
      <c r="E1659" s="1100">
        <v>1.0046763349493795</v>
      </c>
      <c r="F1659" s="1100">
        <v>0.99158779064797831</v>
      </c>
      <c r="G1659" s="1100">
        <v>0.98309680185432979</v>
      </c>
      <c r="H1659" s="1100">
        <v>1.0144849215182725</v>
      </c>
      <c r="I1659" s="1100">
        <v>1.035180071727269</v>
      </c>
      <c r="K1659">
        <v>2.1943828196808273</v>
      </c>
      <c r="L1659">
        <v>0</v>
      </c>
      <c r="M1659">
        <v>1.5059456335085367E-3</v>
      </c>
      <c r="N1659">
        <v>0.13891155200343103</v>
      </c>
      <c r="O1659">
        <v>1.9145176122972632E-2</v>
      </c>
      <c r="P1659">
        <v>2.5942258410808758E-2</v>
      </c>
      <c r="Q1659">
        <v>5.3642954076543771E-3</v>
      </c>
      <c r="R1659">
        <v>1.4850816287039917E-3</v>
      </c>
      <c r="S1659">
        <v>0.24160098082629008</v>
      </c>
      <c r="T1659">
        <v>1.3325664132377228</v>
      </c>
      <c r="U1659">
        <v>0.13923889347414498</v>
      </c>
      <c r="V1659">
        <v>0.18134706281687338</v>
      </c>
      <c r="W1659">
        <v>9.1002633399539137E-2</v>
      </c>
      <c r="X1659">
        <v>1.5242515349887752E-2</v>
      </c>
      <c r="Y1659">
        <v>4.041902636304935E-3</v>
      </c>
    </row>
    <row r="1660" spans="1:25" x14ac:dyDescent="0.25">
      <c r="A1660" s="1096"/>
      <c r="B1660" s="1455">
        <v>1410</v>
      </c>
      <c r="C1660" s="1100">
        <v>0.98974987078359533</v>
      </c>
      <c r="D1660" s="1100">
        <v>1.042510428252666</v>
      </c>
      <c r="E1660" s="1100">
        <v>1.0010685819642255</v>
      </c>
      <c r="F1660" s="1100">
        <v>1.0165541304632064</v>
      </c>
      <c r="G1660" s="1100">
        <v>0.9775707702389117</v>
      </c>
      <c r="H1660" s="1100">
        <v>0.95831151438290263</v>
      </c>
      <c r="I1660" s="1100">
        <v>1.008172281894711</v>
      </c>
      <c r="K1660">
        <v>2.2254335928889888</v>
      </c>
      <c r="L1660">
        <v>0</v>
      </c>
      <c r="M1660">
        <v>1.4806054456003805E-3</v>
      </c>
      <c r="N1660">
        <v>0.13498263228848423</v>
      </c>
      <c r="O1660">
        <v>1.9775488017923414E-2</v>
      </c>
      <c r="P1660">
        <v>2.6364798068666449E-2</v>
      </c>
      <c r="Q1660">
        <v>5.5208772131117648E-3</v>
      </c>
      <c r="R1660">
        <v>1.4588901066328775E-3</v>
      </c>
      <c r="S1660">
        <v>0.23761813797963338</v>
      </c>
      <c r="T1660">
        <v>1.3661118944277386</v>
      </c>
      <c r="U1660">
        <v>0.14425360388384045</v>
      </c>
      <c r="V1660">
        <v>0.18280635287714461</v>
      </c>
      <c r="W1660">
        <v>8.8618137321890778E-2</v>
      </c>
      <c r="X1660">
        <v>1.5432768202263317E-2</v>
      </c>
      <c r="Y1660">
        <v>3.9706179472602928E-3</v>
      </c>
    </row>
    <row r="1661" spans="1:25" x14ac:dyDescent="0.25">
      <c r="A1661" s="1096"/>
      <c r="B1661" s="1455">
        <v>1411</v>
      </c>
      <c r="C1661" s="1100">
        <v>0.96604820476316633</v>
      </c>
      <c r="D1661" s="1100">
        <v>1.0061990858247465</v>
      </c>
      <c r="E1661" s="1100">
        <v>1.0080413416659537</v>
      </c>
      <c r="F1661" s="1100">
        <v>1.0391855806952246</v>
      </c>
      <c r="G1661" s="1100">
        <v>1.0102850325415982</v>
      </c>
      <c r="H1661" s="1100">
        <v>0.98189250069814349</v>
      </c>
      <c r="I1661" s="1100">
        <v>1.0046446350231979</v>
      </c>
      <c r="K1661">
        <v>2.2927333331186506</v>
      </c>
      <c r="L1661">
        <v>0</v>
      </c>
      <c r="M1661">
        <v>1.5439191660115339E-3</v>
      </c>
      <c r="N1661">
        <v>0.14380176224552391</v>
      </c>
      <c r="O1661">
        <v>2.0423817293267251E-2</v>
      </c>
      <c r="P1661">
        <v>2.719464126757196E-2</v>
      </c>
      <c r="Q1661">
        <v>5.7418792292788711E-3</v>
      </c>
      <c r="R1661">
        <v>1.5218190480216138E-3</v>
      </c>
      <c r="S1661">
        <v>0.24894770458943338</v>
      </c>
      <c r="T1661">
        <v>1.3965377679923412</v>
      </c>
      <c r="U1661">
        <v>0.14780944675417906</v>
      </c>
      <c r="V1661">
        <v>0.18798122897931191</v>
      </c>
      <c r="W1661">
        <v>9.4018988095522282E-2</v>
      </c>
      <c r="X1661">
        <v>1.6156307009007765E-2</v>
      </c>
      <c r="Y1661">
        <v>4.1418897812004795E-3</v>
      </c>
    </row>
    <row r="1662" spans="1:25" x14ac:dyDescent="0.25">
      <c r="A1662" s="1096"/>
      <c r="B1662" s="1455">
        <v>1412</v>
      </c>
      <c r="C1662" s="1100">
        <v>1.0068547574197071</v>
      </c>
      <c r="D1662" s="1100">
        <v>0.99025209595523278</v>
      </c>
      <c r="E1662" s="1100">
        <v>1.0109670426843662</v>
      </c>
      <c r="F1662" s="1100">
        <v>0.99593413085215432</v>
      </c>
      <c r="G1662" s="1100">
        <v>1.0249706220090857</v>
      </c>
      <c r="H1662" s="1100">
        <v>0.99915242877717214</v>
      </c>
      <c r="I1662" s="1100">
        <v>0.97826920132270256</v>
      </c>
      <c r="K1662">
        <v>2.2078408362910968</v>
      </c>
      <c r="L1662">
        <v>0</v>
      </c>
      <c r="M1662">
        <v>1.5035269511445735E-3</v>
      </c>
      <c r="N1662">
        <v>0.14131749434755833</v>
      </c>
      <c r="O1662">
        <v>1.966688197278324E-2</v>
      </c>
      <c r="P1662">
        <v>2.6179840830975267E-2</v>
      </c>
      <c r="Q1662">
        <v>5.545275824846963E-3</v>
      </c>
      <c r="R1662">
        <v>1.4823768014350161E-3</v>
      </c>
      <c r="S1662">
        <v>0.23582385517072041</v>
      </c>
      <c r="T1662">
        <v>1.3384183703864201</v>
      </c>
      <c r="U1662">
        <v>0.14182561628748383</v>
      </c>
      <c r="V1662">
        <v>0.1871546298962021</v>
      </c>
      <c r="W1662">
        <v>9.2235423927345878E-2</v>
      </c>
      <c r="X1662">
        <v>1.5660056808345375E-2</v>
      </c>
      <c r="Y1662">
        <v>4.0345409881248516E-3</v>
      </c>
    </row>
    <row r="1663" spans="1:25" x14ac:dyDescent="0.25">
      <c r="A1663" s="1096"/>
      <c r="B1663" s="1455">
        <v>1413</v>
      </c>
      <c r="C1663" s="1100">
        <v>0.99518440091657245</v>
      </c>
      <c r="D1663" s="1100">
        <v>1.0201310413446629</v>
      </c>
      <c r="E1663" s="1100">
        <v>1.017680940808261</v>
      </c>
      <c r="F1663" s="1100">
        <v>0.9833957514191084</v>
      </c>
      <c r="G1663" s="1100">
        <v>1.0219619035216481</v>
      </c>
      <c r="H1663" s="1100">
        <v>0.99661968512403432</v>
      </c>
      <c r="I1663" s="1100">
        <v>0.96084880119386695</v>
      </c>
      <c r="K1663">
        <v>2.1898340867787729</v>
      </c>
      <c r="L1663">
        <v>0</v>
      </c>
      <c r="M1663">
        <v>1.4865186162195537E-3</v>
      </c>
      <c r="N1663">
        <v>0.14257367516150732</v>
      </c>
      <c r="O1663">
        <v>1.9772014058784468E-2</v>
      </c>
      <c r="P1663">
        <v>2.6034796026027384E-2</v>
      </c>
      <c r="Q1663">
        <v>5.6123709269322586E-3</v>
      </c>
      <c r="R1663">
        <v>1.4655545815987292E-3</v>
      </c>
      <c r="S1663">
        <v>0.23075015943129845</v>
      </c>
      <c r="T1663">
        <v>1.3215808157818647</v>
      </c>
      <c r="U1663">
        <v>0.14350434745669433</v>
      </c>
      <c r="V1663">
        <v>0.18751167216105408</v>
      </c>
      <c r="W1663">
        <v>9.2688877796883187E-2</v>
      </c>
      <c r="X1663">
        <v>1.5837565561171874E-2</v>
      </c>
      <c r="Y1663">
        <v>3.9887564511737585E-3</v>
      </c>
    </row>
    <row r="1664" spans="1:25" x14ac:dyDescent="0.25">
      <c r="A1664" s="1096"/>
      <c r="B1664" s="1455">
        <v>1414</v>
      </c>
      <c r="C1664" s="1100">
        <v>0.98170453815200676</v>
      </c>
      <c r="D1664" s="1100">
        <v>1.0304599788870694</v>
      </c>
      <c r="E1664" s="1100">
        <v>1.0104991278047726</v>
      </c>
      <c r="F1664" s="1100">
        <v>1.0326397684024455</v>
      </c>
      <c r="G1664" s="1100">
        <v>0.9750794449319008</v>
      </c>
      <c r="H1664" s="1100">
        <v>0.98583039197114164</v>
      </c>
      <c r="I1664" s="1100">
        <v>0.99463524145110294</v>
      </c>
      <c r="K1664">
        <v>2.2629465119845484</v>
      </c>
      <c r="L1664">
        <v>0</v>
      </c>
      <c r="M1664">
        <v>1.5096877937766243E-3</v>
      </c>
      <c r="N1664">
        <v>0.14166894034226027</v>
      </c>
      <c r="O1664">
        <v>1.9994581806201828E-2</v>
      </c>
      <c r="P1664">
        <v>2.6899812207347034E-2</v>
      </c>
      <c r="Q1664">
        <v>5.6350387836941193E-3</v>
      </c>
      <c r="R1664">
        <v>1.4881639952705407E-3</v>
      </c>
      <c r="S1664">
        <v>0.24001222598199803</v>
      </c>
      <c r="T1664">
        <v>1.3877455500251787</v>
      </c>
      <c r="U1664">
        <v>0.14545793755483077</v>
      </c>
      <c r="V1664">
        <v>0.18302457913186132</v>
      </c>
      <c r="W1664">
        <v>9.2490308010380912E-2</v>
      </c>
      <c r="X1664">
        <v>1.5988770117300915E-2</v>
      </c>
      <c r="Y1664">
        <v>4.0502918219972152E-3</v>
      </c>
    </row>
    <row r="1665" spans="1:25" x14ac:dyDescent="0.25">
      <c r="A1665" s="1096"/>
      <c r="B1665" s="1455">
        <v>1415</v>
      </c>
      <c r="C1665" s="1100">
        <v>1.0197911001333309</v>
      </c>
      <c r="D1665" s="1100">
        <v>1.0138750119445161</v>
      </c>
      <c r="E1665" s="1100">
        <v>1.0129122567846369</v>
      </c>
      <c r="F1665" s="1100">
        <v>0.9941694722943728</v>
      </c>
      <c r="G1665" s="1100">
        <v>0.98717196682165043</v>
      </c>
      <c r="H1665" s="1100">
        <v>1.0012090558787539</v>
      </c>
      <c r="I1665" s="1100">
        <v>1.0144555611765755</v>
      </c>
      <c r="K1665">
        <v>2.1976395573398348</v>
      </c>
      <c r="L1665">
        <v>0</v>
      </c>
      <c r="M1665">
        <v>1.4738448105461386E-3</v>
      </c>
      <c r="N1665">
        <v>0.13934752821040691</v>
      </c>
      <c r="O1665">
        <v>1.9318142875759673E-2</v>
      </c>
      <c r="P1665">
        <v>2.613199713107572E-2</v>
      </c>
      <c r="Q1665">
        <v>5.4575359177678039E-3</v>
      </c>
      <c r="R1665">
        <v>1.4531547879781158E-3</v>
      </c>
      <c r="S1665">
        <v>0.23880207907627599</v>
      </c>
      <c r="T1665">
        <v>1.3360504546078731</v>
      </c>
      <c r="U1665">
        <v>0.14003091732624842</v>
      </c>
      <c r="V1665">
        <v>0.18213629765088862</v>
      </c>
      <c r="W1665">
        <v>9.0845557362975046E-2</v>
      </c>
      <c r="X1665">
        <v>1.5584728902602591E-2</v>
      </c>
      <c r="Y1665">
        <v>3.9550083005293179E-3</v>
      </c>
    </row>
    <row r="1666" spans="1:25" x14ac:dyDescent="0.25">
      <c r="A1666" s="1096"/>
      <c r="B1666" s="1455">
        <v>1416</v>
      </c>
      <c r="C1666" s="1100">
        <v>1.021676215951056</v>
      </c>
      <c r="D1666" s="1100">
        <v>1.0221206527365923</v>
      </c>
      <c r="E1666" s="1100">
        <v>1.0088288118960202</v>
      </c>
      <c r="F1666" s="1100">
        <v>1.0082251691712507</v>
      </c>
      <c r="G1666" s="1100">
        <v>0.99187286834476229</v>
      </c>
      <c r="H1666" s="1100">
        <v>1.0434152969422517</v>
      </c>
      <c r="I1666" s="1100">
        <v>0.9728964401048702</v>
      </c>
      <c r="K1666">
        <v>2.2170921083662338</v>
      </c>
      <c r="L1666">
        <v>0</v>
      </c>
      <c r="M1666">
        <v>1.5434515147992561E-3</v>
      </c>
      <c r="N1666">
        <v>0.1442238061693652</v>
      </c>
      <c r="O1666">
        <v>1.9245679277556091E-2</v>
      </c>
      <c r="P1666">
        <v>2.6205564726071578E-2</v>
      </c>
      <c r="Q1666">
        <v>5.4149262620036996E-3</v>
      </c>
      <c r="R1666">
        <v>1.5226607833452456E-3</v>
      </c>
      <c r="S1666">
        <v>0.2308561719436297</v>
      </c>
      <c r="T1666">
        <v>1.3549321869987059</v>
      </c>
      <c r="U1666">
        <v>0.13976332602333283</v>
      </c>
      <c r="V1666">
        <v>0.18255670401846738</v>
      </c>
      <c r="W1666">
        <v>9.4251094595792548E-2</v>
      </c>
      <c r="X1666">
        <v>1.5519258375489661E-2</v>
      </c>
      <c r="Y1666">
        <v>4.144180707273429E-3</v>
      </c>
    </row>
    <row r="1667" spans="1:25" x14ac:dyDescent="0.25">
      <c r="A1667" s="1096"/>
      <c r="B1667" s="1455">
        <v>1417</v>
      </c>
      <c r="C1667" s="1100">
        <v>1.0328452372345558</v>
      </c>
      <c r="D1667" s="1100">
        <v>0.9874658362377261</v>
      </c>
      <c r="E1667" s="1100">
        <v>1.008298968140251</v>
      </c>
      <c r="F1667" s="1100">
        <v>1.0119200703308766</v>
      </c>
      <c r="G1667" s="1100">
        <v>0.99112149969688557</v>
      </c>
      <c r="H1667" s="1100">
        <v>0.99275819279252819</v>
      </c>
      <c r="I1667" s="1100">
        <v>0.98802356505964717</v>
      </c>
      <c r="K1667">
        <v>2.208074385096924</v>
      </c>
      <c r="L1667">
        <v>0</v>
      </c>
      <c r="M1667">
        <v>1.4653145715376355E-3</v>
      </c>
      <c r="N1667">
        <v>0.13660838892525032</v>
      </c>
      <c r="O1667">
        <v>1.9182252789881019E-2</v>
      </c>
      <c r="P1667">
        <v>2.6248559044708925E-2</v>
      </c>
      <c r="Q1667">
        <v>5.3942206251228449E-3</v>
      </c>
      <c r="R1667">
        <v>1.444569192916276E-3</v>
      </c>
      <c r="S1667">
        <v>0.23199800650103958</v>
      </c>
      <c r="T1667">
        <v>1.3598967324769999</v>
      </c>
      <c r="U1667">
        <v>0.13825076538610426</v>
      </c>
      <c r="V1667">
        <v>0.18184331647303789</v>
      </c>
      <c r="W1667">
        <v>8.9302303714844405E-2</v>
      </c>
      <c r="X1667">
        <v>1.5438943397544497E-2</v>
      </c>
      <c r="Y1667">
        <v>3.9316411410116412E-3</v>
      </c>
    </row>
    <row r="1668" spans="1:25" x14ac:dyDescent="0.25">
      <c r="A1668" s="1096"/>
      <c r="B1668" s="1455">
        <v>1418</v>
      </c>
      <c r="C1668" s="1100">
        <v>1.0242124331487332</v>
      </c>
      <c r="D1668" s="1100">
        <v>0.9749110546551818</v>
      </c>
      <c r="E1668" s="1100">
        <v>1.0288809370314309</v>
      </c>
      <c r="F1668" s="1100">
        <v>0.97045578058821813</v>
      </c>
      <c r="G1668" s="1100">
        <v>0.98266155862029314</v>
      </c>
      <c r="H1668" s="1100">
        <v>1.0294725454163633</v>
      </c>
      <c r="I1668" s="1100">
        <v>1.0087938823855176</v>
      </c>
      <c r="K1668">
        <v>2.1800996443004408</v>
      </c>
      <c r="L1668">
        <v>0</v>
      </c>
      <c r="M1668">
        <v>1.4722299841082719E-3</v>
      </c>
      <c r="N1668">
        <v>0.14612120836928252</v>
      </c>
      <c r="O1668">
        <v>1.9411124711912326E-2</v>
      </c>
      <c r="P1668">
        <v>2.6042430102345866E-2</v>
      </c>
      <c r="Q1668">
        <v>5.5715118472251341E-3</v>
      </c>
      <c r="R1668">
        <v>1.4521300392340054E-3</v>
      </c>
      <c r="S1668">
        <v>0.24348398084325207</v>
      </c>
      <c r="T1668">
        <v>1.3042135980273242</v>
      </c>
      <c r="U1668">
        <v>0.13946244021731988</v>
      </c>
      <c r="V1668">
        <v>0.1813896077819325</v>
      </c>
      <c r="W1668">
        <v>9.4376332749689054E-2</v>
      </c>
      <c r="X1668">
        <v>1.6095290322770694E-2</v>
      </c>
      <c r="Y1668">
        <v>3.9522192722561819E-3</v>
      </c>
    </row>
    <row r="1669" spans="1:25" x14ac:dyDescent="0.25">
      <c r="A1669" s="1096"/>
      <c r="B1669" s="1455">
        <v>1419</v>
      </c>
      <c r="C1669" s="1100">
        <v>0.98336943030950219</v>
      </c>
      <c r="D1669" s="1100">
        <v>0.99214098002804374</v>
      </c>
      <c r="E1669" s="1100">
        <v>1.0063912831952759</v>
      </c>
      <c r="F1669" s="1100">
        <v>1.0143766300885551</v>
      </c>
      <c r="G1669" s="1100">
        <v>1.0114595181863095</v>
      </c>
      <c r="H1669" s="1100">
        <v>1.015201644396454</v>
      </c>
      <c r="I1669" s="1100">
        <v>0.97313425677603094</v>
      </c>
      <c r="K1669">
        <v>2.2511284685365314</v>
      </c>
      <c r="L1669">
        <v>0</v>
      </c>
      <c r="M1669">
        <v>1.5784377808281075E-3</v>
      </c>
      <c r="N1669">
        <v>0.14635585779755178</v>
      </c>
      <c r="O1669">
        <v>2.0125220359453015E-2</v>
      </c>
      <c r="P1669">
        <v>2.654932900955137E-2</v>
      </c>
      <c r="Q1669">
        <v>5.6485935636706175E-3</v>
      </c>
      <c r="R1669">
        <v>1.5565848781405086E-3</v>
      </c>
      <c r="S1669">
        <v>0.24120023602109017</v>
      </c>
      <c r="T1669">
        <v>1.3631946595864826</v>
      </c>
      <c r="U1669">
        <v>0.14520204011817614</v>
      </c>
      <c r="V1669">
        <v>0.18703068572087977</v>
      </c>
      <c r="W1669">
        <v>9.5782235850879624E-2</v>
      </c>
      <c r="X1669">
        <v>1.5824952501250142E-2</v>
      </c>
      <c r="Y1669">
        <v>4.2365109102312929E-3</v>
      </c>
    </row>
    <row r="1670" spans="1:25" x14ac:dyDescent="0.25">
      <c r="A1670" s="1096"/>
      <c r="B1670" s="1455">
        <v>1420</v>
      </c>
      <c r="C1670" s="1100">
        <v>1.0426119520837474</v>
      </c>
      <c r="D1670" s="1100">
        <v>1.0258209540989074</v>
      </c>
      <c r="E1670" s="1100">
        <v>0.99596919059541356</v>
      </c>
      <c r="F1670" s="1100">
        <v>0.98126261673702631</v>
      </c>
      <c r="G1670" s="1100">
        <v>0.98383798265201827</v>
      </c>
      <c r="H1670" s="1100">
        <v>1.0118754573127757</v>
      </c>
      <c r="I1670" s="1100">
        <v>0.99033515193282751</v>
      </c>
      <c r="K1670">
        <v>2.1558781386145824</v>
      </c>
      <c r="L1670">
        <v>0</v>
      </c>
      <c r="M1670">
        <v>1.5052102847397881E-3</v>
      </c>
      <c r="N1670">
        <v>0.1352340838145549</v>
      </c>
      <c r="O1670">
        <v>1.8836572592567047E-2</v>
      </c>
      <c r="P1670">
        <v>2.5348751622459361E-2</v>
      </c>
      <c r="Q1670">
        <v>5.231844500465343E-3</v>
      </c>
      <c r="R1670">
        <v>1.4843026891237043E-3</v>
      </c>
      <c r="S1670">
        <v>0.22738618461191307</v>
      </c>
      <c r="T1670">
        <v>1.3186770457970618</v>
      </c>
      <c r="U1670">
        <v>0.13692845918242472</v>
      </c>
      <c r="V1670">
        <v>0.18047145412186433</v>
      </c>
      <c r="W1670">
        <v>8.905302737613266E-2</v>
      </c>
      <c r="X1670">
        <v>1.4691839971211006E-2</v>
      </c>
      <c r="Y1670">
        <v>4.0397826195447571E-3</v>
      </c>
    </row>
    <row r="1671" spans="1:25" x14ac:dyDescent="0.25">
      <c r="A1671" s="1096"/>
      <c r="B1671" s="1455">
        <v>1421</v>
      </c>
      <c r="C1671" s="1100">
        <v>0.98399490560722436</v>
      </c>
      <c r="D1671" s="1100">
        <v>0.96732717155442394</v>
      </c>
      <c r="E1671" s="1100">
        <v>1.0238226402533219</v>
      </c>
      <c r="F1671" s="1100">
        <v>1.0152434137288746</v>
      </c>
      <c r="G1671" s="1100">
        <v>0.96332672371048267</v>
      </c>
      <c r="H1671" s="1100">
        <v>0.99378137466570393</v>
      </c>
      <c r="I1671" s="1100">
        <v>0.97907611234492531</v>
      </c>
      <c r="K1671">
        <v>2.2495690654451836</v>
      </c>
      <c r="L1671">
        <v>0</v>
      </c>
      <c r="M1671">
        <v>1.4975117160665615E-3</v>
      </c>
      <c r="N1671">
        <v>0.14630788097302153</v>
      </c>
      <c r="O1671">
        <v>2.0235985220536299E-2</v>
      </c>
      <c r="P1671">
        <v>2.6871229677054992E-2</v>
      </c>
      <c r="Q1671">
        <v>5.7792356125903142E-3</v>
      </c>
      <c r="R1671">
        <v>1.4763323306905397E-3</v>
      </c>
      <c r="S1671">
        <v>0.2440230206609596</v>
      </c>
      <c r="T1671">
        <v>1.3643934490539908</v>
      </c>
      <c r="U1671">
        <v>0.14515062236091725</v>
      </c>
      <c r="V1671">
        <v>0.18156787941209646</v>
      </c>
      <c r="W1671">
        <v>9.4775569833326065E-2</v>
      </c>
      <c r="X1671">
        <v>1.6467282094746263E-2</v>
      </c>
      <c r="Y1671">
        <v>4.0180899313176331E-3</v>
      </c>
    </row>
    <row r="1672" spans="1:25" x14ac:dyDescent="0.25">
      <c r="A1672" s="1096"/>
      <c r="B1672" s="1455">
        <v>1422</v>
      </c>
      <c r="C1672" s="1100">
        <v>1.0179205801376721</v>
      </c>
      <c r="D1672" s="1100">
        <v>1.0083527813471722</v>
      </c>
      <c r="E1672" s="1100">
        <v>1.0119255295620193</v>
      </c>
      <c r="F1672" s="1100">
        <v>1.0179035327630106</v>
      </c>
      <c r="G1672" s="1100">
        <v>0.97025096791545595</v>
      </c>
      <c r="H1672" s="1100">
        <v>1.0147634583477807</v>
      </c>
      <c r="I1672" s="1100">
        <v>1.0288343570309395</v>
      </c>
      <c r="K1672">
        <v>2.2380599104849042</v>
      </c>
      <c r="L1672">
        <v>0</v>
      </c>
      <c r="M1672">
        <v>1.5014177805126087E-3</v>
      </c>
      <c r="N1672">
        <v>0.14155921696097953</v>
      </c>
      <c r="O1672">
        <v>1.9376304258113541E-2</v>
      </c>
      <c r="P1672">
        <v>2.6607437451403766E-2</v>
      </c>
      <c r="Q1672">
        <v>5.4685774869244102E-3</v>
      </c>
      <c r="R1672">
        <v>1.4806222161167549E-3</v>
      </c>
      <c r="S1672">
        <v>0.24438020773306696</v>
      </c>
      <c r="T1672">
        <v>1.3679444580840638</v>
      </c>
      <c r="U1672">
        <v>0.14028600060742608</v>
      </c>
      <c r="V1672">
        <v>0.18032971295434827</v>
      </c>
      <c r="W1672">
        <v>9.2341045837663449E-2</v>
      </c>
      <c r="X1672">
        <v>1.5757979090023511E-2</v>
      </c>
      <c r="Y1672">
        <v>4.0297655852874403E-3</v>
      </c>
    </row>
    <row r="1673" spans="1:25" x14ac:dyDescent="0.25">
      <c r="A1673" s="1096"/>
      <c r="B1673" s="1455">
        <v>1423</v>
      </c>
      <c r="C1673" s="1100">
        <v>1.0241866972440647</v>
      </c>
      <c r="D1673" s="1100">
        <v>0.97391211380936171</v>
      </c>
      <c r="E1673" s="1100">
        <v>1.0066174374776218</v>
      </c>
      <c r="F1673" s="1100">
        <v>1.0328123195706043</v>
      </c>
      <c r="G1673" s="1100">
        <v>1.0019348938851513</v>
      </c>
      <c r="H1673" s="1100">
        <v>0.97971892430888874</v>
      </c>
      <c r="I1673" s="1100">
        <v>0.99834331810548638</v>
      </c>
      <c r="K1673">
        <v>2.2442317931863291</v>
      </c>
      <c r="L1673">
        <v>0</v>
      </c>
      <c r="M1673">
        <v>1.4678513718366598E-3</v>
      </c>
      <c r="N1673">
        <v>0.13612579991504589</v>
      </c>
      <c r="O1673">
        <v>1.9402295840173691E-2</v>
      </c>
      <c r="P1673">
        <v>2.6708918091010454E-2</v>
      </c>
      <c r="Q1673">
        <v>5.4469222553198146E-3</v>
      </c>
      <c r="R1673">
        <v>1.4467934958867681E-3</v>
      </c>
      <c r="S1673">
        <v>0.23701109831771769</v>
      </c>
      <c r="T1673">
        <v>1.387970313217993</v>
      </c>
      <c r="U1673">
        <v>0.13941576185285265</v>
      </c>
      <c r="V1673">
        <v>0.18354978019036128</v>
      </c>
      <c r="W1673">
        <v>8.9075286851283408E-2</v>
      </c>
      <c r="X1673">
        <v>1.5608979570066036E-2</v>
      </c>
      <c r="Y1673">
        <v>3.9376949604560422E-3</v>
      </c>
    </row>
    <row r="1674" spans="1:25" x14ac:dyDescent="0.25">
      <c r="A1674" s="1096"/>
      <c r="B1674" s="1455">
        <v>1424</v>
      </c>
      <c r="C1674" s="1100">
        <v>1.0377845255378289</v>
      </c>
      <c r="D1674" s="1100">
        <v>0.98655115961379014</v>
      </c>
      <c r="E1674" s="1100">
        <v>1.0065702903011691</v>
      </c>
      <c r="F1674" s="1100">
        <v>0.99715458755318898</v>
      </c>
      <c r="G1674" s="1100">
        <v>1.037241844154591</v>
      </c>
      <c r="H1674" s="1100">
        <v>1.0140756466561471</v>
      </c>
      <c r="I1674" s="1100">
        <v>1.0052649674838625</v>
      </c>
      <c r="K1674">
        <v>2.200432499533822</v>
      </c>
      <c r="L1674">
        <v>0</v>
      </c>
      <c r="M1674">
        <v>1.4953175479771464E-3</v>
      </c>
      <c r="N1674">
        <v>0.13872159220088942</v>
      </c>
      <c r="O1674">
        <v>1.909380349301628E-2</v>
      </c>
      <c r="P1674">
        <v>2.6065721480138433E-2</v>
      </c>
      <c r="Q1674">
        <v>5.3600642562039473E-3</v>
      </c>
      <c r="R1674">
        <v>1.4745924279840582E-3</v>
      </c>
      <c r="S1674">
        <v>0.23667928636503496</v>
      </c>
      <c r="T1674">
        <v>1.3400507088745526</v>
      </c>
      <c r="U1674">
        <v>0.13758892766578618</v>
      </c>
      <c r="V1674">
        <v>0.18678160475972361</v>
      </c>
      <c r="W1674">
        <v>9.0776400126883872E-2</v>
      </c>
      <c r="X1674">
        <v>1.5321760941874232E-2</v>
      </c>
      <c r="Y1674">
        <v>4.0133544897093636E-3</v>
      </c>
    </row>
    <row r="1675" spans="1:25" x14ac:dyDescent="0.25">
      <c r="A1675" s="1096"/>
      <c r="B1675" s="1455">
        <v>1425</v>
      </c>
      <c r="C1675" s="1100">
        <v>0.99167876711514502</v>
      </c>
      <c r="D1675" s="1100">
        <v>1.0102064183465735</v>
      </c>
      <c r="E1675" s="1100">
        <v>0.98514021671594687</v>
      </c>
      <c r="F1675" s="1100">
        <v>1.0167526291109277</v>
      </c>
      <c r="G1675" s="1100">
        <v>1.0039356486772419</v>
      </c>
      <c r="H1675" s="1100">
        <v>1.0295061131229162</v>
      </c>
      <c r="I1675" s="1100">
        <v>1.0362235627690175</v>
      </c>
      <c r="K1675">
        <v>2.2593921182362924</v>
      </c>
      <c r="L1675">
        <v>0</v>
      </c>
      <c r="M1675">
        <v>1.6521795332260609E-3</v>
      </c>
      <c r="N1675">
        <v>0.14369195141350308</v>
      </c>
      <c r="O1675">
        <v>1.9864174918393505E-2</v>
      </c>
      <c r="P1675">
        <v>2.6302557718596468E-2</v>
      </c>
      <c r="Q1675">
        <v>5.4572183877961344E-3</v>
      </c>
      <c r="R1675">
        <v>1.6296235228831304E-3</v>
      </c>
      <c r="S1675">
        <v>0.25343594575103262</v>
      </c>
      <c r="T1675">
        <v>1.3663553001187199</v>
      </c>
      <c r="U1675">
        <v>0.14393607942407183</v>
      </c>
      <c r="V1675">
        <v>0.18565601159577722</v>
      </c>
      <c r="W1675">
        <v>9.5238183576710017E-2</v>
      </c>
      <c r="X1675">
        <v>1.5041953317998449E-2</v>
      </c>
      <c r="Y1675">
        <v>4.4352980240379399E-3</v>
      </c>
    </row>
    <row r="1676" spans="1:25" x14ac:dyDescent="0.25">
      <c r="A1676" s="1096"/>
      <c r="B1676" s="1455">
        <v>1426</v>
      </c>
      <c r="C1676" s="1100">
        <v>1.032580773096738</v>
      </c>
      <c r="D1676" s="1100">
        <v>0.99908859512152492</v>
      </c>
      <c r="E1676" s="1100">
        <v>1.0024694582108187</v>
      </c>
      <c r="F1676" s="1100">
        <v>1.018304989703785</v>
      </c>
      <c r="G1676" s="1100">
        <v>0.99563064232004717</v>
      </c>
      <c r="H1676" s="1100">
        <v>0.95282306334406242</v>
      </c>
      <c r="I1676" s="1100">
        <v>0.99565960153067012</v>
      </c>
      <c r="K1676">
        <v>2.2034643315758569</v>
      </c>
      <c r="L1676">
        <v>0</v>
      </c>
      <c r="M1676">
        <v>1.4201976401096712E-3</v>
      </c>
      <c r="N1676">
        <v>0.13001334932381714</v>
      </c>
      <c r="O1676">
        <v>1.9134304623869988E-2</v>
      </c>
      <c r="P1676">
        <v>2.6223699206530084E-2</v>
      </c>
      <c r="Q1676">
        <v>5.3493930342200253E-3</v>
      </c>
      <c r="R1676">
        <v>1.3992482925131221E-3</v>
      </c>
      <c r="S1676">
        <v>0.22935651792782835</v>
      </c>
      <c r="T1676">
        <v>1.3684671394185524</v>
      </c>
      <c r="U1676">
        <v>0.13827316533190442</v>
      </c>
      <c r="V1676">
        <v>0.18236270543096805</v>
      </c>
      <c r="W1676">
        <v>8.5284789110990758E-2</v>
      </c>
      <c r="X1676">
        <v>1.5211924924626793E-2</v>
      </c>
      <c r="Y1676">
        <v>3.8082925901450587E-3</v>
      </c>
    </row>
    <row r="1677" spans="1:25" x14ac:dyDescent="0.25">
      <c r="A1677" s="1096"/>
      <c r="B1677" s="1455">
        <v>1427</v>
      </c>
      <c r="C1677" s="1100">
        <v>1.0022191926848161</v>
      </c>
      <c r="D1677" s="1100">
        <v>0.95851284251582303</v>
      </c>
      <c r="E1677" s="1100">
        <v>1.0281332899306723</v>
      </c>
      <c r="F1677" s="1100">
        <v>1.0141242577661658</v>
      </c>
      <c r="G1677" s="1100">
        <v>0.9852293859476694</v>
      </c>
      <c r="H1677" s="1100">
        <v>0.96026245306945901</v>
      </c>
      <c r="I1677" s="1100">
        <v>0.9924404137850984</v>
      </c>
      <c r="K1677">
        <v>2.2321449094561503</v>
      </c>
      <c r="L1677">
        <v>0</v>
      </c>
      <c r="M1677">
        <v>1.4108322209446221E-3</v>
      </c>
      <c r="N1677">
        <v>0.13957272233083576</v>
      </c>
      <c r="O1677">
        <v>1.9910789334590968E-2</v>
      </c>
      <c r="P1677">
        <v>2.6879972720738401E-2</v>
      </c>
      <c r="Q1677">
        <v>5.7107026101018872E-3</v>
      </c>
      <c r="R1677">
        <v>1.3901822522048284E-3</v>
      </c>
      <c r="S1677">
        <v>0.2413255050690685</v>
      </c>
      <c r="T1677">
        <v>1.3628988067285521</v>
      </c>
      <c r="U1677">
        <v>0.14252115459211262</v>
      </c>
      <c r="V1677">
        <v>0.18295080776351694</v>
      </c>
      <c r="W1677">
        <v>9.0185993281446178E-2</v>
      </c>
      <c r="X1677">
        <v>1.6425487176883056E-2</v>
      </c>
      <c r="Y1677">
        <v>3.7836178170452665E-3</v>
      </c>
    </row>
    <row r="1678" spans="1:25" x14ac:dyDescent="0.25">
      <c r="A1678" s="1096"/>
      <c r="B1678" s="1455">
        <v>1428</v>
      </c>
      <c r="C1678" s="1100">
        <v>0.99857553217495665</v>
      </c>
      <c r="D1678" s="1100">
        <v>0.98028042714112007</v>
      </c>
      <c r="E1678" s="1100">
        <v>1.0171227905536129</v>
      </c>
      <c r="F1678" s="1100">
        <v>0.99660580420113543</v>
      </c>
      <c r="G1678" s="1100">
        <v>0.96448346418035324</v>
      </c>
      <c r="H1678" s="1100">
        <v>1.0013238224012815</v>
      </c>
      <c r="I1678" s="1100">
        <v>0.99718005437417712</v>
      </c>
      <c r="K1678">
        <v>2.216411076402371</v>
      </c>
      <c r="L1678">
        <v>0</v>
      </c>
      <c r="M1678">
        <v>1.5033132193554705E-3</v>
      </c>
      <c r="N1678">
        <v>0.14395151516497126</v>
      </c>
      <c r="O1678">
        <v>1.9878019249034578E-2</v>
      </c>
      <c r="P1678">
        <v>2.6350850208463016E-2</v>
      </c>
      <c r="Q1678">
        <v>5.639326444744585E-3</v>
      </c>
      <c r="R1678">
        <v>1.4822119342799685E-3</v>
      </c>
      <c r="S1678">
        <v>0.24382901397570608</v>
      </c>
      <c r="T1678">
        <v>1.3393326477919572</v>
      </c>
      <c r="U1678">
        <v>0.14301572088038034</v>
      </c>
      <c r="V1678">
        <v>0.18081179352732107</v>
      </c>
      <c r="W1678">
        <v>9.3615255666198591E-2</v>
      </c>
      <c r="X1678">
        <v>1.5973942504590256E-2</v>
      </c>
      <c r="Y1678">
        <v>4.0340922740772561E-3</v>
      </c>
    </row>
    <row r="1679" spans="1:25" x14ac:dyDescent="0.25">
      <c r="A1679" s="1096"/>
      <c r="B1679" s="1455">
        <v>1429</v>
      </c>
      <c r="C1679" s="1100">
        <v>1.0176136054909404</v>
      </c>
      <c r="D1679" s="1100">
        <v>0.97078767500695284</v>
      </c>
      <c r="E1679" s="1100">
        <v>1.011748084188977</v>
      </c>
      <c r="F1679" s="1100">
        <v>0.96437464503350667</v>
      </c>
      <c r="G1679" s="1100">
        <v>1.025435290715708</v>
      </c>
      <c r="H1679" s="1100">
        <v>1.0196951365093465</v>
      </c>
      <c r="I1679" s="1100">
        <v>1.0170804464533272</v>
      </c>
      <c r="K1679">
        <v>2.1770326586509827</v>
      </c>
      <c r="L1679">
        <v>0</v>
      </c>
      <c r="M1679">
        <v>1.5223889810913422E-3</v>
      </c>
      <c r="N1679">
        <v>0.14346934165528369</v>
      </c>
      <c r="O1679">
        <v>1.9544605510324178E-2</v>
      </c>
      <c r="P1679">
        <v>2.57322113577989E-2</v>
      </c>
      <c r="Q1679">
        <v>5.5150998056021066E-3</v>
      </c>
      <c r="R1679">
        <v>1.5014049335805902E-3</v>
      </c>
      <c r="S1679">
        <v>0.24667658292679295</v>
      </c>
      <c r="T1679">
        <v>1.2960075162839058</v>
      </c>
      <c r="U1679">
        <v>0.14032791726764424</v>
      </c>
      <c r="V1679">
        <v>0.18658478581879931</v>
      </c>
      <c r="W1679">
        <v>9.3596825599717617E-2</v>
      </c>
      <c r="X1679">
        <v>1.5512427181418246E-2</v>
      </c>
      <c r="Y1679">
        <v>4.0863292912030284E-3</v>
      </c>
    </row>
    <row r="1680" spans="1:25" x14ac:dyDescent="0.25">
      <c r="A1680" s="1096"/>
      <c r="B1680" s="1455">
        <v>1430</v>
      </c>
      <c r="C1680" s="1100">
        <v>0.9786772462529012</v>
      </c>
      <c r="D1680" s="1100">
        <v>1.0123843673305593</v>
      </c>
      <c r="E1680" s="1100">
        <v>0.97207437869670643</v>
      </c>
      <c r="F1680" s="1100">
        <v>0.99218896349898522</v>
      </c>
      <c r="G1680" s="1100">
        <v>1.0148320391837924</v>
      </c>
      <c r="H1680" s="1100">
        <v>1.0224845599982904</v>
      </c>
      <c r="I1680" s="1100">
        <v>1.0232044953152291</v>
      </c>
      <c r="K1680">
        <v>2.2277763242286786</v>
      </c>
      <c r="L1680">
        <v>0</v>
      </c>
      <c r="M1680">
        <v>1.7074251705287305E-3</v>
      </c>
      <c r="N1680">
        <v>0.14272661702316944</v>
      </c>
      <c r="O1680">
        <v>2.0110243451545742E-2</v>
      </c>
      <c r="P1680">
        <v>2.5642578475628806E-2</v>
      </c>
      <c r="Q1680">
        <v>5.4518785214224229E-3</v>
      </c>
      <c r="R1680">
        <v>1.6839548566505895E-3</v>
      </c>
      <c r="S1680">
        <v>0.25261587417806219</v>
      </c>
      <c r="T1680">
        <v>1.3333310391424562</v>
      </c>
      <c r="U1680">
        <v>0.14581760874303398</v>
      </c>
      <c r="V1680">
        <v>0.18767104924617495</v>
      </c>
      <c r="W1680">
        <v>9.5348482463244191E-2</v>
      </c>
      <c r="X1680">
        <v>1.4501253293584905E-2</v>
      </c>
      <c r="Y1680">
        <v>4.5831700042335997E-3</v>
      </c>
    </row>
    <row r="1681" spans="1:25" x14ac:dyDescent="0.25">
      <c r="A1681" s="1096"/>
      <c r="B1681" s="1455">
        <v>1431</v>
      </c>
      <c r="C1681" s="1100">
        <v>0.99026104928615755</v>
      </c>
      <c r="D1681" s="1100">
        <v>1.0169229422505675</v>
      </c>
      <c r="E1681" s="1100">
        <v>1.0090543444675077</v>
      </c>
      <c r="F1681" s="1100">
        <v>1.028313689362655</v>
      </c>
      <c r="G1681" s="1100">
        <v>1.0353814307356439</v>
      </c>
      <c r="H1681" s="1100">
        <v>1.0322937825359222</v>
      </c>
      <c r="I1681" s="1100">
        <v>1.0160217846488733</v>
      </c>
      <c r="K1681">
        <v>2.2802426574322276</v>
      </c>
      <c r="L1681">
        <v>0</v>
      </c>
      <c r="M1681">
        <v>1.5764722935210495E-3</v>
      </c>
      <c r="N1681">
        <v>0.14738800441652578</v>
      </c>
      <c r="O1681">
        <v>1.9878656885335341E-2</v>
      </c>
      <c r="P1681">
        <v>2.6976310090170062E-2</v>
      </c>
      <c r="Q1681">
        <v>5.5942814217127875E-3</v>
      </c>
      <c r="R1681">
        <v>1.5550079797809712E-3</v>
      </c>
      <c r="S1681">
        <v>0.2484531153981942</v>
      </c>
      <c r="T1681">
        <v>1.3819291326545113</v>
      </c>
      <c r="U1681">
        <v>0.14419772052006219</v>
      </c>
      <c r="V1681">
        <v>0.18931717546776186</v>
      </c>
      <c r="W1681">
        <v>9.6306097119392697E-2</v>
      </c>
      <c r="X1681">
        <v>1.5991408659576753E-2</v>
      </c>
      <c r="Y1681">
        <v>4.2322191127210362E-3</v>
      </c>
    </row>
    <row r="1682" spans="1:25" x14ac:dyDescent="0.25">
      <c r="A1682" s="1096"/>
      <c r="B1682" s="1455">
        <v>1432</v>
      </c>
      <c r="C1682" s="1100">
        <v>1.0061745805135889</v>
      </c>
      <c r="D1682" s="1100">
        <v>1.0362721888060666</v>
      </c>
      <c r="E1682" s="1100">
        <v>0.95971795097066603</v>
      </c>
      <c r="F1682" s="1100">
        <v>1.01198445045186</v>
      </c>
      <c r="G1682" s="1100">
        <v>0.99707917202758334</v>
      </c>
      <c r="H1682" s="1100">
        <v>0.96559867206015815</v>
      </c>
      <c r="I1682" s="1100">
        <v>0.97008179648034398</v>
      </c>
      <c r="K1682">
        <v>2.1951118683252977</v>
      </c>
      <c r="L1682">
        <v>0</v>
      </c>
      <c r="M1682">
        <v>1.6006289472188949E-3</v>
      </c>
      <c r="N1682">
        <v>0.12877858959243224</v>
      </c>
      <c r="O1682">
        <v>1.9452986272166375E-2</v>
      </c>
      <c r="P1682">
        <v>2.5295823905540013E-2</v>
      </c>
      <c r="Q1682">
        <v>5.2073615142578843E-3</v>
      </c>
      <c r="R1682">
        <v>1.5773304460055511E-3</v>
      </c>
      <c r="S1682">
        <v>0.22584468354684717</v>
      </c>
      <c r="T1682">
        <v>1.3599222400358364</v>
      </c>
      <c r="U1682">
        <v>0.14180450284015136</v>
      </c>
      <c r="V1682">
        <v>0.1839982835649403</v>
      </c>
      <c r="W1682">
        <v>8.6682072517350189E-2</v>
      </c>
      <c r="X1682">
        <v>1.385564952980387E-2</v>
      </c>
      <c r="Y1682">
        <v>4.2929735071853287E-3</v>
      </c>
    </row>
    <row r="1683" spans="1:25" x14ac:dyDescent="0.25">
      <c r="A1683" s="1096"/>
      <c r="B1683" s="1455">
        <v>1433</v>
      </c>
      <c r="C1683" s="1100">
        <v>1.019043696075838</v>
      </c>
      <c r="D1683" s="1100">
        <v>1.0144529572828564</v>
      </c>
      <c r="E1683" s="1100">
        <v>1.0060993859372336</v>
      </c>
      <c r="F1683" s="1100">
        <v>0.99666706945704153</v>
      </c>
      <c r="G1683" s="1100">
        <v>1.0046059536317129</v>
      </c>
      <c r="H1683" s="1100">
        <v>0.99140604178689506</v>
      </c>
      <c r="I1683" s="1100">
        <v>0.99834111500521405</v>
      </c>
      <c r="K1683">
        <v>2.1949565539715561</v>
      </c>
      <c r="L1683">
        <v>0</v>
      </c>
      <c r="M1683">
        <v>1.4811155783771063E-3</v>
      </c>
      <c r="N1683">
        <v>0.1371647146485642</v>
      </c>
      <c r="O1683">
        <v>1.9325718685388994E-2</v>
      </c>
      <c r="P1683">
        <v>2.6013486968377734E-2</v>
      </c>
      <c r="Q1683">
        <v>5.4226097341177381E-3</v>
      </c>
      <c r="R1683">
        <v>1.4601178958316516E-3</v>
      </c>
      <c r="S1683">
        <v>0.23429650531204138</v>
      </c>
      <c r="T1683">
        <v>1.3393947340830157</v>
      </c>
      <c r="U1683">
        <v>0.14011820624403024</v>
      </c>
      <c r="V1683">
        <v>0.18414361276091226</v>
      </c>
      <c r="W1683">
        <v>8.9782612810816412E-2</v>
      </c>
      <c r="X1683">
        <v>1.5341390822116616E-2</v>
      </c>
      <c r="Y1683">
        <v>3.9739595847187552E-3</v>
      </c>
    </row>
    <row r="1684" spans="1:25" x14ac:dyDescent="0.25">
      <c r="A1684" s="1096"/>
      <c r="B1684" s="1455">
        <v>1434</v>
      </c>
      <c r="C1684" s="1100">
        <v>0.96656180850629148</v>
      </c>
      <c r="D1684" s="1100">
        <v>1.0327301071425361</v>
      </c>
      <c r="E1684" s="1100">
        <v>0.99286631141015735</v>
      </c>
      <c r="F1684" s="1100">
        <v>0.98531177357866528</v>
      </c>
      <c r="G1684" s="1100">
        <v>1.0392582848742098</v>
      </c>
      <c r="H1684" s="1100">
        <v>1.0228500089900285</v>
      </c>
      <c r="I1684" s="1100">
        <v>1.049542810535149</v>
      </c>
      <c r="K1684">
        <v>2.2384467715531482</v>
      </c>
      <c r="L1684">
        <v>0</v>
      </c>
      <c r="M1684">
        <v>1.6494023351646357E-3</v>
      </c>
      <c r="N1684">
        <v>0.14682779370427568</v>
      </c>
      <c r="O1684">
        <v>2.0286681210974791E-2</v>
      </c>
      <c r="P1684">
        <v>2.6098346681801329E-2</v>
      </c>
      <c r="Q1684">
        <v>5.6170101815825506E-3</v>
      </c>
      <c r="R1684">
        <v>1.626737705422096E-3</v>
      </c>
      <c r="S1684">
        <v>0.26000347023042625</v>
      </c>
      <c r="T1684">
        <v>1.3241140391775015</v>
      </c>
      <c r="U1684">
        <v>0.14769475614542996</v>
      </c>
      <c r="V1684">
        <v>0.19120986121265154</v>
      </c>
      <c r="W1684">
        <v>9.6866867444920693E-2</v>
      </c>
      <c r="X1684">
        <v>1.5323166413106611E-2</v>
      </c>
      <c r="Y1684">
        <v>4.4274437802184746E-3</v>
      </c>
    </row>
    <row r="1685" spans="1:25" x14ac:dyDescent="0.25">
      <c r="A1685" s="1096"/>
      <c r="B1685" s="1455">
        <v>1435</v>
      </c>
      <c r="C1685" s="1100">
        <v>1.0198992355608423</v>
      </c>
      <c r="D1685" s="1100">
        <v>1.0255234957923387</v>
      </c>
      <c r="E1685" s="1100">
        <v>1.0288005706349448</v>
      </c>
      <c r="F1685" s="1100">
        <v>1.0257497982121335</v>
      </c>
      <c r="G1685" s="1100">
        <v>1.0153854514893079</v>
      </c>
      <c r="H1685" s="1100">
        <v>0.99246352837432927</v>
      </c>
      <c r="I1685" s="1100">
        <v>0.96278036549746604</v>
      </c>
      <c r="K1685">
        <v>2.2305434321574817</v>
      </c>
      <c r="L1685">
        <v>0</v>
      </c>
      <c r="M1685">
        <v>1.4097600629620606E-3</v>
      </c>
      <c r="N1685">
        <v>0.13981486634807433</v>
      </c>
      <c r="O1685">
        <v>1.9277318954987906E-2</v>
      </c>
      <c r="P1685">
        <v>2.6879009326670197E-2</v>
      </c>
      <c r="Q1685">
        <v>5.5326661060978765E-3</v>
      </c>
      <c r="R1685">
        <v>1.389795278582131E-3</v>
      </c>
      <c r="S1685">
        <v>0.22478823283378155</v>
      </c>
      <c r="T1685">
        <v>1.378524075876759</v>
      </c>
      <c r="U1685">
        <v>0.14005205064667622</v>
      </c>
      <c r="V1685">
        <v>0.18533334226723355</v>
      </c>
      <c r="W1685">
        <v>9.0307427909903967E-2</v>
      </c>
      <c r="X1685">
        <v>1.6271842069266053E-2</v>
      </c>
      <c r="Y1685">
        <v>3.7825646024101053E-3</v>
      </c>
    </row>
    <row r="1686" spans="1:25" x14ac:dyDescent="0.25">
      <c r="A1686" s="1096"/>
      <c r="B1686" s="1455">
        <v>1436</v>
      </c>
      <c r="C1686" s="1100">
        <v>0.98375573969365016</v>
      </c>
      <c r="D1686" s="1100">
        <v>0.96042971182568904</v>
      </c>
      <c r="E1686" s="1100">
        <v>0.97924264953661733</v>
      </c>
      <c r="F1686" s="1100">
        <v>0.97337252357569393</v>
      </c>
      <c r="G1686" s="1100">
        <v>0.98365781912204531</v>
      </c>
      <c r="H1686" s="1100">
        <v>0.99748302785520637</v>
      </c>
      <c r="I1686" s="1100">
        <v>0.97116282587988567</v>
      </c>
      <c r="K1686">
        <v>2.1848188822681558</v>
      </c>
      <c r="L1686">
        <v>0</v>
      </c>
      <c r="M1686">
        <v>1.6517464605853133E-3</v>
      </c>
      <c r="N1686">
        <v>0.14105135037222463</v>
      </c>
      <c r="O1686">
        <v>2.0244229325879017E-2</v>
      </c>
      <c r="P1686">
        <v>2.5252135717698024E-2</v>
      </c>
      <c r="Q1686">
        <v>5.528431598462928E-3</v>
      </c>
      <c r="R1686">
        <v>1.6284724168095139E-3</v>
      </c>
      <c r="S1686">
        <v>0.24293716721108663</v>
      </c>
      <c r="T1686">
        <v>1.3080523707403062</v>
      </c>
      <c r="U1686">
        <v>0.14508155705823508</v>
      </c>
      <c r="V1686">
        <v>0.1838403496510764</v>
      </c>
      <c r="W1686">
        <v>9.3820941923712334E-2</v>
      </c>
      <c r="X1686">
        <v>1.4601457620482858E-2</v>
      </c>
      <c r="Y1686">
        <v>4.4321650927675697E-3</v>
      </c>
    </row>
    <row r="1687" spans="1:25" x14ac:dyDescent="0.25">
      <c r="A1687" s="1096"/>
      <c r="B1687" s="1455">
        <v>1437</v>
      </c>
      <c r="C1687" s="1100">
        <v>1.0014106064941544</v>
      </c>
      <c r="D1687" s="1100">
        <v>0.9785287054434133</v>
      </c>
      <c r="E1687" s="1100">
        <v>0.97669238694087879</v>
      </c>
      <c r="F1687" s="1100">
        <v>0.98023219077442336</v>
      </c>
      <c r="G1687" s="1100">
        <v>0.98400119686962861</v>
      </c>
      <c r="H1687" s="1100">
        <v>1.0102432444340104</v>
      </c>
      <c r="I1687" s="1100">
        <v>1.0200554928975971</v>
      </c>
      <c r="K1687">
        <v>2.1936969321914526</v>
      </c>
      <c r="L1687">
        <v>0</v>
      </c>
      <c r="M1687">
        <v>1.6452982020261795E-3</v>
      </c>
      <c r="N1687">
        <v>0.13944574334474841</v>
      </c>
      <c r="O1687">
        <v>1.9804216120949694E-2</v>
      </c>
      <c r="P1687">
        <v>2.5364636471679441E-2</v>
      </c>
      <c r="Q1687">
        <v>5.3942534533627171E-3</v>
      </c>
      <c r="R1687">
        <v>1.622407840861449E-3</v>
      </c>
      <c r="S1687">
        <v>0.24935246938579272</v>
      </c>
      <c r="T1687">
        <v>1.3172678600854135</v>
      </c>
      <c r="U1687">
        <v>0.14251792709804062</v>
      </c>
      <c r="V1687">
        <v>0.18281421298809911</v>
      </c>
      <c r="W1687">
        <v>9.2896136963752748E-2</v>
      </c>
      <c r="X1687">
        <v>1.444670732455082E-2</v>
      </c>
      <c r="Y1687">
        <v>4.4156593162238628E-3</v>
      </c>
    </row>
    <row r="1688" spans="1:25" x14ac:dyDescent="0.25">
      <c r="A1688" s="1096"/>
      <c r="B1688" s="1455">
        <v>1438</v>
      </c>
      <c r="C1688" s="1100">
        <v>0.98185487778589564</v>
      </c>
      <c r="D1688" s="1100">
        <v>1.0191711340846221</v>
      </c>
      <c r="E1688" s="1100">
        <v>1.0217144567626155</v>
      </c>
      <c r="F1688" s="1100">
        <v>0.9992310285030257</v>
      </c>
      <c r="G1688" s="1100">
        <v>0.9990267548190328</v>
      </c>
      <c r="H1688" s="1100">
        <v>1.0102512133004906</v>
      </c>
      <c r="I1688" s="1100">
        <v>0.98668009342456497</v>
      </c>
      <c r="K1688">
        <v>2.2305929884599638</v>
      </c>
      <c r="L1688">
        <v>0</v>
      </c>
      <c r="M1688">
        <v>1.5148578294788167E-3</v>
      </c>
      <c r="N1688">
        <v>0.14709889283109687</v>
      </c>
      <c r="O1688">
        <v>2.0047150309799651E-2</v>
      </c>
      <c r="P1688">
        <v>2.6557264307856203E-2</v>
      </c>
      <c r="Q1688">
        <v>5.7133373496228374E-3</v>
      </c>
      <c r="R1688">
        <v>1.493782398128045E-3</v>
      </c>
      <c r="S1688">
        <v>0.24140737045339958</v>
      </c>
      <c r="T1688">
        <v>1.342869895355038</v>
      </c>
      <c r="U1688">
        <v>0.14546202871530106</v>
      </c>
      <c r="V1688">
        <v>0.18573253426410546</v>
      </c>
      <c r="W1688">
        <v>9.5405317681466248E-2</v>
      </c>
      <c r="X1688">
        <v>1.6254689361159636E-2</v>
      </c>
      <c r="Y1688">
        <v>4.0655832624693373E-3</v>
      </c>
    </row>
    <row r="1689" spans="1:25" x14ac:dyDescent="0.25">
      <c r="A1689" s="1096"/>
      <c r="B1689" s="1455">
        <v>1439</v>
      </c>
      <c r="C1689" s="1100">
        <v>1.0155719092081739</v>
      </c>
      <c r="D1689" s="1100">
        <v>1.0098166781101601</v>
      </c>
      <c r="E1689" s="1100">
        <v>1.0089437944119701</v>
      </c>
      <c r="F1689" s="1100">
        <v>1.0118239594837923</v>
      </c>
      <c r="G1689" s="1100">
        <v>1.0058793479006622</v>
      </c>
      <c r="H1689" s="1100">
        <v>0.9841758343420034</v>
      </c>
      <c r="I1689" s="1100">
        <v>0.98876009489770478</v>
      </c>
      <c r="K1689">
        <v>2.2151034669019225</v>
      </c>
      <c r="L1689">
        <v>0</v>
      </c>
      <c r="M1689">
        <v>1.4681299040804252E-3</v>
      </c>
      <c r="N1689">
        <v>0.13712041977848549</v>
      </c>
      <c r="O1689">
        <v>1.9413084554266918E-2</v>
      </c>
      <c r="P1689">
        <v>2.633943433798366E-2</v>
      </c>
      <c r="Q1689">
        <v>5.4626553125870763E-3</v>
      </c>
      <c r="R1689">
        <v>1.447163412471203E-3</v>
      </c>
      <c r="S1689">
        <v>0.2328308999141839</v>
      </c>
      <c r="T1689">
        <v>1.3597687317306337</v>
      </c>
      <c r="U1689">
        <v>0.14060366366590935</v>
      </c>
      <c r="V1689">
        <v>0.18448907306191192</v>
      </c>
      <c r="W1689">
        <v>8.9602909515621179E-2</v>
      </c>
      <c r="X1689">
        <v>1.5554859770489659E-2</v>
      </c>
      <c r="Y1689">
        <v>3.9387017514559055E-3</v>
      </c>
    </row>
    <row r="1690" spans="1:25" x14ac:dyDescent="0.25">
      <c r="A1690" s="1096"/>
      <c r="B1690" s="1455">
        <v>1440</v>
      </c>
      <c r="C1690" s="1100">
        <v>1.022541341521644</v>
      </c>
      <c r="D1690" s="1100">
        <v>1.0039330314583921</v>
      </c>
      <c r="E1690" s="1100">
        <v>0.98866204219734544</v>
      </c>
      <c r="F1690" s="1100">
        <v>0.96574155461856992</v>
      </c>
      <c r="G1690" s="1100">
        <v>1.0274399366303402</v>
      </c>
      <c r="H1690" s="1100">
        <v>1.0126068460038946</v>
      </c>
      <c r="I1690" s="1100">
        <v>1.0336558919523957</v>
      </c>
      <c r="K1690">
        <v>2.1659439520160468</v>
      </c>
      <c r="L1690">
        <v>0</v>
      </c>
      <c r="M1690">
        <v>1.5667089448740243E-3</v>
      </c>
      <c r="N1690">
        <v>0.13768563249307508</v>
      </c>
      <c r="O1690">
        <v>1.9293194558458328E-2</v>
      </c>
      <c r="P1690">
        <v>2.5278510362760166E-2</v>
      </c>
      <c r="Q1690">
        <v>5.3192889772308693E-3</v>
      </c>
      <c r="R1690">
        <v>1.5449628418786471E-3</v>
      </c>
      <c r="S1690">
        <v>0.24459503657446638</v>
      </c>
      <c r="T1690">
        <v>1.2978088975826776</v>
      </c>
      <c r="U1690">
        <v>0.13959968113371368</v>
      </c>
      <c r="V1690">
        <v>0.18651073804577484</v>
      </c>
      <c r="W1690">
        <v>9.1064428374307893E-2</v>
      </c>
      <c r="X1690">
        <v>1.4605410457847723E-2</v>
      </c>
      <c r="Y1690">
        <v>4.2048795587297282E-3</v>
      </c>
    </row>
    <row r="1691" spans="1:25" x14ac:dyDescent="0.25">
      <c r="A1691" s="1096"/>
      <c r="B1691" s="1455">
        <v>1441</v>
      </c>
      <c r="C1691" s="1100">
        <v>0.97112722189285594</v>
      </c>
      <c r="D1691" s="1100">
        <v>1.0190947057079722</v>
      </c>
      <c r="E1691" s="1100">
        <v>0.98813127691120206</v>
      </c>
      <c r="F1691" s="1100">
        <v>0.9962216226395707</v>
      </c>
      <c r="G1691" s="1100">
        <v>1.0180414746098996</v>
      </c>
      <c r="H1691" s="1100">
        <v>0.9714340404611187</v>
      </c>
      <c r="I1691" s="1100">
        <v>1.0175833183537346</v>
      </c>
      <c r="K1691">
        <v>2.2237123421452489</v>
      </c>
      <c r="L1691">
        <v>0</v>
      </c>
      <c r="M1691">
        <v>1.5791036969368575E-3</v>
      </c>
      <c r="N1691">
        <v>0.13846970843932363</v>
      </c>
      <c r="O1691">
        <v>2.0247409005873403E-2</v>
      </c>
      <c r="P1691">
        <v>2.5998364445644472E-2</v>
      </c>
      <c r="Q1691">
        <v>5.5793768887753177E-3</v>
      </c>
      <c r="R1691">
        <v>1.5562565850001085E-3</v>
      </c>
      <c r="S1691">
        <v>0.24821590924116207</v>
      </c>
      <c r="T1691">
        <v>1.3387687377593436</v>
      </c>
      <c r="U1691">
        <v>0.14698921240103857</v>
      </c>
      <c r="V1691">
        <v>0.18851885022467957</v>
      </c>
      <c r="W1691">
        <v>9.1612172774048622E-2</v>
      </c>
      <c r="X1691">
        <v>1.509983067276789E-2</v>
      </c>
      <c r="Y1691">
        <v>4.2356174045249271E-3</v>
      </c>
    </row>
    <row r="1692" spans="1:25" x14ac:dyDescent="0.25">
      <c r="A1692" s="1096"/>
      <c r="B1692" s="1455">
        <v>1442</v>
      </c>
      <c r="C1692" s="1100">
        <v>1.0324010258636955</v>
      </c>
      <c r="D1692" s="1100">
        <v>0.96838140714217968</v>
      </c>
      <c r="E1692" s="1100">
        <v>1.00178047437899</v>
      </c>
      <c r="F1692" s="1100">
        <v>1.024603401134895</v>
      </c>
      <c r="G1692" s="1100">
        <v>1.0178640779315959</v>
      </c>
      <c r="H1692" s="1100">
        <v>0.97879065711695667</v>
      </c>
      <c r="I1692" s="1100">
        <v>1.0237238390108399</v>
      </c>
      <c r="K1692">
        <v>2.2349798901493494</v>
      </c>
      <c r="L1692">
        <v>0</v>
      </c>
      <c r="M1692">
        <v>1.4713144254241478E-3</v>
      </c>
      <c r="N1692">
        <v>0.13446623686078069</v>
      </c>
      <c r="O1692">
        <v>1.9269102544139077E-2</v>
      </c>
      <c r="P1692">
        <v>2.652912497132269E-2</v>
      </c>
      <c r="Q1692">
        <v>5.3833534371844852E-3</v>
      </c>
      <c r="R1692">
        <v>1.4501868502964962E-3</v>
      </c>
      <c r="S1692">
        <v>0.24168502339943682</v>
      </c>
      <c r="T1692">
        <v>1.3769302143746431</v>
      </c>
      <c r="U1692">
        <v>0.13829570253643969</v>
      </c>
      <c r="V1692">
        <v>0.1848852900387051</v>
      </c>
      <c r="W1692">
        <v>8.8241814018478915E-2</v>
      </c>
      <c r="X1692">
        <v>1.5368224990804685E-2</v>
      </c>
      <c r="Y1692">
        <v>3.9469305525403429E-3</v>
      </c>
    </row>
    <row r="1693" spans="1:25" x14ac:dyDescent="0.25">
      <c r="A1693" s="1096"/>
      <c r="B1693" s="1455">
        <v>1443</v>
      </c>
      <c r="C1693" s="1100">
        <v>1.0038725717082029</v>
      </c>
      <c r="D1693" s="1100">
        <v>0.95587689950381027</v>
      </c>
      <c r="E1693" s="1100">
        <v>1.0004523784376034</v>
      </c>
      <c r="F1693" s="1100">
        <v>1.0053362294582162</v>
      </c>
      <c r="G1693" s="1100">
        <v>0.98548874939791575</v>
      </c>
      <c r="H1693" s="1100">
        <v>1.0018684804237252</v>
      </c>
      <c r="I1693" s="1100">
        <v>1.0125052230385814</v>
      </c>
      <c r="K1693">
        <v>2.2317201040278256</v>
      </c>
      <c r="L1693">
        <v>0</v>
      </c>
      <c r="M1693">
        <v>1.5575236525950953E-3</v>
      </c>
      <c r="N1693">
        <v>0.14182267781773686</v>
      </c>
      <c r="O1693">
        <v>1.9872608100397916E-2</v>
      </c>
      <c r="P1693">
        <v>2.6279725436284346E-2</v>
      </c>
      <c r="Q1693">
        <v>5.5445570952651858E-3</v>
      </c>
      <c r="R1693">
        <v>1.5356733269463062E-3</v>
      </c>
      <c r="S1693">
        <v>0.24932377202135209</v>
      </c>
      <c r="T1693">
        <v>1.3510355492166233</v>
      </c>
      <c r="U1693">
        <v>0.14222279895196774</v>
      </c>
      <c r="V1693">
        <v>0.18285758432074323</v>
      </c>
      <c r="W1693">
        <v>9.3142816239296003E-2</v>
      </c>
      <c r="X1693">
        <v>1.5460268592436117E-2</v>
      </c>
      <c r="Y1693">
        <v>4.1795965613716695E-3</v>
      </c>
    </row>
    <row r="1694" spans="1:25" x14ac:dyDescent="0.25">
      <c r="A1694" s="1096"/>
      <c r="B1694" s="1455">
        <v>1444</v>
      </c>
      <c r="C1694" s="1100">
        <v>1.0097952987190359</v>
      </c>
      <c r="D1694" s="1100">
        <v>0.98049698816386632</v>
      </c>
      <c r="E1694" s="1100">
        <v>1.0132405507275504</v>
      </c>
      <c r="F1694" s="1100">
        <v>1.020403056306773</v>
      </c>
      <c r="G1694" s="1100">
        <v>1.0061644854319074</v>
      </c>
      <c r="H1694" s="1100">
        <v>1.0070159313027573</v>
      </c>
      <c r="I1694" s="1100">
        <v>0.98469408248254053</v>
      </c>
      <c r="K1694">
        <v>2.2435095323079377</v>
      </c>
      <c r="L1694">
        <v>0</v>
      </c>
      <c r="M1694">
        <v>1.5071041094619907E-3</v>
      </c>
      <c r="N1694">
        <v>0.14264506861142795</v>
      </c>
      <c r="O1694">
        <v>1.9653783030056483E-2</v>
      </c>
      <c r="P1694">
        <v>2.6676415019547504E-2</v>
      </c>
      <c r="Q1694">
        <v>5.5541764055191244E-3</v>
      </c>
      <c r="R1694">
        <v>1.4860691882507128E-3</v>
      </c>
      <c r="S1694">
        <v>0.23849199830134865</v>
      </c>
      <c r="T1694">
        <v>1.3713060293495671</v>
      </c>
      <c r="U1694">
        <v>0.14141781089047381</v>
      </c>
      <c r="V1694">
        <v>0.18485932689137186</v>
      </c>
      <c r="W1694">
        <v>9.2977382598660202E-2</v>
      </c>
      <c r="X1694">
        <v>1.5903985683334766E-2</v>
      </c>
      <c r="Y1694">
        <v>4.0445904478421928E-3</v>
      </c>
    </row>
    <row r="1695" spans="1:25" x14ac:dyDescent="0.25">
      <c r="A1695" s="1096"/>
      <c r="B1695" s="1455">
        <v>1445</v>
      </c>
      <c r="C1695" s="1100">
        <v>0.99449087833684968</v>
      </c>
      <c r="D1695" s="1100">
        <v>0.98035656469808197</v>
      </c>
      <c r="E1695" s="1100">
        <v>1.0364780413727346</v>
      </c>
      <c r="F1695" s="1100">
        <v>0.99634245633654095</v>
      </c>
      <c r="G1695" s="1100">
        <v>0.98009157174592809</v>
      </c>
      <c r="H1695" s="1100">
        <v>0.95897020874091454</v>
      </c>
      <c r="I1695" s="1100">
        <v>0.98024301046638751</v>
      </c>
      <c r="K1695">
        <v>2.2071228637460192</v>
      </c>
      <c r="L1695">
        <v>0</v>
      </c>
      <c r="M1695">
        <v>1.3884976114100589E-3</v>
      </c>
      <c r="N1695">
        <v>0.14085907430377742</v>
      </c>
      <c r="O1695">
        <v>1.9971583149824522E-2</v>
      </c>
      <c r="P1695">
        <v>2.6668215140092856E-2</v>
      </c>
      <c r="Q1695">
        <v>5.7755339614230213E-3</v>
      </c>
      <c r="R1695">
        <v>1.3681471622899624E-3</v>
      </c>
      <c r="S1695">
        <v>0.23744661335970657</v>
      </c>
      <c r="T1695">
        <v>1.3390205351343085</v>
      </c>
      <c r="U1695">
        <v>0.14364811697409613</v>
      </c>
      <c r="V1695">
        <v>0.1828381590121268</v>
      </c>
      <c r="W1695">
        <v>9.0578157104587595E-2</v>
      </c>
      <c r="X1695">
        <v>1.6613580489031807E-2</v>
      </c>
      <c r="Y1695">
        <v>3.7236455661624405E-3</v>
      </c>
    </row>
    <row r="1696" spans="1:25" x14ac:dyDescent="0.25">
      <c r="A1696" s="1096"/>
      <c r="B1696" s="1455">
        <v>1446</v>
      </c>
      <c r="C1696" s="1100">
        <v>1.0129732778202793</v>
      </c>
      <c r="D1696" s="1100">
        <v>1.0078137287843678</v>
      </c>
      <c r="E1696" s="1100">
        <v>0.97950808923754085</v>
      </c>
      <c r="F1696" s="1100">
        <v>1.0047277911336014</v>
      </c>
      <c r="G1696" s="1100">
        <v>1.0005291845654198</v>
      </c>
      <c r="H1696" s="1100">
        <v>0.99959452524309467</v>
      </c>
      <c r="I1696" s="1100">
        <v>0.97655665167118655</v>
      </c>
      <c r="K1696">
        <v>2.2022044660723434</v>
      </c>
      <c r="L1696">
        <v>0</v>
      </c>
      <c r="M1696">
        <v>1.5896863694153051E-3</v>
      </c>
      <c r="N1696">
        <v>0.13586488826274165</v>
      </c>
      <c r="O1696">
        <v>1.9453284775646E-2</v>
      </c>
      <c r="P1696">
        <v>2.5618979010179E-2</v>
      </c>
      <c r="Q1696">
        <v>5.3138690364916159E-3</v>
      </c>
      <c r="R1696">
        <v>1.5673341033414453E-3</v>
      </c>
      <c r="S1696">
        <v>0.23174950046623499</v>
      </c>
      <c r="T1696">
        <v>1.350188990758951</v>
      </c>
      <c r="U1696">
        <v>0.14089752089600896</v>
      </c>
      <c r="V1696">
        <v>0.18400897016873283</v>
      </c>
      <c r="W1696">
        <v>9.0356652677171759E-2</v>
      </c>
      <c r="X1696">
        <v>1.4508395528512861E-2</v>
      </c>
      <c r="Y1696">
        <v>4.2657667577471062E-3</v>
      </c>
    </row>
    <row r="1697" spans="1:25" x14ac:dyDescent="0.25">
      <c r="A1697" s="1096"/>
      <c r="B1697" s="1455">
        <v>1447</v>
      </c>
      <c r="C1697" s="1100">
        <v>0.97746028261350582</v>
      </c>
      <c r="D1697" s="1100">
        <v>1.0111422157951828</v>
      </c>
      <c r="E1697" s="1100">
        <v>0.99887849446816845</v>
      </c>
      <c r="F1697" s="1100">
        <v>1.0061833669433975</v>
      </c>
      <c r="G1697" s="1100">
        <v>1.0103965311979226</v>
      </c>
      <c r="H1697" s="1100">
        <v>1.004011165650986</v>
      </c>
      <c r="I1697" s="1100">
        <v>0.99644148888654394</v>
      </c>
      <c r="K1697">
        <v>2.2411236052979278</v>
      </c>
      <c r="L1697">
        <v>0</v>
      </c>
      <c r="M1697">
        <v>1.5885082063402487E-3</v>
      </c>
      <c r="N1697">
        <v>0.14396222202310485</v>
      </c>
      <c r="O1697">
        <v>2.0157768810171624E-2</v>
      </c>
      <c r="P1697">
        <v>2.632019467002928E-2</v>
      </c>
      <c r="Q1697">
        <v>5.6152261944133544E-3</v>
      </c>
      <c r="R1697">
        <v>1.5662707608249055E-3</v>
      </c>
      <c r="S1697">
        <v>0.2451677313211087</v>
      </c>
      <c r="T1697">
        <v>1.3521714773714038</v>
      </c>
      <c r="U1697">
        <v>0.14606214297348355</v>
      </c>
      <c r="V1697">
        <v>0.1872684883956254</v>
      </c>
      <c r="W1697">
        <v>9.4636481375131906E-2</v>
      </c>
      <c r="X1697">
        <v>1.5521236919020857E-2</v>
      </c>
      <c r="Y1697">
        <v>4.2628726899478515E-3</v>
      </c>
    </row>
    <row r="1698" spans="1:25" x14ac:dyDescent="0.25">
      <c r="A1698" s="1096"/>
      <c r="B1698" s="1455">
        <v>1448</v>
      </c>
      <c r="C1698" s="1100">
        <v>0.98117648809627689</v>
      </c>
      <c r="D1698" s="1100">
        <v>0.9789164658373033</v>
      </c>
      <c r="E1698" s="1100">
        <v>0.9916876345110367</v>
      </c>
      <c r="F1698" s="1100">
        <v>1.0093028848058405</v>
      </c>
      <c r="G1698" s="1100">
        <v>1.0136947788482311</v>
      </c>
      <c r="H1698" s="1100">
        <v>1.0096744052223841</v>
      </c>
      <c r="I1698" s="1100">
        <v>0.99195262334740031</v>
      </c>
      <c r="K1698">
        <v>2.2480199684513122</v>
      </c>
      <c r="L1698">
        <v>0</v>
      </c>
      <c r="M1698">
        <v>1.6268672104032056E-3</v>
      </c>
      <c r="N1698">
        <v>0.14428041763386831</v>
      </c>
      <c r="O1698">
        <v>2.0220430375604968E-2</v>
      </c>
      <c r="P1698">
        <v>2.6261382307929942E-2</v>
      </c>
      <c r="Q1698">
        <v>5.5920088609887836E-3</v>
      </c>
      <c r="R1698">
        <v>1.6042205203825172E-3</v>
      </c>
      <c r="S1698">
        <v>0.24750504914842511</v>
      </c>
      <c r="T1698">
        <v>1.3563528685664037</v>
      </c>
      <c r="U1698">
        <v>0.14549207198420905</v>
      </c>
      <c r="V1698">
        <v>0.18740507428332071</v>
      </c>
      <c r="W1698">
        <v>9.5253397811363924E-2</v>
      </c>
      <c r="X1698">
        <v>1.5313754743889029E-2</v>
      </c>
      <c r="Y1698">
        <v>4.3661594253287936E-3</v>
      </c>
    </row>
    <row r="1699" spans="1:25" x14ac:dyDescent="0.25">
      <c r="A1699" s="1096"/>
      <c r="B1699" s="1455">
        <v>1449</v>
      </c>
      <c r="C1699" s="1100">
        <v>0.98210543908343506</v>
      </c>
      <c r="D1699" s="1100">
        <v>1.0114276002746905</v>
      </c>
      <c r="E1699" s="1100">
        <v>1.0245876374891627</v>
      </c>
      <c r="F1699" s="1100">
        <v>1.0268292121215046</v>
      </c>
      <c r="G1699" s="1100">
        <v>1.0188511281598653</v>
      </c>
      <c r="H1699" s="1100">
        <v>1.0263293928885562</v>
      </c>
      <c r="I1699" s="1100">
        <v>0.98949598287708407</v>
      </c>
      <c r="K1699">
        <v>2.2786034090060068</v>
      </c>
      <c r="L1699">
        <v>0</v>
      </c>
      <c r="M1699">
        <v>1.5319678847587176E-3</v>
      </c>
      <c r="N1699">
        <v>0.1500882385783717</v>
      </c>
      <c r="O1699">
        <v>2.0077522157700641E-2</v>
      </c>
      <c r="P1699">
        <v>2.7198715923517514E-2</v>
      </c>
      <c r="Q1699">
        <v>5.7383321949121737E-3</v>
      </c>
      <c r="R1699">
        <v>1.5109883008155944E-3</v>
      </c>
      <c r="S1699">
        <v>0.24426953229338333</v>
      </c>
      <c r="T1699">
        <v>1.3799653522822166</v>
      </c>
      <c r="U1699">
        <v>0.14543167668759488</v>
      </c>
      <c r="V1699">
        <v>0.18796054671743498</v>
      </c>
      <c r="W1699">
        <v>9.7181055461584523E-2</v>
      </c>
      <c r="X1699">
        <v>1.6601004235571877E-2</v>
      </c>
      <c r="Y1699">
        <v>4.1124120576605519E-3</v>
      </c>
    </row>
    <row r="1700" spans="1:25" x14ac:dyDescent="0.25">
      <c r="A1700" s="1096"/>
      <c r="B1700" s="1455">
        <v>1450</v>
      </c>
      <c r="C1700" s="1100">
        <v>1.010737170315829</v>
      </c>
      <c r="D1700" s="1100">
        <v>0.96195608973296698</v>
      </c>
      <c r="E1700" s="1100">
        <v>0.99148315356472372</v>
      </c>
      <c r="F1700" s="1100">
        <v>1.0254356226695822</v>
      </c>
      <c r="G1700" s="1100">
        <v>1.0017393633462488</v>
      </c>
      <c r="H1700" s="1100">
        <v>0.99725252896230443</v>
      </c>
      <c r="I1700" s="1100">
        <v>1.0087001760302112</v>
      </c>
      <c r="K1700">
        <v>2.2504577292192169</v>
      </c>
      <c r="L1700">
        <v>0</v>
      </c>
      <c r="M1700">
        <v>1.5665297680129387E-3</v>
      </c>
      <c r="N1700">
        <v>0.13881905958256249</v>
      </c>
      <c r="O1700">
        <v>1.9704543119635244E-2</v>
      </c>
      <c r="P1700">
        <v>2.6423655762389819E-2</v>
      </c>
      <c r="Q1700">
        <v>5.4482138188963192E-3</v>
      </c>
      <c r="R1700">
        <v>1.5444513738462971E-3</v>
      </c>
      <c r="S1700">
        <v>0.24547111636690488</v>
      </c>
      <c r="T1700">
        <v>1.3780325719209576</v>
      </c>
      <c r="U1700">
        <v>0.14123645026148796</v>
      </c>
      <c r="V1700">
        <v>0.1842854002632339</v>
      </c>
      <c r="W1700">
        <v>9.1659042593484022E-2</v>
      </c>
      <c r="X1700">
        <v>1.5196266412478314E-2</v>
      </c>
      <c r="Y1700">
        <v>4.2034875113510645E-3</v>
      </c>
    </row>
    <row r="1701" spans="1:25" x14ac:dyDescent="0.25">
      <c r="A1701" s="1096"/>
      <c r="B1701" s="1455">
        <v>1451</v>
      </c>
      <c r="C1701" s="1100">
        <v>0.99701629595333319</v>
      </c>
      <c r="D1701" s="1100">
        <v>1.0004743725702914</v>
      </c>
      <c r="E1701" s="1100">
        <v>0.9934689027991348</v>
      </c>
      <c r="F1701" s="1100">
        <v>1.0137554045989299</v>
      </c>
      <c r="G1701" s="1100">
        <v>1.0282763289436758</v>
      </c>
      <c r="H1701" s="1100">
        <v>0.99070140318563782</v>
      </c>
      <c r="I1701" s="1100">
        <v>0.97570831979458239</v>
      </c>
      <c r="K1701">
        <v>2.2304014147680631</v>
      </c>
      <c r="L1701">
        <v>0</v>
      </c>
      <c r="M1701">
        <v>1.5576659379879442E-3</v>
      </c>
      <c r="N1701">
        <v>0.138851523831962</v>
      </c>
      <c r="O1701">
        <v>1.9805163839127095E-2</v>
      </c>
      <c r="P1701">
        <v>2.6193021512418233E-2</v>
      </c>
      <c r="Q1701">
        <v>5.4870219936748862E-3</v>
      </c>
      <c r="R1701">
        <v>1.5355672992662123E-3</v>
      </c>
      <c r="S1701">
        <v>0.23551914729020698</v>
      </c>
      <c r="T1701">
        <v>1.3623389756096491</v>
      </c>
      <c r="U1701">
        <v>0.14318471728537407</v>
      </c>
      <c r="V1701">
        <v>0.18809443895271755</v>
      </c>
      <c r="W1701">
        <v>9.1571694244375765E-2</v>
      </c>
      <c r="X1701">
        <v>1.5198500858301463E-2</v>
      </c>
      <c r="Y1701">
        <v>4.1793079889784713E-3</v>
      </c>
    </row>
    <row r="1702" spans="1:25" x14ac:dyDescent="0.25">
      <c r="A1702" s="1096"/>
      <c r="B1702" s="1455">
        <v>1452</v>
      </c>
      <c r="C1702" s="1100">
        <v>1.0088601720262835</v>
      </c>
      <c r="D1702" s="1100">
        <v>0.9987112269526156</v>
      </c>
      <c r="E1702" s="1100">
        <v>0.99514678298593418</v>
      </c>
      <c r="F1702" s="1100">
        <v>0.96389710264783435</v>
      </c>
      <c r="G1702" s="1100">
        <v>1.0186480581529584</v>
      </c>
      <c r="H1702" s="1100">
        <v>1.0224181698627302</v>
      </c>
      <c r="I1702" s="1100">
        <v>1.0002010954425904</v>
      </c>
      <c r="K1702">
        <v>2.1694841170228658</v>
      </c>
      <c r="L1702">
        <v>0</v>
      </c>
      <c r="M1702">
        <v>1.5837612647636396E-3</v>
      </c>
      <c r="N1702">
        <v>0.14195880903420788</v>
      </c>
      <c r="O1702">
        <v>1.9581288937721063E-2</v>
      </c>
      <c r="P1702">
        <v>2.5347286054438006E-2</v>
      </c>
      <c r="Q1702">
        <v>5.4341837386250461E-3</v>
      </c>
      <c r="R1702">
        <v>1.5619894247231676E-3</v>
      </c>
      <c r="S1702">
        <v>0.24134007068884286</v>
      </c>
      <c r="T1702">
        <v>1.2953390854051621</v>
      </c>
      <c r="U1702">
        <v>0.14150757455281979</v>
      </c>
      <c r="V1702">
        <v>0.18630904916743263</v>
      </c>
      <c r="W1702">
        <v>9.3527192673680634E-2</v>
      </c>
      <c r="X1702">
        <v>1.4910128305553017E-2</v>
      </c>
      <c r="Y1702">
        <v>4.2512203044209893E-3</v>
      </c>
    </row>
    <row r="1703" spans="1:25" x14ac:dyDescent="0.25">
      <c r="A1703" s="1096"/>
      <c r="B1703" s="1455">
        <v>1453</v>
      </c>
      <c r="C1703" s="1100">
        <v>0.96817297740721309</v>
      </c>
      <c r="D1703" s="1100">
        <v>0.99794433386128478</v>
      </c>
      <c r="E1703" s="1100">
        <v>0.98404995056941758</v>
      </c>
      <c r="F1703" s="1100">
        <v>0.97404035171136993</v>
      </c>
      <c r="G1703" s="1100">
        <v>0.98911359922645359</v>
      </c>
      <c r="H1703" s="1100">
        <v>0.99705527288530194</v>
      </c>
      <c r="I1703" s="1100">
        <v>1.0346748041442708</v>
      </c>
      <c r="K1703">
        <v>2.2080822051139002</v>
      </c>
      <c r="L1703">
        <v>0</v>
      </c>
      <c r="M1703">
        <v>1.6470707077907288E-3</v>
      </c>
      <c r="N1703">
        <v>0.14271170835544261</v>
      </c>
      <c r="O1703">
        <v>2.0400484466569717E-2</v>
      </c>
      <c r="P1703">
        <v>2.5612537262304738E-2</v>
      </c>
      <c r="Q1703">
        <v>5.5983655321742874E-3</v>
      </c>
      <c r="R1703">
        <v>1.6238525912963184E-3</v>
      </c>
      <c r="S1703">
        <v>0.25798626525752633</v>
      </c>
      <c r="T1703">
        <v>1.3089553970991383</v>
      </c>
      <c r="U1703">
        <v>0.14742804556396966</v>
      </c>
      <c r="V1703">
        <v>0.18543158956000877</v>
      </c>
      <c r="W1703">
        <v>9.4650548551199018E-2</v>
      </c>
      <c r="X1703">
        <v>1.4910890131415897E-2</v>
      </c>
      <c r="Y1703">
        <v>4.4195914506457226E-3</v>
      </c>
    </row>
    <row r="1704" spans="1:25" x14ac:dyDescent="0.25">
      <c r="A1704" s="1096"/>
      <c r="B1704" s="1455">
        <v>1454</v>
      </c>
      <c r="C1704" s="1100">
        <v>1.0186333483722438</v>
      </c>
      <c r="D1704" s="1100">
        <v>1.0199354226912385</v>
      </c>
      <c r="E1704" s="1100">
        <v>1.0017823818443936</v>
      </c>
      <c r="F1704" s="1100">
        <v>0.98482025310487586</v>
      </c>
      <c r="G1704" s="1100">
        <v>0.99343045113951545</v>
      </c>
      <c r="H1704" s="1100">
        <v>0.98608551987512028</v>
      </c>
      <c r="I1704" s="1100">
        <v>0.97877040056577025</v>
      </c>
      <c r="K1704">
        <v>2.1694776303965928</v>
      </c>
      <c r="L1704">
        <v>0</v>
      </c>
      <c r="M1704">
        <v>1.4852628090947294E-3</v>
      </c>
      <c r="N1704">
        <v>0.13575641837012675</v>
      </c>
      <c r="O1704">
        <v>1.9307955097991734E-2</v>
      </c>
      <c r="P1704">
        <v>2.5620336058600032E-2</v>
      </c>
      <c r="Q1704">
        <v>5.3942182984018719E-3</v>
      </c>
      <c r="R1704">
        <v>1.4640927192133208E-3</v>
      </c>
      <c r="S1704">
        <v>0.22874175575689398</v>
      </c>
      <c r="T1704">
        <v>1.3234669764563627</v>
      </c>
      <c r="U1704">
        <v>0.14016488836942928</v>
      </c>
      <c r="V1704">
        <v>0.18290009320570338</v>
      </c>
      <c r="W1704">
        <v>8.9088378907878851E-2</v>
      </c>
      <c r="X1704">
        <v>1.5073002221422698E-2</v>
      </c>
      <c r="Y1704">
        <v>3.9847777436634816E-3</v>
      </c>
    </row>
    <row r="1705" spans="1:25" x14ac:dyDescent="0.25">
      <c r="A1705" s="1096"/>
      <c r="B1705" s="1455">
        <v>1455</v>
      </c>
      <c r="C1705" s="1100">
        <v>1.0029271201480581</v>
      </c>
      <c r="D1705" s="1100">
        <v>0.98992450179484059</v>
      </c>
      <c r="E1705" s="1100">
        <v>0.97937953940906686</v>
      </c>
      <c r="F1705" s="1100">
        <v>0.98608334460885849</v>
      </c>
      <c r="G1705" s="1100">
        <v>0.9837624210735606</v>
      </c>
      <c r="H1705" s="1100">
        <v>1.0046192796985187</v>
      </c>
      <c r="I1705" s="1100">
        <v>1.0202515423724698</v>
      </c>
      <c r="K1705">
        <v>2.1972963916666033</v>
      </c>
      <c r="L1705">
        <v>0</v>
      </c>
      <c r="M1705">
        <v>1.6204824725390534E-3</v>
      </c>
      <c r="N1705">
        <v>0.13845293792694272</v>
      </c>
      <c r="O1705">
        <v>1.9725635347273857E-2</v>
      </c>
      <c r="P1705">
        <v>2.548821735217895E-2</v>
      </c>
      <c r="Q1705">
        <v>5.3875602648140305E-3</v>
      </c>
      <c r="R1705">
        <v>1.5978111525670425E-3</v>
      </c>
      <c r="S1705">
        <v>0.2471481730856343</v>
      </c>
      <c r="T1705">
        <v>1.3251337746885059</v>
      </c>
      <c r="U1705">
        <v>0.14230857429970312</v>
      </c>
      <c r="V1705">
        <v>0.18269994627211425</v>
      </c>
      <c r="W1705">
        <v>9.2084980196651012E-2</v>
      </c>
      <c r="X1705">
        <v>1.4540548313773837E-2</v>
      </c>
      <c r="Y1705">
        <v>4.3487152389826058E-3</v>
      </c>
    </row>
    <row r="1706" spans="1:25" x14ac:dyDescent="0.25">
      <c r="A1706" s="1096"/>
      <c r="B1706" s="1455">
        <v>1456</v>
      </c>
      <c r="C1706" s="1100">
        <v>1.0243213490378569</v>
      </c>
      <c r="D1706" s="1100">
        <v>1.006802100123374</v>
      </c>
      <c r="E1706" s="1100">
        <v>0.99824377899319972</v>
      </c>
      <c r="F1706" s="1100">
        <v>1.0013491438100164</v>
      </c>
      <c r="G1706" s="1100">
        <v>1.0061390770497691</v>
      </c>
      <c r="H1706" s="1100">
        <v>1.0151155824986875</v>
      </c>
      <c r="I1706" s="1100">
        <v>0.99601234684200868</v>
      </c>
      <c r="K1706">
        <v>2.2043848379241298</v>
      </c>
      <c r="L1706">
        <v>0</v>
      </c>
      <c r="M1706">
        <v>1.5360733704954947E-3</v>
      </c>
      <c r="N1706">
        <v>0.13896504974409157</v>
      </c>
      <c r="O1706">
        <v>1.9253408602423226E-2</v>
      </c>
      <c r="P1706">
        <v>2.5947987938727064E-2</v>
      </c>
      <c r="Q1706">
        <v>5.3598806738168999E-3</v>
      </c>
      <c r="R1706">
        <v>1.5148051848414507E-3</v>
      </c>
      <c r="S1706">
        <v>0.23521081088379767</v>
      </c>
      <c r="T1706">
        <v>1.3456739571387857</v>
      </c>
      <c r="U1706">
        <v>0.13937860681904193</v>
      </c>
      <c r="V1706">
        <v>0.18401018893162524</v>
      </c>
      <c r="W1706">
        <v>9.1385996139492248E-2</v>
      </c>
      <c r="X1706">
        <v>1.5097418880238387E-2</v>
      </c>
      <c r="Y1706">
        <v>4.1228003577434506E-3</v>
      </c>
    </row>
    <row r="1707" spans="1:25" x14ac:dyDescent="0.25">
      <c r="A1707" s="1096"/>
      <c r="B1707" s="1455">
        <v>1457</v>
      </c>
      <c r="C1707" s="1100">
        <v>1.0009637963035862</v>
      </c>
      <c r="D1707" s="1100">
        <v>1.0067861329620897</v>
      </c>
      <c r="E1707" s="1100">
        <v>1.0449681620356819</v>
      </c>
      <c r="F1707" s="1100">
        <v>0.98267047273663843</v>
      </c>
      <c r="G1707" s="1100">
        <v>1.0082322846632756</v>
      </c>
      <c r="H1707" s="1100">
        <v>0.9675032185451099</v>
      </c>
      <c r="I1707" s="1100">
        <v>0.99371122580139259</v>
      </c>
      <c r="K1707">
        <v>2.1902616483195945</v>
      </c>
      <c r="L1707">
        <v>0</v>
      </c>
      <c r="M1707">
        <v>1.3593700078973453E-3</v>
      </c>
      <c r="N1707">
        <v>0.14149496624193386</v>
      </c>
      <c r="O1707">
        <v>1.9731967672295906E-2</v>
      </c>
      <c r="P1707">
        <v>2.6589140796439186E-2</v>
      </c>
      <c r="Q1707">
        <v>5.7540577289920793E-3</v>
      </c>
      <c r="R1707">
        <v>1.3396221841594632E-3</v>
      </c>
      <c r="S1707">
        <v>0.23671375402405731</v>
      </c>
      <c r="T1707">
        <v>1.3206668027053607</v>
      </c>
      <c r="U1707">
        <v>0.14273883612063523</v>
      </c>
      <c r="V1707">
        <v>0.18564085487949034</v>
      </c>
      <c r="W1707">
        <v>9.0543486035252363E-2</v>
      </c>
      <c r="X1707">
        <v>1.6761519959926401E-2</v>
      </c>
      <c r="Y1707">
        <v>3.6460099789477345E-3</v>
      </c>
    </row>
    <row r="1708" spans="1:25" x14ac:dyDescent="0.25">
      <c r="A1708" s="1096"/>
      <c r="B1708" s="1455">
        <v>1458</v>
      </c>
      <c r="C1708" s="1100">
        <v>1.0008113143677992</v>
      </c>
      <c r="D1708" s="1100">
        <v>0.99655371673610949</v>
      </c>
      <c r="E1708" s="1100">
        <v>1.0352085941234925</v>
      </c>
      <c r="F1708" s="1100">
        <v>0.98356128880232196</v>
      </c>
      <c r="G1708" s="1100">
        <v>0.97484705152510409</v>
      </c>
      <c r="H1708" s="1100">
        <v>1.0051182825115104</v>
      </c>
      <c r="I1708" s="1100">
        <v>0.98480020086739972</v>
      </c>
      <c r="K1708">
        <v>2.1975342236824416</v>
      </c>
      <c r="L1708">
        <v>0</v>
      </c>
      <c r="M1708">
        <v>1.4447408043149314E-3</v>
      </c>
      <c r="N1708">
        <v>0.14610492636309175</v>
      </c>
      <c r="O1708">
        <v>1.977324364652781E-2</v>
      </c>
      <c r="P1708">
        <v>2.6394890513073258E-2</v>
      </c>
      <c r="Q1708">
        <v>5.7110272166211165E-3</v>
      </c>
      <c r="R1708">
        <v>1.4245382285963078E-3</v>
      </c>
      <c r="S1708">
        <v>0.23873043039384248</v>
      </c>
      <c r="T1708">
        <v>1.3218405178201591</v>
      </c>
      <c r="U1708">
        <v>0.14273799828965986</v>
      </c>
      <c r="V1708">
        <v>0.1818672411407381</v>
      </c>
      <c r="W1708">
        <v>9.4020394979722713E-2</v>
      </c>
      <c r="X1708">
        <v>1.6496632435385086E-2</v>
      </c>
      <c r="Y1708">
        <v>3.877123459338301E-3</v>
      </c>
    </row>
    <row r="1709" spans="1:25" x14ac:dyDescent="0.25">
      <c r="A1709" s="1096"/>
      <c r="B1709" s="1455">
        <v>1459</v>
      </c>
      <c r="C1709" s="1100">
        <v>1.0187720124831761</v>
      </c>
      <c r="D1709" s="1100">
        <v>0.98715388552083994</v>
      </c>
      <c r="E1709" s="1100">
        <v>0.9950094184613798</v>
      </c>
      <c r="F1709" s="1100">
        <v>1.0152363956253692</v>
      </c>
      <c r="G1709" s="1100">
        <v>1.0261235181611101</v>
      </c>
      <c r="H1709" s="1100">
        <v>0.97460899049482896</v>
      </c>
      <c r="I1709" s="1100">
        <v>1.027698905075737</v>
      </c>
      <c r="K1709">
        <v>2.2271184859330053</v>
      </c>
      <c r="L1709">
        <v>0</v>
      </c>
      <c r="M1709">
        <v>1.499275037752807E-3</v>
      </c>
      <c r="N1709">
        <v>0.13423834492031153</v>
      </c>
      <c r="O1709">
        <v>1.9440412593863941E-2</v>
      </c>
      <c r="P1709">
        <v>2.6291520216102506E-2</v>
      </c>
      <c r="Q1709">
        <v>5.3943409340403616E-3</v>
      </c>
      <c r="R1709">
        <v>1.4776535848585516E-3</v>
      </c>
      <c r="S1709">
        <v>0.24311248569848046</v>
      </c>
      <c r="T1709">
        <v>1.3643315048343445</v>
      </c>
      <c r="U1709">
        <v>0.14013050834324378</v>
      </c>
      <c r="V1709">
        <v>0.1865818783775347</v>
      </c>
      <c r="W1709">
        <v>8.8447942605706598E-2</v>
      </c>
      <c r="X1709">
        <v>1.5149482912656208E-2</v>
      </c>
      <c r="Y1709">
        <v>4.0216859496116425E-3</v>
      </c>
    </row>
    <row r="1710" spans="1:25" x14ac:dyDescent="0.25">
      <c r="A1710" s="1096"/>
      <c r="B1710" s="1455">
        <v>1460</v>
      </c>
      <c r="C1710" s="1100">
        <v>0.98526191435009125</v>
      </c>
      <c r="D1710" s="1100">
        <v>0.99224038218758315</v>
      </c>
      <c r="E1710" s="1100">
        <v>1.007562484594291</v>
      </c>
      <c r="F1710" s="1100">
        <v>1.0016186903218642</v>
      </c>
      <c r="G1710" s="1100">
        <v>1.0039404440791713</v>
      </c>
      <c r="H1710" s="1100">
        <v>0.97343955419248518</v>
      </c>
      <c r="I1710" s="1100">
        <v>1.0211872952517544</v>
      </c>
      <c r="K1710">
        <v>2.2299052163107267</v>
      </c>
      <c r="L1710">
        <v>0</v>
      </c>
      <c r="M1710">
        <v>1.5068962579085556E-3</v>
      </c>
      <c r="N1710">
        <v>0.14013295721066316</v>
      </c>
      <c r="O1710">
        <v>2.0086865906357408E-2</v>
      </c>
      <c r="P1710">
        <v>2.6429201153672092E-2</v>
      </c>
      <c r="Q1710">
        <v>5.6444440817745344E-3</v>
      </c>
      <c r="R1710">
        <v>1.4851387904750409E-3</v>
      </c>
      <c r="S1710">
        <v>0.24914578330840342</v>
      </c>
      <c r="T1710">
        <v>1.3460516373967339</v>
      </c>
      <c r="U1710">
        <v>0.14492587685488259</v>
      </c>
      <c r="V1710">
        <v>0.18606594302260587</v>
      </c>
      <c r="W1710">
        <v>9.1646207141998337E-2</v>
      </c>
      <c r="X1710">
        <v>1.5755999489264025E-2</v>
      </c>
      <c r="Y1710">
        <v>4.0420582118023581E-3</v>
      </c>
    </row>
    <row r="1711" spans="1:25" x14ac:dyDescent="0.25">
      <c r="A1711" s="1096"/>
      <c r="B1711" s="1455">
        <v>1461</v>
      </c>
      <c r="C1711" s="1100">
        <v>0.96052542694633158</v>
      </c>
      <c r="D1711" s="1100">
        <v>1.0205750482858413</v>
      </c>
      <c r="E1711" s="1100">
        <v>0.99203489636873876</v>
      </c>
      <c r="F1711" s="1100">
        <v>0.99999365825434749</v>
      </c>
      <c r="G1711" s="1100">
        <v>0.96650394670229622</v>
      </c>
      <c r="H1711" s="1100">
        <v>1.0261959614450717</v>
      </c>
      <c r="I1711" s="1100">
        <v>0.97964477546227446</v>
      </c>
      <c r="K1711">
        <v>2.2402835539451997</v>
      </c>
      <c r="L1711">
        <v>0</v>
      </c>
      <c r="M1711">
        <v>1.6724187997650514E-3</v>
      </c>
      <c r="N1711">
        <v>0.14850973894686542</v>
      </c>
      <c r="O1711">
        <v>2.0466876903970355E-2</v>
      </c>
      <c r="P1711">
        <v>2.6064653399813988E-2</v>
      </c>
      <c r="Q1711">
        <v>5.6621492604905631E-3</v>
      </c>
      <c r="R1711">
        <v>1.6495128282369858E-3</v>
      </c>
      <c r="S1711">
        <v>0.24590869578401425</v>
      </c>
      <c r="T1711">
        <v>1.3438431448213193</v>
      </c>
      <c r="U1711">
        <v>0.14862094714749244</v>
      </c>
      <c r="V1711">
        <v>0.18337075978038864</v>
      </c>
      <c r="W1711">
        <v>9.8025215692851067E-2</v>
      </c>
      <c r="X1711">
        <v>1.5344848022819572E-2</v>
      </c>
      <c r="Y1711">
        <v>4.4894301567033864E-3</v>
      </c>
    </row>
    <row r="1712" spans="1:25" x14ac:dyDescent="0.25">
      <c r="A1712" s="1096"/>
      <c r="B1712" s="1455">
        <v>1462</v>
      </c>
      <c r="C1712" s="1100">
        <v>0.99589197739419244</v>
      </c>
      <c r="D1712" s="1100">
        <v>0.99486007135279275</v>
      </c>
      <c r="E1712" s="1100">
        <v>0.98478914966930153</v>
      </c>
      <c r="F1712" s="1100">
        <v>1.0151296830619125</v>
      </c>
      <c r="G1712" s="1100">
        <v>1.0005659955589392</v>
      </c>
      <c r="H1712" s="1100">
        <v>1.0188304876471661</v>
      </c>
      <c r="I1712" s="1100">
        <v>0.99161961408136268</v>
      </c>
      <c r="K1712">
        <v>2.2418747130851546</v>
      </c>
      <c r="L1712">
        <v>0</v>
      </c>
      <c r="M1712">
        <v>1.6348093971453579E-3</v>
      </c>
      <c r="N1712">
        <v>0.14200976063657469</v>
      </c>
      <c r="O1712">
        <v>1.9846644296752425E-2</v>
      </c>
      <c r="P1712">
        <v>2.6101614859494131E-2</v>
      </c>
      <c r="Q1712">
        <v>5.4504624205430185E-3</v>
      </c>
      <c r="R1712">
        <v>1.612256664582018E-3</v>
      </c>
      <c r="S1712">
        <v>0.24248515832263959</v>
      </c>
      <c r="T1712">
        <v>1.3641738660434004</v>
      </c>
      <c r="U1712">
        <v>0.14332633528525079</v>
      </c>
      <c r="V1712">
        <v>0.1850217828068591</v>
      </c>
      <c r="W1712">
        <v>9.4143113636612263E-2</v>
      </c>
      <c r="X1712">
        <v>1.4950496348866403E-2</v>
      </c>
      <c r="Y1712">
        <v>4.3880311607256105E-3</v>
      </c>
    </row>
    <row r="1713" spans="1:25" x14ac:dyDescent="0.25">
      <c r="A1713" s="1096"/>
      <c r="B1713" s="1455">
        <v>1463</v>
      </c>
      <c r="C1713" s="1100">
        <v>1.0110551335445119</v>
      </c>
      <c r="D1713" s="1100">
        <v>1.0182667737983702</v>
      </c>
      <c r="E1713" s="1100">
        <v>1.0066699209273053</v>
      </c>
      <c r="F1713" s="1100">
        <v>1.0054191433118937</v>
      </c>
      <c r="G1713" s="1100">
        <v>1.0329211759347321</v>
      </c>
      <c r="H1713" s="1100">
        <v>1.0207058458394906</v>
      </c>
      <c r="I1713" s="1100">
        <v>0.969240162280958</v>
      </c>
      <c r="K1713">
        <v>2.2175032559459917</v>
      </c>
      <c r="L1713">
        <v>0</v>
      </c>
      <c r="M1713">
        <v>1.5338502247031361E-3</v>
      </c>
      <c r="N1713">
        <v>0.14235210653129107</v>
      </c>
      <c r="O1713">
        <v>1.9462693286467121E-2</v>
      </c>
      <c r="P1713">
        <v>2.6207096362495758E-2</v>
      </c>
      <c r="Q1713">
        <v>5.4641651896329491E-3</v>
      </c>
      <c r="R1713">
        <v>1.512729134608785E-3</v>
      </c>
      <c r="S1713">
        <v>0.23108318245992746</v>
      </c>
      <c r="T1713">
        <v>1.3511574091663925</v>
      </c>
      <c r="U1713">
        <v>0.14122661059393093</v>
      </c>
      <c r="V1713">
        <v>0.18780472209984558</v>
      </c>
      <c r="W1713">
        <v>9.314664282874946E-2</v>
      </c>
      <c r="X1713">
        <v>1.550259848397046E-2</v>
      </c>
      <c r="Y1713">
        <v>4.1171500333799117E-3</v>
      </c>
    </row>
    <row r="1714" spans="1:25" x14ac:dyDescent="0.25">
      <c r="A1714" s="1096"/>
      <c r="B1714" s="1455">
        <v>1464</v>
      </c>
      <c r="C1714" s="1100">
        <v>1.0420658570980699</v>
      </c>
      <c r="D1714" s="1100">
        <v>0.95592118863590081</v>
      </c>
      <c r="E1714" s="1100">
        <v>0.97292658869304482</v>
      </c>
      <c r="F1714" s="1100">
        <v>1.0460375307327541</v>
      </c>
      <c r="G1714" s="1100">
        <v>1.0388367036239392</v>
      </c>
      <c r="H1714" s="1100">
        <v>1.0369323022072015</v>
      </c>
      <c r="I1714" s="1100">
        <v>1.0447407902719106</v>
      </c>
      <c r="K1714">
        <v>2.2793321110354872</v>
      </c>
      <c r="L1714">
        <v>0</v>
      </c>
      <c r="M1714">
        <v>1.6439870683066546E-3</v>
      </c>
      <c r="N1714">
        <v>0.13780547257363238</v>
      </c>
      <c r="O1714">
        <v>1.9127422497229565E-2</v>
      </c>
      <c r="P1714">
        <v>2.6466097343188732E-2</v>
      </c>
      <c r="Q1714">
        <v>5.1899484822350277E-3</v>
      </c>
      <c r="R1714">
        <v>1.6217036419315398E-3</v>
      </c>
      <c r="S1714">
        <v>0.25045421492679282</v>
      </c>
      <c r="T1714">
        <v>1.4056951180445412</v>
      </c>
      <c r="U1714">
        <v>0.13694943377276186</v>
      </c>
      <c r="V1714">
        <v>0.18669967768854365</v>
      </c>
      <c r="W1714">
        <v>9.2013269665751518E-2</v>
      </c>
      <c r="X1714">
        <v>1.4539996748307048E-2</v>
      </c>
      <c r="Y1714">
        <v>4.4137427188757645E-3</v>
      </c>
    </row>
    <row r="1715" spans="1:25" x14ac:dyDescent="0.25">
      <c r="A1715" s="1096"/>
      <c r="B1715" s="1455">
        <v>1465</v>
      </c>
      <c r="C1715" s="1100">
        <v>1.0291748525351079</v>
      </c>
      <c r="D1715" s="1100">
        <v>1.0252687586678511</v>
      </c>
      <c r="E1715" s="1100">
        <v>1.0196845638887311</v>
      </c>
      <c r="F1715" s="1100">
        <v>1.0019931662413399</v>
      </c>
      <c r="G1715" s="1100">
        <v>0.99438746994798044</v>
      </c>
      <c r="H1715" s="1100">
        <v>0.99945106393356942</v>
      </c>
      <c r="I1715" s="1100">
        <v>1.0073354584797869</v>
      </c>
      <c r="K1715">
        <v>2.200018480701607</v>
      </c>
      <c r="L1715">
        <v>0</v>
      </c>
      <c r="M1715">
        <v>1.4339257967903708E-3</v>
      </c>
      <c r="N1715">
        <v>0.13836894022177881</v>
      </c>
      <c r="O1715">
        <v>1.9099099836425593E-2</v>
      </c>
      <c r="P1715">
        <v>2.6322307098387461E-2</v>
      </c>
      <c r="Q1715">
        <v>5.4321787079308096E-3</v>
      </c>
      <c r="R1715">
        <v>1.4137607552884056E-3</v>
      </c>
      <c r="S1715">
        <v>0.23357792229991969</v>
      </c>
      <c r="T1715">
        <v>1.3465777966414592</v>
      </c>
      <c r="U1715">
        <v>0.13876933920325235</v>
      </c>
      <c r="V1715">
        <v>0.18242733662159805</v>
      </c>
      <c r="W1715">
        <v>8.9849833194258835E-2</v>
      </c>
      <c r="X1715">
        <v>1.5766101188308831E-2</v>
      </c>
      <c r="Y1715">
        <v>3.847790729787312E-3</v>
      </c>
    </row>
    <row r="1716" spans="1:25" x14ac:dyDescent="0.25">
      <c r="A1716" s="1096"/>
      <c r="B1716" s="1455">
        <v>1466</v>
      </c>
      <c r="C1716" s="1100">
        <v>1.0369108418357129</v>
      </c>
      <c r="D1716" s="1100">
        <v>1.0095348469172885</v>
      </c>
      <c r="E1716" s="1100">
        <v>1.0008544785839577</v>
      </c>
      <c r="F1716" s="1100">
        <v>1.0150486027852423</v>
      </c>
      <c r="G1716" s="1100">
        <v>1.0102192317938286</v>
      </c>
      <c r="H1716" s="1100">
        <v>0.98475671465285719</v>
      </c>
      <c r="I1716" s="1100">
        <v>1.000351564496706</v>
      </c>
      <c r="K1716">
        <v>2.2067348992197866</v>
      </c>
      <c r="L1716">
        <v>0</v>
      </c>
      <c r="M1716">
        <v>1.4632196727871515E-3</v>
      </c>
      <c r="N1716">
        <v>0.13336465368222836</v>
      </c>
      <c r="O1716">
        <v>1.9009877034029645E-2</v>
      </c>
      <c r="P1716">
        <v>2.6162461848180968E-2</v>
      </c>
      <c r="Q1716">
        <v>5.3059941936359403E-3</v>
      </c>
      <c r="R1716">
        <v>1.442335630800953E-3</v>
      </c>
      <c r="S1716">
        <v>0.23073064355925663</v>
      </c>
      <c r="T1716">
        <v>1.3640883173801206</v>
      </c>
      <c r="U1716">
        <v>0.13769215928279735</v>
      </c>
      <c r="V1716">
        <v>0.18377044180026217</v>
      </c>
      <c r="W1716">
        <v>8.7567043782971518E-2</v>
      </c>
      <c r="X1716">
        <v>1.5138628577060002E-2</v>
      </c>
      <c r="Y1716">
        <v>3.9255621212272848E-3</v>
      </c>
    </row>
    <row r="1717" spans="1:25" x14ac:dyDescent="0.25">
      <c r="A1717" s="1096"/>
      <c r="B1717" s="1455">
        <v>1467</v>
      </c>
      <c r="C1717" s="1100">
        <v>0.9997467972317009</v>
      </c>
      <c r="D1717" s="1100">
        <v>0.9996959684579142</v>
      </c>
      <c r="E1717" s="1100">
        <v>0.97453246711568087</v>
      </c>
      <c r="F1717" s="1100">
        <v>0.99694063602354177</v>
      </c>
      <c r="G1717" s="1100">
        <v>1.017379697181765</v>
      </c>
      <c r="H1717" s="1100">
        <v>0.99813368855754914</v>
      </c>
      <c r="I1717" s="1100">
        <v>0.97076077470289857</v>
      </c>
      <c r="K1717">
        <v>2.201164096704304</v>
      </c>
      <c r="L1717">
        <v>0</v>
      </c>
      <c r="M1717">
        <v>1.62788263764764E-3</v>
      </c>
      <c r="N1717">
        <v>0.13704723383970102</v>
      </c>
      <c r="O1717">
        <v>1.9742651947200471E-2</v>
      </c>
      <c r="P1717">
        <v>2.5475609439918404E-2</v>
      </c>
      <c r="Q1717">
        <v>5.3656634040902141E-3</v>
      </c>
      <c r="R1717">
        <v>1.604959801286271E-3</v>
      </c>
      <c r="S1717">
        <v>0.23421400796924932</v>
      </c>
      <c r="T1717">
        <v>1.3397189345079237</v>
      </c>
      <c r="U1717">
        <v>0.14275015532516858</v>
      </c>
      <c r="V1717">
        <v>0.18668417203270501</v>
      </c>
      <c r="W1717">
        <v>9.1417860349179675E-2</v>
      </c>
      <c r="X1717">
        <v>1.4402559221282259E-2</v>
      </c>
      <c r="Y1717">
        <v>4.3681715042449285E-3</v>
      </c>
    </row>
    <row r="1718" spans="1:25" x14ac:dyDescent="0.25">
      <c r="A1718" s="1096"/>
      <c r="B1718" s="1455">
        <v>1468</v>
      </c>
      <c r="C1718" s="1100">
        <v>0.98910186207462325</v>
      </c>
      <c r="D1718" s="1100">
        <v>1.0055608895703712</v>
      </c>
      <c r="E1718" s="1100">
        <v>1.0200818407443781</v>
      </c>
      <c r="F1718" s="1100">
        <v>1.0041827479763117</v>
      </c>
      <c r="G1718" s="1100">
        <v>1.0414701605087651</v>
      </c>
      <c r="H1718" s="1100">
        <v>0.9578245531215176</v>
      </c>
      <c r="I1718" s="1100">
        <v>0.99909790405946153</v>
      </c>
      <c r="K1718">
        <v>2.224727791909189</v>
      </c>
      <c r="L1718">
        <v>0</v>
      </c>
      <c r="M1718">
        <v>1.4348111115323645E-3</v>
      </c>
      <c r="N1718">
        <v>0.13853448036494759</v>
      </c>
      <c r="O1718">
        <v>1.9958181696096436E-2</v>
      </c>
      <c r="P1718">
        <v>2.6643965912139168E-2</v>
      </c>
      <c r="Q1718">
        <v>5.6787618736877932E-3</v>
      </c>
      <c r="R1718">
        <v>1.4137567176916845E-3</v>
      </c>
      <c r="S1718">
        <v>0.24002478712913863</v>
      </c>
      <c r="T1718">
        <v>1.3495211797513413</v>
      </c>
      <c r="U1718">
        <v>0.14439244037635571</v>
      </c>
      <c r="V1718">
        <v>0.19008559272020403</v>
      </c>
      <c r="W1718">
        <v>8.9936418545031399E-2</v>
      </c>
      <c r="X1718">
        <v>1.6125258193306062E-2</v>
      </c>
      <c r="Y1718">
        <v>3.847779740780031E-3</v>
      </c>
    </row>
    <row r="1719" spans="1:25" x14ac:dyDescent="0.25">
      <c r="A1719" s="1096"/>
      <c r="B1719" s="1455">
        <v>1469</v>
      </c>
      <c r="C1719" s="1100">
        <v>1.0212630274288435</v>
      </c>
      <c r="D1719" s="1100">
        <v>0.96698204808565014</v>
      </c>
      <c r="E1719" s="1100">
        <v>1.017882732063508</v>
      </c>
      <c r="F1719" s="1100">
        <v>0.9778959213100421</v>
      </c>
      <c r="G1719" s="1100">
        <v>1.0291402278280835</v>
      </c>
      <c r="H1719" s="1100">
        <v>0.98251152169940992</v>
      </c>
      <c r="I1719" s="1100">
        <v>0.95979740402866598</v>
      </c>
      <c r="K1719">
        <v>2.1695459008937146</v>
      </c>
      <c r="L1719">
        <v>0</v>
      </c>
      <c r="M1719">
        <v>1.4443567436244525E-3</v>
      </c>
      <c r="N1719">
        <v>0.13858578168610541</v>
      </c>
      <c r="O1719">
        <v>1.9495388759360389E-2</v>
      </c>
      <c r="P1719">
        <v>2.5860494040340777E-2</v>
      </c>
      <c r="Q1719">
        <v>5.5349612616137564E-3</v>
      </c>
      <c r="R1719">
        <v>1.4236948177860384E-3</v>
      </c>
      <c r="S1719">
        <v>0.22963091888851814</v>
      </c>
      <c r="T1719">
        <v>1.3141900103920598</v>
      </c>
      <c r="U1719">
        <v>0.13984032523409501</v>
      </c>
      <c r="V1719">
        <v>0.18680058389848131</v>
      </c>
      <c r="W1719">
        <v>9.0085645230976522E-2</v>
      </c>
      <c r="X1719">
        <v>1.5667625454857934E-2</v>
      </c>
      <c r="Y1719">
        <v>3.8748279731430453E-3</v>
      </c>
    </row>
    <row r="1720" spans="1:25" x14ac:dyDescent="0.25">
      <c r="A1720" s="1096"/>
      <c r="B1720" s="1455">
        <v>1470</v>
      </c>
      <c r="C1720" s="1100">
        <v>0.99895636817693556</v>
      </c>
      <c r="D1720" s="1100">
        <v>1.0259097582208543</v>
      </c>
      <c r="E1720" s="1100">
        <v>1.0031415509851174</v>
      </c>
      <c r="F1720" s="1100">
        <v>0.98958702751818561</v>
      </c>
      <c r="G1720" s="1100">
        <v>0.98808340972968178</v>
      </c>
      <c r="H1720" s="1100">
        <v>0.98181802965022358</v>
      </c>
      <c r="I1720" s="1100">
        <v>0.97432035771328562</v>
      </c>
      <c r="K1720">
        <v>2.1859073829402318</v>
      </c>
      <c r="L1720">
        <v>0</v>
      </c>
      <c r="M1720">
        <v>1.501786457117942E-3</v>
      </c>
      <c r="N1720">
        <v>0.13782277582849037</v>
      </c>
      <c r="O1720">
        <v>1.9663838438626575E-2</v>
      </c>
      <c r="P1720">
        <v>2.5812657226105647E-2</v>
      </c>
      <c r="Q1720">
        <v>5.5011446448671123E-3</v>
      </c>
      <c r="R1720">
        <v>1.4802878086981859E-3</v>
      </c>
      <c r="S1720">
        <v>0.23119212609836376</v>
      </c>
      <c r="T1720">
        <v>1.3298750982492207</v>
      </c>
      <c r="U1720">
        <v>0.1429289251799705</v>
      </c>
      <c r="V1720">
        <v>0.18344408795849687</v>
      </c>
      <c r="W1720">
        <v>9.0371507855748864E-2</v>
      </c>
      <c r="X1720">
        <v>1.5287864670229325E-2</v>
      </c>
      <c r="Y1720">
        <v>4.028855438531472E-3</v>
      </c>
    </row>
    <row r="1721" spans="1:25" x14ac:dyDescent="0.25">
      <c r="A1721" s="1096"/>
      <c r="B1721" s="1455">
        <v>1471</v>
      </c>
      <c r="C1721" s="1100">
        <v>1.0082036380278683</v>
      </c>
      <c r="D1721" s="1100">
        <v>0.96923859253213729</v>
      </c>
      <c r="E1721" s="1100">
        <v>1.0089084502004082</v>
      </c>
      <c r="F1721" s="1100">
        <v>1.0111064288039784</v>
      </c>
      <c r="G1721" s="1100">
        <v>0.97778485854422015</v>
      </c>
      <c r="H1721" s="1100">
        <v>1.0269416906627342</v>
      </c>
      <c r="I1721" s="1100">
        <v>1.0256204450281927</v>
      </c>
      <c r="K1721">
        <v>2.2464167264288029</v>
      </c>
      <c r="L1721">
        <v>0</v>
      </c>
      <c r="M1721">
        <v>1.55722182384881E-3</v>
      </c>
      <c r="N1721">
        <v>0.14551364945870213</v>
      </c>
      <c r="O1721">
        <v>1.9732180734904341E-2</v>
      </c>
      <c r="P1721">
        <v>2.6563060242075144E-2</v>
      </c>
      <c r="Q1721">
        <v>5.5522496205148587E-3</v>
      </c>
      <c r="R1721">
        <v>1.535909113964748E-3</v>
      </c>
      <c r="S1721">
        <v>0.25184273471972957</v>
      </c>
      <c r="T1721">
        <v>1.3588043936903704</v>
      </c>
      <c r="U1721">
        <v>0.14163115890365147</v>
      </c>
      <c r="V1721">
        <v>0.18174039032286454</v>
      </c>
      <c r="W1721">
        <v>9.5089545103861028E-2</v>
      </c>
      <c r="X1721">
        <v>1.5788438046104865E-2</v>
      </c>
      <c r="Y1721">
        <v>4.1802382959086996E-3</v>
      </c>
    </row>
    <row r="1722" spans="1:25" x14ac:dyDescent="0.25">
      <c r="A1722" s="1096"/>
      <c r="B1722" s="1455">
        <v>1472</v>
      </c>
      <c r="C1722" s="1100">
        <v>1.0110639596217652</v>
      </c>
      <c r="D1722" s="1100">
        <v>1.0026847697862598</v>
      </c>
      <c r="E1722" s="1100">
        <v>0.96293169481471053</v>
      </c>
      <c r="F1722" s="1100">
        <v>0.99785436152363083</v>
      </c>
      <c r="G1722" s="1100">
        <v>1.0070731863792317</v>
      </c>
      <c r="H1722" s="1100">
        <v>0.99990657262839788</v>
      </c>
      <c r="I1722" s="1100">
        <v>0.99607741616100443</v>
      </c>
      <c r="K1722">
        <v>2.1968748203770621</v>
      </c>
      <c r="L1722">
        <v>0</v>
      </c>
      <c r="M1722">
        <v>1.6505127832586145E-3</v>
      </c>
      <c r="N1722">
        <v>0.13415927205769454</v>
      </c>
      <c r="O1722">
        <v>1.950172275001958E-2</v>
      </c>
      <c r="P1722">
        <v>2.5261508737096709E-2</v>
      </c>
      <c r="Q1722">
        <v>5.2376669513325242E-3</v>
      </c>
      <c r="R1722">
        <v>1.6273124915200895E-3</v>
      </c>
      <c r="S1722">
        <v>0.23733163347080485</v>
      </c>
      <c r="T1722">
        <v>1.3409363534155894</v>
      </c>
      <c r="U1722">
        <v>0.1411260254853913</v>
      </c>
      <c r="V1722">
        <v>0.18484572507059657</v>
      </c>
      <c r="W1722">
        <v>9.0126179394508954E-2</v>
      </c>
      <c r="X1722">
        <v>1.3942925177265831E-2</v>
      </c>
      <c r="Y1722">
        <v>4.4290081584990254E-3</v>
      </c>
    </row>
    <row r="1723" spans="1:25" x14ac:dyDescent="0.25">
      <c r="A1723" s="1096"/>
      <c r="B1723" s="1455">
        <v>1473</v>
      </c>
      <c r="C1723" s="1100">
        <v>1.0329840589643999</v>
      </c>
      <c r="D1723" s="1100">
        <v>1.0162546772821526</v>
      </c>
      <c r="E1723" s="1100">
        <v>0.99675441597187397</v>
      </c>
      <c r="F1723" s="1100">
        <v>1.0166086561756125</v>
      </c>
      <c r="G1723" s="1100">
        <v>0.96415634450423604</v>
      </c>
      <c r="H1723" s="1100">
        <v>1.0013503365280985</v>
      </c>
      <c r="I1723" s="1100">
        <v>1.0316887243352357</v>
      </c>
      <c r="K1723">
        <v>2.2166930881034164</v>
      </c>
      <c r="L1723">
        <v>0</v>
      </c>
      <c r="M1723">
        <v>1.5040886938860801E-3</v>
      </c>
      <c r="N1723">
        <v>0.13543430890244967</v>
      </c>
      <c r="O1723">
        <v>1.905183997961811E-2</v>
      </c>
      <c r="P1723">
        <v>2.6167596566971804E-2</v>
      </c>
      <c r="Q1723">
        <v>5.2958215869554903E-3</v>
      </c>
      <c r="R1723">
        <v>1.4829770828632268E-3</v>
      </c>
      <c r="S1723">
        <v>0.23936689473903092</v>
      </c>
      <c r="T1723">
        <v>1.3661782908236724</v>
      </c>
      <c r="U1723">
        <v>0.13820644538255195</v>
      </c>
      <c r="V1723">
        <v>0.17877766051188232</v>
      </c>
      <c r="W1723">
        <v>8.9143145510517552E-2</v>
      </c>
      <c r="X1723">
        <v>1.505602095449725E-2</v>
      </c>
      <c r="Y1723">
        <v>4.0361747562897218E-3</v>
      </c>
    </row>
    <row r="1724" spans="1:25" x14ac:dyDescent="0.25">
      <c r="A1724" s="1096"/>
      <c r="B1724" s="1455">
        <v>1474</v>
      </c>
      <c r="C1724" s="1100">
        <v>1.03043752314055</v>
      </c>
      <c r="D1724" s="1100">
        <v>0.99411674585893139</v>
      </c>
      <c r="E1724" s="1100">
        <v>0.99379683294409527</v>
      </c>
      <c r="F1724" s="1100">
        <v>0.99356359500816827</v>
      </c>
      <c r="G1724" s="1100">
        <v>1.0364601962849258</v>
      </c>
      <c r="H1724" s="1100">
        <v>0.98481770939821456</v>
      </c>
      <c r="I1724" s="1100">
        <v>0.95997696163077861</v>
      </c>
      <c r="K1724">
        <v>2.1762122044656156</v>
      </c>
      <c r="L1724">
        <v>0</v>
      </c>
      <c r="M1724">
        <v>1.499277238849839E-3</v>
      </c>
      <c r="N1724">
        <v>0.1337677464996298</v>
      </c>
      <c r="O1724">
        <v>1.9189895909847817E-2</v>
      </c>
      <c r="P1724">
        <v>2.5604359559092453E-2</v>
      </c>
      <c r="Q1724">
        <v>5.3183209454420515E-3</v>
      </c>
      <c r="R1724">
        <v>1.4778798846858687E-3</v>
      </c>
      <c r="S1724">
        <v>0.22448444636742224</v>
      </c>
      <c r="T1724">
        <v>1.3352046106724964</v>
      </c>
      <c r="U1724">
        <v>0.1385413938243186</v>
      </c>
      <c r="V1724">
        <v>0.18709012791030794</v>
      </c>
      <c r="W1724">
        <v>8.8201696304299693E-2</v>
      </c>
      <c r="X1724">
        <v>1.4808701963778075E-2</v>
      </c>
      <c r="Y1724">
        <v>4.0223018631418816E-3</v>
      </c>
    </row>
    <row r="1725" spans="1:25" x14ac:dyDescent="0.25">
      <c r="A1725" s="1096"/>
      <c r="B1725" s="1455">
        <v>1475</v>
      </c>
      <c r="C1725" s="1100">
        <v>0.9781180813802054</v>
      </c>
      <c r="D1725" s="1100">
        <v>1.0474293805081978</v>
      </c>
      <c r="E1725" s="1100">
        <v>0.97951070019034958</v>
      </c>
      <c r="F1725" s="1100">
        <v>0.99104377602650362</v>
      </c>
      <c r="G1725" s="1100">
        <v>0.98636631429636235</v>
      </c>
      <c r="H1725" s="1100">
        <v>1.0147031495647576</v>
      </c>
      <c r="I1725" s="1100">
        <v>0.97708807400542108</v>
      </c>
      <c r="K1725">
        <v>2.2048736126791733</v>
      </c>
      <c r="L1725">
        <v>0</v>
      </c>
      <c r="M1725">
        <v>1.6570940619991918E-3</v>
      </c>
      <c r="N1725">
        <v>0.14165717899113109</v>
      </c>
      <c r="O1725">
        <v>1.9976338834566655E-2</v>
      </c>
      <c r="P1725">
        <v>2.55137707580106E-2</v>
      </c>
      <c r="Q1725">
        <v>5.4567612307507623E-3</v>
      </c>
      <c r="R1725">
        <v>1.6341409207332512E-3</v>
      </c>
      <c r="S1725">
        <v>0.23679337048812829</v>
      </c>
      <c r="T1725">
        <v>1.3317999268384102</v>
      </c>
      <c r="U1725">
        <v>0.14591840421640812</v>
      </c>
      <c r="V1725">
        <v>0.18449421746852732</v>
      </c>
      <c r="W1725">
        <v>9.420865462584696E-2</v>
      </c>
      <c r="X1725">
        <v>1.4630349476834548E-2</v>
      </c>
      <c r="Y1725">
        <v>4.4475928918261669E-3</v>
      </c>
    </row>
    <row r="1726" spans="1:25" x14ac:dyDescent="0.25">
      <c r="A1726" s="1096"/>
      <c r="B1726" s="1455">
        <v>1476</v>
      </c>
      <c r="C1726" s="1100">
        <v>1.0005922683918234</v>
      </c>
      <c r="D1726" s="1100">
        <v>1.0150354990596371</v>
      </c>
      <c r="E1726" s="1100">
        <v>0.991888610335107</v>
      </c>
      <c r="F1726" s="1100">
        <v>0.97022013285819231</v>
      </c>
      <c r="G1726" s="1100">
        <v>0.98366069591914784</v>
      </c>
      <c r="H1726" s="1100">
        <v>0.99274001194141726</v>
      </c>
      <c r="I1726" s="1100">
        <v>0.97505553667228628</v>
      </c>
      <c r="K1726">
        <v>2.1607211200091379</v>
      </c>
      <c r="L1726">
        <v>0</v>
      </c>
      <c r="M1726">
        <v>1.5554412938196323E-3</v>
      </c>
      <c r="N1726">
        <v>0.13799653223715821</v>
      </c>
      <c r="O1726">
        <v>1.967076775607934E-2</v>
      </c>
      <c r="P1726">
        <v>2.5255918641571101E-2</v>
      </c>
      <c r="Q1726">
        <v>5.4411024302856454E-3</v>
      </c>
      <c r="R1726">
        <v>1.5334195312954795E-3</v>
      </c>
      <c r="S1726">
        <v>0.23298404905387518</v>
      </c>
      <c r="T1726">
        <v>1.3038317419660479</v>
      </c>
      <c r="U1726">
        <v>0.14266936378909439</v>
      </c>
      <c r="V1726">
        <v>0.18283717583625866</v>
      </c>
      <c r="W1726">
        <v>9.1093847364975153E-2</v>
      </c>
      <c r="X1726">
        <v>1.4789180223741129E-2</v>
      </c>
      <c r="Y1726">
        <v>4.1734624725736592E-3</v>
      </c>
    </row>
    <row r="1727" spans="1:25" x14ac:dyDescent="0.25">
      <c r="A1727" s="1096"/>
      <c r="B1727" s="1455">
        <v>1477</v>
      </c>
      <c r="C1727" s="1100">
        <v>0.98965924279721607</v>
      </c>
      <c r="D1727" s="1100">
        <v>0.98772403848920087</v>
      </c>
      <c r="E1727" s="1100">
        <v>0.97187857815761669</v>
      </c>
      <c r="F1727" s="1100">
        <v>1.0307152377011606</v>
      </c>
      <c r="G1727" s="1100">
        <v>0.98934600651913307</v>
      </c>
      <c r="H1727" s="1100">
        <v>1.007131432709595</v>
      </c>
      <c r="I1727" s="1100">
        <v>1.0018284588370159</v>
      </c>
      <c r="K1727">
        <v>2.2635588407056035</v>
      </c>
      <c r="L1727">
        <v>0</v>
      </c>
      <c r="M1727">
        <v>1.6728486222377199E-3</v>
      </c>
      <c r="N1727">
        <v>0.13972374315032696</v>
      </c>
      <c r="O1727">
        <v>1.9995147515317425E-2</v>
      </c>
      <c r="P1727">
        <v>2.6177527492468575E-2</v>
      </c>
      <c r="Q1727">
        <v>5.4195925622724543E-3</v>
      </c>
      <c r="R1727">
        <v>1.6495030529209427E-3</v>
      </c>
      <c r="S1727">
        <v>0.24635847302217781</v>
      </c>
      <c r="T1727">
        <v>1.3851035174632</v>
      </c>
      <c r="U1727">
        <v>0.1441990544467377</v>
      </c>
      <c r="V1727">
        <v>0.18411748636927072</v>
      </c>
      <c r="W1727">
        <v>9.3353520188019443E-2</v>
      </c>
      <c r="X1727">
        <v>1.4644720513613702E-2</v>
      </c>
      <c r="Y1727">
        <v>4.4894035515155488E-3</v>
      </c>
    </row>
    <row r="1728" spans="1:25" x14ac:dyDescent="0.25">
      <c r="A1728" s="1096"/>
      <c r="B1728" s="1455">
        <v>1478</v>
      </c>
      <c r="C1728" s="1100">
        <v>1.0285965464271818</v>
      </c>
      <c r="D1728" s="1100">
        <v>0.97970931963773389</v>
      </c>
      <c r="E1728" s="1100">
        <v>0.96917268764167053</v>
      </c>
      <c r="F1728" s="1100">
        <v>0.99381604678239421</v>
      </c>
      <c r="G1728" s="1100">
        <v>1.0350892015760478</v>
      </c>
      <c r="H1728" s="1100">
        <v>1.0480394978559342</v>
      </c>
      <c r="I1728" s="1100">
        <v>0.96442695889062502</v>
      </c>
      <c r="K1728">
        <v>2.1951827786839746</v>
      </c>
      <c r="L1728">
        <v>0</v>
      </c>
      <c r="M1728">
        <v>1.6873045469290775E-3</v>
      </c>
      <c r="N1728">
        <v>0.13985848045138191</v>
      </c>
      <c r="O1728">
        <v>1.9271106841846752E-2</v>
      </c>
      <c r="P1728">
        <v>2.5239143542505654E-2</v>
      </c>
      <c r="Q1728">
        <v>5.2089230281067711E-3</v>
      </c>
      <c r="R1728">
        <v>1.6646763576228711E-3</v>
      </c>
      <c r="S1728">
        <v>0.23218017137211694</v>
      </c>
      <c r="T1728">
        <v>1.3355148282664899</v>
      </c>
      <c r="U1728">
        <v>0.13873440230715595</v>
      </c>
      <c r="V1728">
        <v>0.18701822548070698</v>
      </c>
      <c r="W1728">
        <v>9.3597496312703879E-2</v>
      </c>
      <c r="X1728">
        <v>1.4051928985227492E-2</v>
      </c>
      <c r="Y1728">
        <v>4.5307002850356473E-3</v>
      </c>
    </row>
    <row r="1729" spans="1:25" x14ac:dyDescent="0.25">
      <c r="A1729" s="1096"/>
      <c r="B1729" s="1455">
        <v>1479</v>
      </c>
      <c r="C1729" s="1100">
        <v>1.0119306006139139</v>
      </c>
      <c r="D1729" s="1100">
        <v>0.99090025547536453</v>
      </c>
      <c r="E1729" s="1100">
        <v>1.0049223121876252</v>
      </c>
      <c r="F1729" s="1100">
        <v>0.97636103588067924</v>
      </c>
      <c r="G1729" s="1100">
        <v>0.99126239877136413</v>
      </c>
      <c r="H1729" s="1100">
        <v>1.0350272488801315</v>
      </c>
      <c r="I1729" s="1100">
        <v>1.0031646866469088</v>
      </c>
      <c r="K1729">
        <v>2.1896834568135595</v>
      </c>
      <c r="L1729">
        <v>0</v>
      </c>
      <c r="M1729">
        <v>1.5690506596570126E-3</v>
      </c>
      <c r="N1729">
        <v>0.14488043694957314</v>
      </c>
      <c r="O1729">
        <v>1.9561672651673086E-2</v>
      </c>
      <c r="P1729">
        <v>2.5739405339506385E-2</v>
      </c>
      <c r="Q1729">
        <v>5.4823455115292196E-3</v>
      </c>
      <c r="R1729">
        <v>1.5477438140361508E-3</v>
      </c>
      <c r="S1729">
        <v>0.24334360828436982</v>
      </c>
      <c r="T1729">
        <v>1.3121040212372168</v>
      </c>
      <c r="U1729">
        <v>0.14110044935060082</v>
      </c>
      <c r="V1729">
        <v>0.18304354573269332</v>
      </c>
      <c r="W1729">
        <v>9.4899099555157199E-2</v>
      </c>
      <c r="X1729">
        <v>1.5337730598665748E-2</v>
      </c>
      <c r="Y1729">
        <v>4.2124484481952272E-3</v>
      </c>
    </row>
    <row r="1730" spans="1:25" x14ac:dyDescent="0.25">
      <c r="A1730" s="1096"/>
      <c r="B1730" s="1455">
        <v>1480</v>
      </c>
      <c r="C1730" s="1100">
        <v>0.99298780278948895</v>
      </c>
      <c r="D1730" s="1100">
        <v>0.98397886469186291</v>
      </c>
      <c r="E1730" s="1100">
        <v>0.97887708053396605</v>
      </c>
      <c r="F1730" s="1100">
        <v>0.99495743186396124</v>
      </c>
      <c r="G1730" s="1100">
        <v>0.98203329044387222</v>
      </c>
      <c r="H1730" s="1100">
        <v>0.97554005419995615</v>
      </c>
      <c r="I1730" s="1100">
        <v>0.99425275211906861</v>
      </c>
      <c r="K1730">
        <v>2.2016129721751074</v>
      </c>
      <c r="L1730">
        <v>0</v>
      </c>
      <c r="M1730">
        <v>1.5930893793566214E-3</v>
      </c>
      <c r="N1730">
        <v>0.13584822531248225</v>
      </c>
      <c r="O1730">
        <v>1.9949185373797116E-2</v>
      </c>
      <c r="P1730">
        <v>2.5589203979616063E-2</v>
      </c>
      <c r="Q1730">
        <v>5.4458340838846771E-3</v>
      </c>
      <c r="R1730">
        <v>1.5701369312773159E-3</v>
      </c>
      <c r="S1730">
        <v>0.24165088118157663</v>
      </c>
      <c r="T1730">
        <v>1.3370585204033494</v>
      </c>
      <c r="U1730">
        <v>0.14373185174976225</v>
      </c>
      <c r="V1730">
        <v>0.18309592588420551</v>
      </c>
      <c r="W1730">
        <v>9.0380022895129392E-2</v>
      </c>
      <c r="X1730">
        <v>1.4612878627944807E-2</v>
      </c>
      <c r="Y1730">
        <v>4.2733951314365658E-3</v>
      </c>
    </row>
    <row r="1731" spans="1:25" x14ac:dyDescent="0.25">
      <c r="A1731" s="1096"/>
      <c r="B1731" s="1455">
        <v>1481</v>
      </c>
      <c r="C1731" s="1100">
        <v>0.97303546898601478</v>
      </c>
      <c r="D1731" s="1100">
        <v>0.99995382599194682</v>
      </c>
      <c r="E1731" s="1100">
        <v>0.97935669249459933</v>
      </c>
      <c r="F1731" s="1100">
        <v>1.036658591118744</v>
      </c>
      <c r="G1731" s="1100">
        <v>1.0139611495431198</v>
      </c>
      <c r="H1731" s="1100">
        <v>1.0149225791741414</v>
      </c>
      <c r="I1731" s="1100">
        <v>1.0035824283050161</v>
      </c>
      <c r="K1731">
        <v>2.289412525231628</v>
      </c>
      <c r="L1731">
        <v>0</v>
      </c>
      <c r="M1731">
        <v>1.6837353533324315E-3</v>
      </c>
      <c r="N1731">
        <v>0.14386799751073856</v>
      </c>
      <c r="O1731">
        <v>2.0286552967762356E-2</v>
      </c>
      <c r="P1731">
        <v>2.6570363880948612E-2</v>
      </c>
      <c r="Q1731">
        <v>5.540632070467841E-3</v>
      </c>
      <c r="R1731">
        <v>1.6604182341094773E-3</v>
      </c>
      <c r="S1731">
        <v>0.25017231940154344</v>
      </c>
      <c r="T1731">
        <v>1.3930985578323505</v>
      </c>
      <c r="U1731">
        <v>0.1466802400504727</v>
      </c>
      <c r="V1731">
        <v>0.18793016621430586</v>
      </c>
      <c r="W1731">
        <v>9.5687854348371279E-2</v>
      </c>
      <c r="X1731">
        <v>1.5082046997366977E-2</v>
      </c>
      <c r="Y1731">
        <v>4.5191110765222279E-3</v>
      </c>
    </row>
    <row r="1732" spans="1:25" x14ac:dyDescent="0.25">
      <c r="A1732" s="1096"/>
      <c r="B1732" s="1455">
        <v>1482</v>
      </c>
      <c r="C1732" s="1100">
        <v>1.0168970356601998</v>
      </c>
      <c r="D1732" s="1100">
        <v>0.99349537753171258</v>
      </c>
      <c r="E1732" s="1100">
        <v>0.98582194457172689</v>
      </c>
      <c r="F1732" s="1100">
        <v>1.0005679071279059</v>
      </c>
      <c r="G1732" s="1100">
        <v>1.0178552688018665</v>
      </c>
      <c r="H1732" s="1100">
        <v>1.0196975375081585</v>
      </c>
      <c r="I1732" s="1100">
        <v>0.99455372567103306</v>
      </c>
      <c r="K1732">
        <v>2.2104332435761234</v>
      </c>
      <c r="L1732">
        <v>0</v>
      </c>
      <c r="M1732">
        <v>1.59946487580819E-3</v>
      </c>
      <c r="N1732">
        <v>0.13937585174442174</v>
      </c>
      <c r="O1732">
        <v>1.9443195817693614E-2</v>
      </c>
      <c r="P1732">
        <v>2.5772771780479511E-2</v>
      </c>
      <c r="Q1732">
        <v>5.3452554244645461E-3</v>
      </c>
      <c r="R1732">
        <v>1.5774184945390401E-3</v>
      </c>
      <c r="S1732">
        <v>0.23841762072164996</v>
      </c>
      <c r="T1732">
        <v>1.3446064540940985</v>
      </c>
      <c r="U1732">
        <v>0.14036811466413893</v>
      </c>
      <c r="V1732">
        <v>0.18574687924990943</v>
      </c>
      <c r="W1732">
        <v>9.2339643949692796E-2</v>
      </c>
      <c r="X1732">
        <v>1.4746289364574977E-2</v>
      </c>
      <c r="Y1732">
        <v>4.2932131462682949E-3</v>
      </c>
    </row>
    <row r="1733" spans="1:25" x14ac:dyDescent="0.25">
      <c r="A1733" s="1096"/>
      <c r="B1733" s="1455">
        <v>1483</v>
      </c>
      <c r="C1733" s="1100">
        <v>1.0073653385752297</v>
      </c>
      <c r="D1733" s="1100">
        <v>0.99551959641833687</v>
      </c>
      <c r="E1733" s="1100">
        <v>0.9844008108505381</v>
      </c>
      <c r="F1733" s="1100">
        <v>1.0198166610000783</v>
      </c>
      <c r="G1733" s="1100">
        <v>0.95910422663885286</v>
      </c>
      <c r="H1733" s="1100">
        <v>0.9995965106063347</v>
      </c>
      <c r="I1733" s="1100">
        <v>0.99655164773659055</v>
      </c>
      <c r="K1733">
        <v>2.2301456002995761</v>
      </c>
      <c r="L1733">
        <v>0</v>
      </c>
      <c r="M1733">
        <v>1.5867219520562539E-3</v>
      </c>
      <c r="N1733">
        <v>0.13763372833424609</v>
      </c>
      <c r="O1733">
        <v>1.961750059184332E-2</v>
      </c>
      <c r="P1733">
        <v>2.6041632079658875E-2</v>
      </c>
      <c r="Q1733">
        <v>5.3854122816772761E-3</v>
      </c>
      <c r="R1733">
        <v>1.5644114123818942E-3</v>
      </c>
      <c r="S1733">
        <v>0.23930778664556707</v>
      </c>
      <c r="T1733">
        <v>1.3704719264304428</v>
      </c>
      <c r="U1733">
        <v>0.14169303838015171</v>
      </c>
      <c r="V1733">
        <v>0.17965630106536781</v>
      </c>
      <c r="W1733">
        <v>9.1263412500012076E-2</v>
      </c>
      <c r="X1733">
        <v>1.4839360373861816E-2</v>
      </c>
      <c r="Y1733">
        <v>4.2578121564200233E-3</v>
      </c>
    </row>
    <row r="1734" spans="1:25" x14ac:dyDescent="0.25">
      <c r="A1734" s="1096"/>
      <c r="B1734" s="1455">
        <v>1484</v>
      </c>
      <c r="C1734" s="1100">
        <v>1.0181781789387991</v>
      </c>
      <c r="D1734" s="1100">
        <v>1.0318993416077704</v>
      </c>
      <c r="E1734" s="1100">
        <v>0.98938396306271215</v>
      </c>
      <c r="F1734" s="1100">
        <v>0.98396675821481761</v>
      </c>
      <c r="G1734" s="1100">
        <v>0.98786082004424058</v>
      </c>
      <c r="H1734" s="1100">
        <v>0.96822558813705506</v>
      </c>
      <c r="I1734" s="1100">
        <v>0.97410275671331903</v>
      </c>
      <c r="K1734">
        <v>2.1565473135567714</v>
      </c>
      <c r="L1734">
        <v>0</v>
      </c>
      <c r="M1734">
        <v>1.4931612340666266E-3</v>
      </c>
      <c r="N1734">
        <v>0.1314240086092861</v>
      </c>
      <c r="O1734">
        <v>1.9259542463948908E-2</v>
      </c>
      <c r="P1734">
        <v>2.5309239819597307E-2</v>
      </c>
      <c r="Q1734">
        <v>5.313889017393875E-3</v>
      </c>
      <c r="R1734">
        <v>1.471485983478412E-3</v>
      </c>
      <c r="S1734">
        <v>0.22498926052397347</v>
      </c>
      <c r="T1734">
        <v>1.3223017437755988</v>
      </c>
      <c r="U1734">
        <v>0.14019953223020437</v>
      </c>
      <c r="V1734">
        <v>0.18228592226318302</v>
      </c>
      <c r="W1734">
        <v>8.6885416023062129E-2</v>
      </c>
      <c r="X1734">
        <v>1.4595534309307073E-2</v>
      </c>
      <c r="Y1734">
        <v>4.0048997718041511E-3</v>
      </c>
    </row>
    <row r="1735" spans="1:25" x14ac:dyDescent="0.25">
      <c r="A1735" s="1096"/>
      <c r="B1735" s="1455">
        <v>1485</v>
      </c>
      <c r="C1735" s="1100">
        <v>1.0222879715021724</v>
      </c>
      <c r="D1735" s="1100">
        <v>1.0105646504211754</v>
      </c>
      <c r="E1735" s="1100">
        <v>0.97704185491458095</v>
      </c>
      <c r="F1735" s="1100">
        <v>0.99977249512215571</v>
      </c>
      <c r="G1735" s="1100">
        <v>0.95921389043230598</v>
      </c>
      <c r="H1735" s="1100">
        <v>1.0204692196355907</v>
      </c>
      <c r="I1735" s="1100">
        <v>0.96945798597262567</v>
      </c>
      <c r="K1735">
        <v>2.1880189976027573</v>
      </c>
      <c r="L1735">
        <v>0</v>
      </c>
      <c r="M1735">
        <v>1.6153473450172696E-3</v>
      </c>
      <c r="N1735">
        <v>0.13707153452483731</v>
      </c>
      <c r="O1735">
        <v>1.9262979461283643E-2</v>
      </c>
      <c r="P1735">
        <v>2.5360665237504264E-2</v>
      </c>
      <c r="Q1735">
        <v>5.2486991815389704E-3</v>
      </c>
      <c r="R1735">
        <v>1.5930988832643293E-3</v>
      </c>
      <c r="S1735">
        <v>0.22922349057901478</v>
      </c>
      <c r="T1735">
        <v>1.3435271349856739</v>
      </c>
      <c r="U1735">
        <v>0.13960818220794025</v>
      </c>
      <c r="V1735">
        <v>0.17880310729839535</v>
      </c>
      <c r="W1735">
        <v>9.1295168827082621E-2</v>
      </c>
      <c r="X1735">
        <v>1.430439376589635E-2</v>
      </c>
      <c r="Y1735">
        <v>4.3358899953397766E-3</v>
      </c>
    </row>
    <row r="1736" spans="1:25" x14ac:dyDescent="0.25">
      <c r="A1736" s="1096"/>
      <c r="B1736" s="1455">
        <v>1486</v>
      </c>
      <c r="C1736" s="1100">
        <v>0.99960466120639901</v>
      </c>
      <c r="D1736" s="1100">
        <v>0.97887931854558341</v>
      </c>
      <c r="E1736" s="1100">
        <v>1.0227766519580594</v>
      </c>
      <c r="F1736" s="1100">
        <v>0.96588985788211956</v>
      </c>
      <c r="G1736" s="1100">
        <v>0.97788193890991804</v>
      </c>
      <c r="H1736" s="1100">
        <v>1.0096995117509524</v>
      </c>
      <c r="I1736" s="1100">
        <v>1.0389408185583735</v>
      </c>
      <c r="K1736">
        <v>2.1899307819579992</v>
      </c>
      <c r="L1736">
        <v>0</v>
      </c>
      <c r="M1736">
        <v>1.4970885080464577E-3</v>
      </c>
      <c r="N1736">
        <v>0.14583880145464601</v>
      </c>
      <c r="O1736">
        <v>1.9867364318678599E-2</v>
      </c>
      <c r="P1736">
        <v>2.6056992812650413E-2</v>
      </c>
      <c r="Q1736">
        <v>5.6680740452481034E-3</v>
      </c>
      <c r="R1736">
        <v>1.4762489114762674E-3</v>
      </c>
      <c r="S1736">
        <v>0.25470766303611525</v>
      </c>
      <c r="T1736">
        <v>1.2980647100820351</v>
      </c>
      <c r="U1736">
        <v>0.14288154283703183</v>
      </c>
      <c r="V1736">
        <v>0.18227025777241299</v>
      </c>
      <c r="W1736">
        <v>9.4529389335871669E-2</v>
      </c>
      <c r="X1736">
        <v>1.6048962968162595E-2</v>
      </c>
      <c r="Y1736">
        <v>4.0178628917155205E-3</v>
      </c>
    </row>
    <row r="1737" spans="1:25" x14ac:dyDescent="0.25">
      <c r="A1737" s="1096"/>
      <c r="B1737" s="1455">
        <v>1487</v>
      </c>
      <c r="C1737" s="1100">
        <v>0.98106950021844397</v>
      </c>
      <c r="D1737" s="1100">
        <v>0.99804291535300149</v>
      </c>
      <c r="E1737" s="1100">
        <v>1.0065609116432839</v>
      </c>
      <c r="F1737" s="1100">
        <v>0.99607831270735248</v>
      </c>
      <c r="G1737" s="1100">
        <v>0.95913736020185036</v>
      </c>
      <c r="H1737" s="1100">
        <v>0.98278618627315273</v>
      </c>
      <c r="I1737" s="1100">
        <v>0.99751079283222199</v>
      </c>
      <c r="K1737">
        <v>2.2161646492434062</v>
      </c>
      <c r="L1737">
        <v>0</v>
      </c>
      <c r="M1737">
        <v>1.529084482083757E-3</v>
      </c>
      <c r="N1737">
        <v>0.14178668173363099</v>
      </c>
      <c r="O1737">
        <v>2.0146203793878964E-2</v>
      </c>
      <c r="P1737">
        <v>2.6185632903058479E-2</v>
      </c>
      <c r="Q1737">
        <v>5.6554437982006336E-3</v>
      </c>
      <c r="R1737">
        <v>1.5072166155679395E-3</v>
      </c>
      <c r="S1737">
        <v>0.24444948595936525</v>
      </c>
      <c r="T1737">
        <v>1.3386043142600059</v>
      </c>
      <c r="U1737">
        <v>0.14554283704715568</v>
      </c>
      <c r="V1737">
        <v>0.18125808050464118</v>
      </c>
      <c r="W1737">
        <v>9.278264272640066E-2</v>
      </c>
      <c r="X1737">
        <v>1.567304760983252E-2</v>
      </c>
      <c r="Y1737">
        <v>4.1021467737521423E-3</v>
      </c>
    </row>
    <row r="1738" spans="1:25" x14ac:dyDescent="0.25">
      <c r="A1738" s="1096"/>
      <c r="B1738" s="1455">
        <v>1488</v>
      </c>
      <c r="C1738" s="1100">
        <v>1.0316823781105653</v>
      </c>
      <c r="D1738" s="1100">
        <v>0.97996479847316376</v>
      </c>
      <c r="E1738" s="1100">
        <v>1.0224490439174136</v>
      </c>
      <c r="F1738" s="1100">
        <v>0.98959916812195858</v>
      </c>
      <c r="G1738" s="1100">
        <v>1.0145719588995226</v>
      </c>
      <c r="H1738" s="1100">
        <v>0.9944245360776014</v>
      </c>
      <c r="I1738" s="1100">
        <v>1.0236160142572317</v>
      </c>
      <c r="K1738">
        <v>2.19464566571197</v>
      </c>
      <c r="L1738">
        <v>0</v>
      </c>
      <c r="M1738">
        <v>1.4292219603315205E-3</v>
      </c>
      <c r="N1738">
        <v>0.13905991745024551</v>
      </c>
      <c r="O1738">
        <v>1.9244742875176083E-2</v>
      </c>
      <c r="P1738">
        <v>2.6283733595537106E-2</v>
      </c>
      <c r="Q1738">
        <v>5.4886574904618153E-3</v>
      </c>
      <c r="R1738">
        <v>1.4090214739625969E-3</v>
      </c>
      <c r="S1738">
        <v>0.24178977593163625</v>
      </c>
      <c r="T1738">
        <v>1.3299271090517766</v>
      </c>
      <c r="U1738">
        <v>0.13843824649644182</v>
      </c>
      <c r="V1738">
        <v>0.18457110019387563</v>
      </c>
      <c r="W1738">
        <v>9.0152713422573985E-2</v>
      </c>
      <c r="X1738">
        <v>1.5874977722287999E-2</v>
      </c>
      <c r="Y1738">
        <v>3.8348919683221291E-3</v>
      </c>
    </row>
    <row r="1739" spans="1:25" x14ac:dyDescent="0.25">
      <c r="A1739" s="1096"/>
      <c r="B1739" s="1455">
        <v>1489</v>
      </c>
      <c r="C1739" s="1100">
        <v>1.0006330108626114</v>
      </c>
      <c r="D1739" s="1100">
        <v>0.96762265828140492</v>
      </c>
      <c r="E1739" s="1100">
        <v>0.99601354642736062</v>
      </c>
      <c r="F1739" s="1100">
        <v>1.0002425691670995</v>
      </c>
      <c r="G1739" s="1100">
        <v>0.96389879639456755</v>
      </c>
      <c r="H1739" s="1100">
        <v>0.99115191031451111</v>
      </c>
      <c r="I1739" s="1100">
        <v>0.99248281698876184</v>
      </c>
      <c r="K1739">
        <v>2.2128248807429611</v>
      </c>
      <c r="L1739">
        <v>0</v>
      </c>
      <c r="M1739">
        <v>1.555960955023638E-3</v>
      </c>
      <c r="N1739">
        <v>0.13977128969633293</v>
      </c>
      <c r="O1739">
        <v>1.9880659339469649E-2</v>
      </c>
      <c r="P1739">
        <v>2.5986119814073068E-2</v>
      </c>
      <c r="Q1739">
        <v>5.5220855909810258E-3</v>
      </c>
      <c r="R1739">
        <v>1.5338965384045257E-3</v>
      </c>
      <c r="S1739">
        <v>0.24278945149956613</v>
      </c>
      <c r="T1739">
        <v>1.3441834624172724</v>
      </c>
      <c r="U1739">
        <v>0.14267303659875138</v>
      </c>
      <c r="V1739">
        <v>0.18060453368962237</v>
      </c>
      <c r="W1739">
        <v>9.2038389751443447E-2</v>
      </c>
      <c r="X1739">
        <v>1.5223156033386899E-2</v>
      </c>
      <c r="Y1739">
        <v>4.1747607286791296E-3</v>
      </c>
    </row>
    <row r="1740" spans="1:25" x14ac:dyDescent="0.25">
      <c r="A1740" s="1096"/>
      <c r="B1740" s="1455">
        <v>1490</v>
      </c>
      <c r="C1740" s="1100">
        <v>0.99281369905435457</v>
      </c>
      <c r="D1740" s="1100">
        <v>1.0015350198393216</v>
      </c>
      <c r="E1740" s="1100">
        <v>0.9717953327331329</v>
      </c>
      <c r="F1740" s="1100">
        <v>1.0094487954646689</v>
      </c>
      <c r="G1740" s="1100">
        <v>1.0219631748002445</v>
      </c>
      <c r="H1740" s="1100">
        <v>1.0077750241144805</v>
      </c>
      <c r="I1740" s="1100">
        <v>0.98848747658728742</v>
      </c>
      <c r="K1740">
        <v>2.2302479979921954</v>
      </c>
      <c r="L1740">
        <v>0</v>
      </c>
      <c r="M1740">
        <v>1.6637955278882162E-3</v>
      </c>
      <c r="N1740">
        <v>0.13893382555640163</v>
      </c>
      <c r="O1740">
        <v>1.9870769421512502E-2</v>
      </c>
      <c r="P1740">
        <v>2.5758946879487776E-2</v>
      </c>
      <c r="Q1740">
        <v>5.3854226940289627E-3</v>
      </c>
      <c r="R1740">
        <v>1.6405911281396285E-3</v>
      </c>
      <c r="S1740">
        <v>0.2406838969727001</v>
      </c>
      <c r="T1740">
        <v>1.3565250049772213</v>
      </c>
      <c r="U1740">
        <v>0.14374070018459681</v>
      </c>
      <c r="V1740">
        <v>0.18761423514988818</v>
      </c>
      <c r="W1740">
        <v>9.2830449502863732E-2</v>
      </c>
      <c r="X1740">
        <v>1.4462802823168964E-2</v>
      </c>
      <c r="Y1740">
        <v>4.4651482300760263E-3</v>
      </c>
    </row>
    <row r="1741" spans="1:25" x14ac:dyDescent="0.25">
      <c r="A1741" s="1096"/>
      <c r="B1741" s="1455">
        <v>1491</v>
      </c>
      <c r="C1741" s="1100">
        <v>0.98630935063809155</v>
      </c>
      <c r="D1741" s="1100">
        <v>0.99759849514792664</v>
      </c>
      <c r="E1741" s="1100">
        <v>0.9905941571662229</v>
      </c>
      <c r="F1741" s="1100">
        <v>1.0073599530564927</v>
      </c>
      <c r="G1741" s="1100">
        <v>1.011024689330372</v>
      </c>
      <c r="H1741" s="1100">
        <v>0.98836446379428944</v>
      </c>
      <c r="I1741" s="1100">
        <v>0.99976451685957968</v>
      </c>
      <c r="K1741">
        <v>2.232472540542592</v>
      </c>
      <c r="L1741">
        <v>0</v>
      </c>
      <c r="M1741">
        <v>1.5812456272667251E-3</v>
      </c>
      <c r="N1741">
        <v>0.13972905825468496</v>
      </c>
      <c r="O1741">
        <v>2.0031023572749586E-2</v>
      </c>
      <c r="P1741">
        <v>2.6139404161614262E-2</v>
      </c>
      <c r="Q1741">
        <v>5.5335125355595958E-3</v>
      </c>
      <c r="R1741">
        <v>1.5587594208891621E-3</v>
      </c>
      <c r="S1741">
        <v>0.24408471720201499</v>
      </c>
      <c r="T1741">
        <v>1.3537403163589292</v>
      </c>
      <c r="U1741">
        <v>0.14473236631668188</v>
      </c>
      <c r="V1741">
        <v>0.18678768608217117</v>
      </c>
      <c r="W1741">
        <v>9.2309000768733496E-2</v>
      </c>
      <c r="X1741">
        <v>1.5165512197075943E-2</v>
      </c>
      <c r="Y1741">
        <v>4.2424292987553033E-3</v>
      </c>
    </row>
    <row r="1742" spans="1:25" x14ac:dyDescent="0.25">
      <c r="A1742" s="1096"/>
      <c r="B1742" s="1455">
        <v>1492</v>
      </c>
      <c r="C1742" s="1100">
        <v>0.99210415029802324</v>
      </c>
      <c r="D1742" s="1100">
        <v>1.0456781532717971</v>
      </c>
      <c r="E1742" s="1100">
        <v>1.0047858856830847</v>
      </c>
      <c r="F1742" s="1100">
        <v>0.99911953105665263</v>
      </c>
      <c r="G1742" s="1100">
        <v>0.99223253529365807</v>
      </c>
      <c r="H1742" s="1100">
        <v>0.98759106311946443</v>
      </c>
      <c r="I1742" s="1100">
        <v>1.0108594527489101</v>
      </c>
      <c r="K1742">
        <v>2.2120109842697286</v>
      </c>
      <c r="L1742">
        <v>0</v>
      </c>
      <c r="M1742">
        <v>1.5095163069367172E-3</v>
      </c>
      <c r="N1742">
        <v>0.13923370685264763</v>
      </c>
      <c r="O1742">
        <v>1.971771541122851E-2</v>
      </c>
      <c r="P1742">
        <v>2.6162126335162336E-2</v>
      </c>
      <c r="Q1742">
        <v>5.5253222599943924E-3</v>
      </c>
      <c r="R1742">
        <v>1.4880333214730211E-3</v>
      </c>
      <c r="S1742">
        <v>0.2397235857184718</v>
      </c>
      <c r="T1742">
        <v>1.3426882887981024</v>
      </c>
      <c r="U1742">
        <v>0.14391991816676281</v>
      </c>
      <c r="V1742">
        <v>0.1843247432560304</v>
      </c>
      <c r="W1742">
        <v>9.1207764240585354E-2</v>
      </c>
      <c r="X1742">
        <v>1.5479360045207856E-2</v>
      </c>
      <c r="Y1742">
        <v>4.049936170996974E-3</v>
      </c>
    </row>
    <row r="1743" spans="1:25" x14ac:dyDescent="0.25">
      <c r="A1743" s="1096"/>
      <c r="B1743" s="1455">
        <v>1493</v>
      </c>
      <c r="C1743" s="1100">
        <v>0.99576140140026193</v>
      </c>
      <c r="D1743" s="1100">
        <v>0.97915681835819912</v>
      </c>
      <c r="E1743" s="1100">
        <v>1.0046637131426628</v>
      </c>
      <c r="F1743" s="1100">
        <v>0.98269658147661931</v>
      </c>
      <c r="G1743" s="1100">
        <v>0.99532677789421031</v>
      </c>
      <c r="H1743" s="1100">
        <v>0.9815486094961906</v>
      </c>
      <c r="I1743" s="1100">
        <v>0.99355626396904406</v>
      </c>
      <c r="K1743">
        <v>2.1929120738393548</v>
      </c>
      <c r="L1743">
        <v>0</v>
      </c>
      <c r="M1743">
        <v>1.5169269298879484E-3</v>
      </c>
      <c r="N1743">
        <v>0.13985319467666346</v>
      </c>
      <c r="O1743">
        <v>1.9931361487592912E-2</v>
      </c>
      <c r="P1743">
        <v>2.5884471478238281E-2</v>
      </c>
      <c r="Q1743">
        <v>5.5845063651218914E-3</v>
      </c>
      <c r="R1743">
        <v>1.4952055792565927E-3</v>
      </c>
      <c r="S1743">
        <v>0.24208467521592966</v>
      </c>
      <c r="T1743">
        <v>1.3206177510491854</v>
      </c>
      <c r="U1743">
        <v>0.1433910437140242</v>
      </c>
      <c r="V1743">
        <v>0.18445475391457619</v>
      </c>
      <c r="W1743">
        <v>9.1620199651213333E-2</v>
      </c>
      <c r="X1743">
        <v>1.5442380945092031E-2</v>
      </c>
      <c r="Y1743">
        <v>4.0694566923497114E-3</v>
      </c>
    </row>
    <row r="1744" spans="1:25" x14ac:dyDescent="0.25">
      <c r="A1744" s="1096"/>
      <c r="B1744" s="1455">
        <v>1494</v>
      </c>
      <c r="C1744" s="1100">
        <v>0.98143698617725628</v>
      </c>
      <c r="D1744" s="1100">
        <v>0.99336787375477509</v>
      </c>
      <c r="E1744" s="1100">
        <v>1.0223809321151627</v>
      </c>
      <c r="F1744" s="1100">
        <v>0.9701395794137786</v>
      </c>
      <c r="G1744" s="1100">
        <v>1.0016912087056036</v>
      </c>
      <c r="H1744" s="1100">
        <v>1.0155535983268058</v>
      </c>
      <c r="I1744" s="1100">
        <v>0.98241559058156314</v>
      </c>
      <c r="K1744">
        <v>2.1969696354665742</v>
      </c>
      <c r="L1744">
        <v>0</v>
      </c>
      <c r="M1744">
        <v>1.5299524743098369E-3</v>
      </c>
      <c r="N1744">
        <v>0.14887457195652437</v>
      </c>
      <c r="O1744">
        <v>2.0169579643580977E-2</v>
      </c>
      <c r="P1744">
        <v>2.6069096640932037E-2</v>
      </c>
      <c r="Q1744">
        <v>5.7520346844097472E-3</v>
      </c>
      <c r="R1744">
        <v>1.5087781740178428E-3</v>
      </c>
      <c r="S1744">
        <v>0.24398181053396148</v>
      </c>
      <c r="T1744">
        <v>1.3037751365809145</v>
      </c>
      <c r="U1744">
        <v>0.1455255345258136</v>
      </c>
      <c r="V1744">
        <v>0.18606005690072389</v>
      </c>
      <c r="W1744">
        <v>9.6519404695080052E-2</v>
      </c>
      <c r="X1744">
        <v>1.6157186783839799E-2</v>
      </c>
      <c r="Y1744">
        <v>4.1063968210851747E-3</v>
      </c>
    </row>
    <row r="1745" spans="1:25" x14ac:dyDescent="0.25">
      <c r="A1745" s="1096"/>
      <c r="B1745" s="1455">
        <v>1495</v>
      </c>
      <c r="C1745" s="1100">
        <v>0.99895560805663075</v>
      </c>
      <c r="D1745" s="1100">
        <v>1.0113779188796381</v>
      </c>
      <c r="E1745" s="1100">
        <v>1.0078698650170665</v>
      </c>
      <c r="F1745" s="1100">
        <v>0.97397728961478136</v>
      </c>
      <c r="G1745" s="1100">
        <v>1.0228749274346693</v>
      </c>
      <c r="H1745" s="1100">
        <v>1.003286300152513</v>
      </c>
      <c r="I1745" s="1100">
        <v>1.0001830278136019</v>
      </c>
      <c r="K1745">
        <v>2.1853879499229389</v>
      </c>
      <c r="L1745">
        <v>0</v>
      </c>
      <c r="M1745">
        <v>1.5244116926956272E-3</v>
      </c>
      <c r="N1745">
        <v>0.1419552713206908</v>
      </c>
      <c r="O1745">
        <v>1.9728618140533435E-2</v>
      </c>
      <c r="P1745">
        <v>2.5801340543591296E-2</v>
      </c>
      <c r="Q1745">
        <v>5.545481683947198E-3</v>
      </c>
      <c r="R1745">
        <v>1.5030561129333708E-3</v>
      </c>
      <c r="S1745">
        <v>0.24077562112402884</v>
      </c>
      <c r="T1745">
        <v>1.3089055402392509</v>
      </c>
      <c r="U1745">
        <v>0.14293994072568814</v>
      </c>
      <c r="V1745">
        <v>0.18738097778882112</v>
      </c>
      <c r="W1745">
        <v>9.2821134734190652E-2</v>
      </c>
      <c r="X1745">
        <v>1.5464555944870782E-2</v>
      </c>
      <c r="Y1745">
        <v>4.0908232570901698E-3</v>
      </c>
    </row>
    <row r="1746" spans="1:25" x14ac:dyDescent="0.25">
      <c r="A1746" s="1096"/>
      <c r="B1746" s="1455">
        <v>1496</v>
      </c>
      <c r="C1746" s="1100">
        <v>0.98947494312220041</v>
      </c>
      <c r="D1746" s="1100">
        <v>1.0055636833271933</v>
      </c>
      <c r="E1746" s="1100">
        <v>1.0138784575912909</v>
      </c>
      <c r="F1746" s="1100">
        <v>0.98969792308179594</v>
      </c>
      <c r="G1746" s="1100">
        <v>1.0124244384561751</v>
      </c>
      <c r="H1746" s="1100">
        <v>1.0047193323169004</v>
      </c>
      <c r="I1746" s="1100">
        <v>1.0129167873464584</v>
      </c>
      <c r="K1746">
        <v>2.2187242894522652</v>
      </c>
      <c r="L1746">
        <v>0</v>
      </c>
      <c r="M1746">
        <v>1.5240261610750749E-3</v>
      </c>
      <c r="N1746">
        <v>0.14452002946360459</v>
      </c>
      <c r="O1746">
        <v>1.9946722571884241E-2</v>
      </c>
      <c r="P1746">
        <v>2.6304633151544871E-2</v>
      </c>
      <c r="Q1746">
        <v>5.6405500257089682E-3</v>
      </c>
      <c r="R1746">
        <v>1.5027064340305588E-3</v>
      </c>
      <c r="S1746">
        <v>0.24704869296102824</v>
      </c>
      <c r="T1746">
        <v>1.3300430011994802</v>
      </c>
      <c r="U1746">
        <v>0.14432352563865722</v>
      </c>
      <c r="V1746">
        <v>0.18677423288238187</v>
      </c>
      <c r="W1746">
        <v>9.4164171411329156E-2</v>
      </c>
      <c r="X1746">
        <v>1.5890178327302287E-2</v>
      </c>
      <c r="Y1746">
        <v>4.0898715463883366E-3</v>
      </c>
    </row>
    <row r="1747" spans="1:25" x14ac:dyDescent="0.25">
      <c r="A1747" s="1096"/>
      <c r="B1747" s="1455">
        <v>1497</v>
      </c>
      <c r="C1747" s="1100">
        <v>1.0058043561272285</v>
      </c>
      <c r="D1747" s="1100">
        <v>1.0331327704847353</v>
      </c>
      <c r="E1747" s="1100">
        <v>0.98873197408707991</v>
      </c>
      <c r="F1747" s="1100">
        <v>0.99667781052676108</v>
      </c>
      <c r="G1747" s="1100">
        <v>0.9555351724099902</v>
      </c>
      <c r="H1747" s="1100">
        <v>1.0136198742072045</v>
      </c>
      <c r="I1747" s="1100">
        <v>0.97967127085015537</v>
      </c>
      <c r="K1747">
        <v>2.1939193989498555</v>
      </c>
      <c r="L1747">
        <v>0</v>
      </c>
      <c r="M1747">
        <v>1.5841188078192113E-3</v>
      </c>
      <c r="N1747">
        <v>0.13924704710355221</v>
      </c>
      <c r="O1747">
        <v>1.9490956839824679E-2</v>
      </c>
      <c r="P1747">
        <v>2.5612231137359734E-2</v>
      </c>
      <c r="Q1747">
        <v>5.3741937643312235E-3</v>
      </c>
      <c r="R1747">
        <v>1.5621530288135799E-3</v>
      </c>
      <c r="S1747">
        <v>0.23243494999724479</v>
      </c>
      <c r="T1747">
        <v>1.3393825862740794</v>
      </c>
      <c r="U1747">
        <v>0.14192283526013041</v>
      </c>
      <c r="V1747">
        <v>0.17934796920427781</v>
      </c>
      <c r="W1747">
        <v>9.2093276204199076E-2</v>
      </c>
      <c r="X1747">
        <v>1.4783653363038605E-2</v>
      </c>
      <c r="Y1747">
        <v>4.2516655808230155E-3</v>
      </c>
    </row>
    <row r="1748" spans="1:25" x14ac:dyDescent="0.25">
      <c r="A1748" s="1096"/>
      <c r="B1748" s="1455">
        <v>1498</v>
      </c>
      <c r="C1748" s="1100">
        <v>0.97000424981158984</v>
      </c>
      <c r="D1748" s="1100">
        <v>1.0017487591112708</v>
      </c>
      <c r="E1748" s="1100">
        <v>1.0053893662392079</v>
      </c>
      <c r="F1748" s="1100">
        <v>0.99703149783402123</v>
      </c>
      <c r="G1748" s="1100">
        <v>1.0225172047941355</v>
      </c>
      <c r="H1748" s="1100">
        <v>1.02182744294141</v>
      </c>
      <c r="I1748" s="1100">
        <v>0.98275881584088953</v>
      </c>
      <c r="K1748">
        <v>2.2413944391711844</v>
      </c>
      <c r="L1748">
        <v>0</v>
      </c>
      <c r="M1748">
        <v>1.6105655259792031E-3</v>
      </c>
      <c r="N1748">
        <v>0.14889719970441573</v>
      </c>
      <c r="O1748">
        <v>2.0358657967494392E-2</v>
      </c>
      <c r="P1748">
        <v>2.6335922969349595E-2</v>
      </c>
      <c r="Q1748">
        <v>5.7083799287474934E-3</v>
      </c>
      <c r="R1748">
        <v>1.5884124103930071E-3</v>
      </c>
      <c r="S1748">
        <v>0.24629044927608248</v>
      </c>
      <c r="T1748">
        <v>1.3398832646743959</v>
      </c>
      <c r="U1748">
        <v>0.14720032273605607</v>
      </c>
      <c r="V1748">
        <v>0.189110973351032</v>
      </c>
      <c r="W1748">
        <v>9.7503186192270663E-2</v>
      </c>
      <c r="X1748">
        <v>1.5805100525845786E-2</v>
      </c>
      <c r="Y1748">
        <v>4.3231349610794046E-3</v>
      </c>
    </row>
    <row r="1749" spans="1:25" x14ac:dyDescent="0.25">
      <c r="A1749" s="1096"/>
      <c r="B1749" s="1455">
        <v>1499</v>
      </c>
      <c r="C1749" s="1100">
        <v>1.0284297910883218</v>
      </c>
      <c r="D1749" s="1100">
        <v>0.99023535464264822</v>
      </c>
      <c r="E1749" s="1100">
        <v>1.0171450648844818</v>
      </c>
      <c r="F1749" s="1100">
        <v>1.0361262581813551</v>
      </c>
      <c r="G1749" s="1100">
        <v>0.97273627353481396</v>
      </c>
      <c r="H1749" s="1100">
        <v>0.99403352615648233</v>
      </c>
      <c r="I1749" s="1100">
        <v>0.99794680586270212</v>
      </c>
      <c r="K1749">
        <v>2.2463778295865029</v>
      </c>
      <c r="L1749">
        <v>0</v>
      </c>
      <c r="M1749">
        <v>1.4457617544105616E-3</v>
      </c>
      <c r="N1749">
        <v>0.13843545680644148</v>
      </c>
      <c r="O1749">
        <v>1.9258138422332552E-2</v>
      </c>
      <c r="P1749">
        <v>2.6897108796613663E-2</v>
      </c>
      <c r="Q1749">
        <v>5.4635895376505244E-3</v>
      </c>
      <c r="R1749">
        <v>1.4253194582195131E-3</v>
      </c>
      <c r="S1749">
        <v>0.23516958302158578</v>
      </c>
      <c r="T1749">
        <v>1.3924439975006442</v>
      </c>
      <c r="U1749">
        <v>0.13886417161605946</v>
      </c>
      <c r="V1749">
        <v>0.18001959322637012</v>
      </c>
      <c r="W1749">
        <v>9.0026849673855616E-2</v>
      </c>
      <c r="X1749">
        <v>1.5940533572298184E-2</v>
      </c>
      <c r="Y1749">
        <v>3.8792497088403891E-3</v>
      </c>
    </row>
    <row r="1750" spans="1:25" x14ac:dyDescent="0.25">
      <c r="A1750" s="1096"/>
      <c r="B1750" s="1455">
        <v>1500</v>
      </c>
      <c r="C1750" s="1100">
        <v>0.99594330101510009</v>
      </c>
      <c r="D1750" s="1100">
        <v>1.0081010472084815</v>
      </c>
      <c r="E1750" s="1100">
        <v>1.0151412242487761</v>
      </c>
      <c r="F1750" s="1100">
        <v>0.97304148079959907</v>
      </c>
      <c r="G1750" s="1100">
        <v>0.98368746825449993</v>
      </c>
      <c r="H1750" s="1100">
        <v>1.0357048048559925</v>
      </c>
      <c r="I1750" s="1100">
        <v>0.96977587961133016</v>
      </c>
      <c r="K1750">
        <v>2.1870874588776141</v>
      </c>
      <c r="L1750">
        <v>0</v>
      </c>
      <c r="M1750">
        <v>1.5558686847486334E-3</v>
      </c>
      <c r="N1750">
        <v>0.14816579863747939</v>
      </c>
      <c r="O1750">
        <v>1.9806982647044391E-2</v>
      </c>
      <c r="P1750">
        <v>2.5820187232064862E-2</v>
      </c>
      <c r="Q1750">
        <v>5.6080913790351418E-3</v>
      </c>
      <c r="R1750">
        <v>1.5347546648933361E-3</v>
      </c>
      <c r="S1750">
        <v>0.23712020257755201</v>
      </c>
      <c r="T1750">
        <v>1.3076609521058278</v>
      </c>
      <c r="U1750">
        <v>0.14338911256647438</v>
      </c>
      <c r="V1750">
        <v>0.18313769801302759</v>
      </c>
      <c r="W1750">
        <v>9.6468022222627903E-2</v>
      </c>
      <c r="X1750">
        <v>1.5754429250234674E-2</v>
      </c>
      <c r="Y1750">
        <v>4.1770962661003509E-3</v>
      </c>
    </row>
    <row r="1751" spans="1:25" x14ac:dyDescent="0.25">
      <c r="A1751" s="1096"/>
      <c r="B1751" s="1455">
        <v>1501</v>
      </c>
      <c r="C1751" s="1100">
        <v>1.0088216326848498</v>
      </c>
      <c r="D1751" s="1100">
        <v>0.96432425093430529</v>
      </c>
      <c r="E1751" s="1100">
        <v>0.97442161513379755</v>
      </c>
      <c r="F1751" s="1100">
        <v>0.95920119301737594</v>
      </c>
      <c r="G1751" s="1100">
        <v>0.99658754053770793</v>
      </c>
      <c r="H1751" s="1100">
        <v>1.0020309693297804</v>
      </c>
      <c r="I1751" s="1100">
        <v>1.0004210009383563</v>
      </c>
      <c r="K1751">
        <v>2.1557249944471146</v>
      </c>
      <c r="L1751">
        <v>0</v>
      </c>
      <c r="M1751">
        <v>1.6327980915161193E-3</v>
      </c>
      <c r="N1751">
        <v>0.13742257111857717</v>
      </c>
      <c r="O1751">
        <v>1.9720661302166442E-2</v>
      </c>
      <c r="P1751">
        <v>2.4868216715176222E-2</v>
      </c>
      <c r="Q1751">
        <v>5.3590810803076632E-3</v>
      </c>
      <c r="R1751">
        <v>1.6098954636397812E-3</v>
      </c>
      <c r="S1751">
        <v>0.24386803062980264</v>
      </c>
      <c r="T1751">
        <v>1.2890034214891144</v>
      </c>
      <c r="U1751">
        <v>0.14146579712871771</v>
      </c>
      <c r="V1751">
        <v>0.18380009489934562</v>
      </c>
      <c r="W1751">
        <v>9.1674393414679214E-2</v>
      </c>
      <c r="X1751">
        <v>1.4184024546972037E-2</v>
      </c>
      <c r="Y1751">
        <v>4.3816047501305253E-3</v>
      </c>
    </row>
    <row r="1752" spans="1:25" x14ac:dyDescent="0.25">
      <c r="A1752" s="1096"/>
      <c r="B1752" s="1455">
        <v>1502</v>
      </c>
      <c r="C1752" s="1100">
        <v>0.98813114589094764</v>
      </c>
      <c r="D1752" s="1100">
        <v>1.0373881110970788</v>
      </c>
      <c r="E1752" s="1100">
        <v>1.0221001138983357</v>
      </c>
      <c r="F1752" s="1100">
        <v>0.99389769204491174</v>
      </c>
      <c r="G1752" s="1100">
        <v>1.0067026647218997</v>
      </c>
      <c r="H1752" s="1100">
        <v>1.026472064545255</v>
      </c>
      <c r="I1752" s="1100">
        <v>0.9670422784147048</v>
      </c>
      <c r="K1752">
        <v>2.2168538614333424</v>
      </c>
      <c r="L1752">
        <v>0</v>
      </c>
      <c r="M1752">
        <v>1.5222326826726748E-3</v>
      </c>
      <c r="N1752">
        <v>0.14802006611374086</v>
      </c>
      <c r="O1752">
        <v>1.9842571672985396E-2</v>
      </c>
      <c r="P1752">
        <v>2.6360909228949216E-2</v>
      </c>
      <c r="Q1752">
        <v>5.6571997366174371E-3</v>
      </c>
      <c r="R1752">
        <v>1.5013893152397944E-3</v>
      </c>
      <c r="S1752">
        <v>0.23431628624097658</v>
      </c>
      <c r="T1752">
        <v>1.3357031977724245</v>
      </c>
      <c r="U1752">
        <v>0.1445390056661425</v>
      </c>
      <c r="V1752">
        <v>0.18621659910825619</v>
      </c>
      <c r="W1752">
        <v>9.5981145529087E-2</v>
      </c>
      <c r="X1752">
        <v>1.615143694836782E-2</v>
      </c>
      <c r="Y1752">
        <v>4.0862867832279675E-3</v>
      </c>
    </row>
    <row r="1753" spans="1:25" x14ac:dyDescent="0.25">
      <c r="A1753" s="1096"/>
      <c r="B1753" s="1455">
        <v>1503</v>
      </c>
      <c r="C1753" s="1100">
        <v>1.0079018821581376</v>
      </c>
      <c r="D1753" s="1100">
        <v>0.98585610788173672</v>
      </c>
      <c r="E1753" s="1100">
        <v>1.0248328641166156</v>
      </c>
      <c r="F1753" s="1100">
        <v>0.97312260410667184</v>
      </c>
      <c r="G1753" s="1100">
        <v>0.9571816677546533</v>
      </c>
      <c r="H1753" s="1100">
        <v>1.0439273838261001</v>
      </c>
      <c r="I1753" s="1100">
        <v>1.0369268451412328</v>
      </c>
      <c r="K1753">
        <v>2.201254179952123</v>
      </c>
      <c r="L1753">
        <v>0</v>
      </c>
      <c r="M1753">
        <v>1.5261526490740118E-3</v>
      </c>
      <c r="N1753">
        <v>0.14966415299302474</v>
      </c>
      <c r="O1753">
        <v>1.9674333609337839E-2</v>
      </c>
      <c r="P1753">
        <v>2.6166918851893196E-2</v>
      </c>
      <c r="Q1753">
        <v>5.6244648432841613E-3</v>
      </c>
      <c r="R1753">
        <v>1.5056050226224978E-3</v>
      </c>
      <c r="S1753">
        <v>0.25407664897850712</v>
      </c>
      <c r="T1753">
        <v>1.3077890477126954</v>
      </c>
      <c r="U1753">
        <v>0.14171003142789962</v>
      </c>
      <c r="V1753">
        <v>0.17944365987389593</v>
      </c>
      <c r="W1753">
        <v>9.6892612227980429E-2</v>
      </c>
      <c r="X1753">
        <v>1.6135096511039199E-2</v>
      </c>
      <c r="Y1753">
        <v>4.0977605490161205E-3</v>
      </c>
    </row>
    <row r="1754" spans="1:25" x14ac:dyDescent="0.25">
      <c r="A1754" s="1096"/>
      <c r="B1754" s="1455">
        <v>1504</v>
      </c>
      <c r="C1754" s="1100">
        <v>0.98784559520668125</v>
      </c>
      <c r="D1754" s="1100">
        <v>1.011249681488207</v>
      </c>
      <c r="E1754" s="1100">
        <v>0.97852579453453448</v>
      </c>
      <c r="F1754" s="1100">
        <v>1.0448231110701658</v>
      </c>
      <c r="G1754" s="1100">
        <v>1.0215426696843077</v>
      </c>
      <c r="H1754" s="1100">
        <v>1.0193011655004331</v>
      </c>
      <c r="I1754" s="1100">
        <v>1.0132890626186228</v>
      </c>
      <c r="K1754">
        <v>2.2919014089038034</v>
      </c>
      <c r="L1754">
        <v>0</v>
      </c>
      <c r="M1754">
        <v>1.6643927863013901E-3</v>
      </c>
      <c r="N1754">
        <v>0.14186670516570671</v>
      </c>
      <c r="O1754">
        <v>1.9932566541658436E-2</v>
      </c>
      <c r="P1754">
        <v>2.6638319815619715E-2</v>
      </c>
      <c r="Q1754">
        <v>5.4393535345831495E-3</v>
      </c>
      <c r="R1754">
        <v>1.641442543688699E-3</v>
      </c>
      <c r="S1754">
        <v>0.2477732744589034</v>
      </c>
      <c r="T1754">
        <v>1.4040693472195414</v>
      </c>
      <c r="U1754">
        <v>0.14447922869082686</v>
      </c>
      <c r="V1754">
        <v>0.18787274298850068</v>
      </c>
      <c r="W1754">
        <v>9.4404169347609312E-2</v>
      </c>
      <c r="X1754">
        <v>1.4981185880933849E-2</v>
      </c>
      <c r="Y1754">
        <v>4.4674655025315367E-3</v>
      </c>
    </row>
    <row r="1755" spans="1:25" x14ac:dyDescent="0.25">
      <c r="A1755" s="1096"/>
      <c r="B1755" s="1455">
        <v>1505</v>
      </c>
      <c r="C1755" s="1100">
        <v>1.0227085119517354</v>
      </c>
      <c r="D1755" s="1100">
        <v>1.0252557899698624</v>
      </c>
      <c r="E1755" s="1100">
        <v>0.99927654196114002</v>
      </c>
      <c r="F1755" s="1100">
        <v>1.0314567425740442</v>
      </c>
      <c r="G1755" s="1100">
        <v>0.98411604812916775</v>
      </c>
      <c r="H1755" s="1100">
        <v>1.0094981584970457</v>
      </c>
      <c r="I1755" s="1100">
        <v>0.96471028018900795</v>
      </c>
      <c r="K1755">
        <v>2.2319728107668446</v>
      </c>
      <c r="L1755">
        <v>0</v>
      </c>
      <c r="M1755">
        <v>1.5206202486971511E-3</v>
      </c>
      <c r="N1755">
        <v>0.13798620587134572</v>
      </c>
      <c r="O1755">
        <v>1.9207497183252185E-2</v>
      </c>
      <c r="P1755">
        <v>2.6360601338248756E-2</v>
      </c>
      <c r="Q1755">
        <v>5.352657159234317E-3</v>
      </c>
      <c r="R1755">
        <v>1.4994488663639491E-3</v>
      </c>
      <c r="S1755">
        <v>0.22571978176074226</v>
      </c>
      <c r="T1755">
        <v>1.3861360490495391</v>
      </c>
      <c r="U1755">
        <v>0.13960073489207581</v>
      </c>
      <c r="V1755">
        <v>0.18161300103286732</v>
      </c>
      <c r="W1755">
        <v>9.0686553580838089E-2</v>
      </c>
      <c r="X1755">
        <v>1.5249894759978037E-2</v>
      </c>
      <c r="Y1755">
        <v>4.0810055210567181E-3</v>
      </c>
    </row>
    <row r="1756" spans="1:25" x14ac:dyDescent="0.25">
      <c r="A1756" s="1096"/>
      <c r="B1756" s="1455">
        <v>1506</v>
      </c>
      <c r="C1756" s="1100">
        <v>0.99538932852104989</v>
      </c>
      <c r="D1756" s="1100">
        <v>1.0402663255991291</v>
      </c>
      <c r="E1756" s="1100">
        <v>1.0392017518287493</v>
      </c>
      <c r="F1756" s="1100">
        <v>1.0018295653589562</v>
      </c>
      <c r="G1756" s="1100">
        <v>0.98166990378908636</v>
      </c>
      <c r="H1756" s="1100">
        <v>0.9594971172817367</v>
      </c>
      <c r="I1756" s="1100">
        <v>1.0166976398417116</v>
      </c>
      <c r="K1756">
        <v>2.213134668013006</v>
      </c>
      <c r="L1756">
        <v>0</v>
      </c>
      <c r="M1756">
        <v>1.362248910453188E-3</v>
      </c>
      <c r="N1756">
        <v>0.13933607654671185</v>
      </c>
      <c r="O1756">
        <v>1.9696569225706388E-2</v>
      </c>
      <c r="P1756">
        <v>2.6844879153388387E-2</v>
      </c>
      <c r="Q1756">
        <v>5.7112969203213931E-3</v>
      </c>
      <c r="R1756">
        <v>1.3422941383673011E-3</v>
      </c>
      <c r="S1756">
        <v>0.23891018749707085</v>
      </c>
      <c r="T1756">
        <v>1.3464014109908944</v>
      </c>
      <c r="U1756">
        <v>0.1435247939471215</v>
      </c>
      <c r="V1756">
        <v>0.18296526806003927</v>
      </c>
      <c r="W1756">
        <v>8.945812573918549E-2</v>
      </c>
      <c r="X1756">
        <v>1.6652732547158738E-2</v>
      </c>
      <c r="Y1756">
        <v>3.6532821574920024E-3</v>
      </c>
    </row>
    <row r="1757" spans="1:25" x14ac:dyDescent="0.25">
      <c r="A1757" s="1096"/>
      <c r="B1757" s="1455">
        <v>1507</v>
      </c>
      <c r="C1757" s="1100">
        <v>0.97827631352923883</v>
      </c>
      <c r="D1757" s="1100">
        <v>0.98130806155270056</v>
      </c>
      <c r="E1757" s="1100">
        <v>0.99889131844000301</v>
      </c>
      <c r="F1757" s="1100">
        <v>0.99521769689029349</v>
      </c>
      <c r="G1757" s="1100">
        <v>1.0338878829217406</v>
      </c>
      <c r="H1757" s="1100">
        <v>0.9991092995665023</v>
      </c>
      <c r="I1757" s="1100">
        <v>0.96621326625058979</v>
      </c>
      <c r="K1757">
        <v>2.2244892953094118</v>
      </c>
      <c r="L1757">
        <v>0</v>
      </c>
      <c r="M1757">
        <v>1.5898328447418448E-3</v>
      </c>
      <c r="N1757">
        <v>0.14407781655369295</v>
      </c>
      <c r="O1757">
        <v>2.027410680956945E-2</v>
      </c>
      <c r="P1757">
        <v>2.6092730812211112E-2</v>
      </c>
      <c r="Q1757">
        <v>5.6477066039752038E-3</v>
      </c>
      <c r="R1757">
        <v>1.5674676625446226E-3</v>
      </c>
      <c r="S1757">
        <v>0.24071775109967983</v>
      </c>
      <c r="T1757">
        <v>1.3374351513403324</v>
      </c>
      <c r="U1757">
        <v>0.14594033515399987</v>
      </c>
      <c r="V1757">
        <v>0.1898732524106605</v>
      </c>
      <c r="W1757">
        <v>9.4711747261291404E-2</v>
      </c>
      <c r="X1757">
        <v>1.5474932184324523E-2</v>
      </c>
      <c r="Y1757">
        <v>4.2661302618703743E-3</v>
      </c>
    </row>
    <row r="1758" spans="1:25" x14ac:dyDescent="0.25">
      <c r="A1758" s="1096"/>
      <c r="B1758" s="1455">
        <v>1508</v>
      </c>
      <c r="C1758" s="1100">
        <v>1.0291090450810136</v>
      </c>
      <c r="D1758" s="1100">
        <v>1.0113129296085546</v>
      </c>
      <c r="E1758" s="1100">
        <v>1.0105765200080883</v>
      </c>
      <c r="F1758" s="1100">
        <v>0.99091287645178516</v>
      </c>
      <c r="G1758" s="1100">
        <v>1.0026848215524031</v>
      </c>
      <c r="H1758" s="1100">
        <v>1.0052173436034275</v>
      </c>
      <c r="I1758" s="1100">
        <v>1.0137829190561227</v>
      </c>
      <c r="K1758">
        <v>2.1895624635609687</v>
      </c>
      <c r="L1758">
        <v>0</v>
      </c>
      <c r="M1758">
        <v>1.4743021870978396E-3</v>
      </c>
      <c r="N1758">
        <v>0.13841928650013116</v>
      </c>
      <c r="O1758">
        <v>1.915247120521954E-2</v>
      </c>
      <c r="P1758">
        <v>2.600238800867833E-2</v>
      </c>
      <c r="Q1758">
        <v>5.3981256755437149E-3</v>
      </c>
      <c r="R1758">
        <v>1.4536882705483314E-3</v>
      </c>
      <c r="S1758">
        <v>0.23707874591810724</v>
      </c>
      <c r="T1758">
        <v>1.331669688656002</v>
      </c>
      <c r="U1758">
        <v>0.13875778914001277</v>
      </c>
      <c r="V1758">
        <v>0.18336089410267728</v>
      </c>
      <c r="W1758">
        <v>9.0364609323266773E-2</v>
      </c>
      <c r="X1758">
        <v>1.5422618683653345E-2</v>
      </c>
      <c r="Y1758">
        <v>3.9564602642229623E-3</v>
      </c>
    </row>
    <row r="1759" spans="1:25" x14ac:dyDescent="0.25">
      <c r="A1759" s="1096"/>
      <c r="B1759" s="1455">
        <v>1509</v>
      </c>
      <c r="C1759" s="1100">
        <v>0.99889219645800931</v>
      </c>
      <c r="D1759" s="1100">
        <v>0.98248074069642222</v>
      </c>
      <c r="E1759" s="1100">
        <v>0.97628963314944284</v>
      </c>
      <c r="F1759" s="1100">
        <v>1.0132297024453518</v>
      </c>
      <c r="G1759" s="1100">
        <v>0.99597126218126986</v>
      </c>
      <c r="H1759" s="1100">
        <v>1.0143463973511744</v>
      </c>
      <c r="I1759" s="1100">
        <v>0.98470661899406908</v>
      </c>
      <c r="K1759">
        <v>2.2337145754738583</v>
      </c>
      <c r="L1759">
        <v>0</v>
      </c>
      <c r="M1759">
        <v>1.6560555564783166E-3</v>
      </c>
      <c r="N1759">
        <v>0.14019449481704266</v>
      </c>
      <c r="O1759">
        <v>1.9836297095486451E-2</v>
      </c>
      <c r="P1759">
        <v>2.5866136602605106E-2</v>
      </c>
      <c r="Q1759">
        <v>5.4007760097837228E-3</v>
      </c>
      <c r="R1759">
        <v>1.6331087323011456E-3</v>
      </c>
      <c r="S1759">
        <v>0.24115431510489943</v>
      </c>
      <c r="T1759">
        <v>1.3616105487012076</v>
      </c>
      <c r="U1759">
        <v>0.14287631895582875</v>
      </c>
      <c r="V1759">
        <v>0.18431630678719363</v>
      </c>
      <c r="W1759">
        <v>9.3417720117809605E-2</v>
      </c>
      <c r="X1759">
        <v>1.4619824490998894E-2</v>
      </c>
      <c r="Y1759">
        <v>4.4447836151748008E-3</v>
      </c>
    </row>
    <row r="1760" spans="1:25" x14ac:dyDescent="0.25">
      <c r="A1760" s="1096"/>
      <c r="B1760" s="1455">
        <v>1510</v>
      </c>
      <c r="C1760" s="1100">
        <v>1.0010865758476695</v>
      </c>
      <c r="D1760" s="1100">
        <v>0.98512366203158519</v>
      </c>
      <c r="E1760" s="1100">
        <v>1.0095803007337452</v>
      </c>
      <c r="F1760" s="1100">
        <v>1.0219531106739659</v>
      </c>
      <c r="G1760" s="1100">
        <v>1.0288321619179281</v>
      </c>
      <c r="H1760" s="1100">
        <v>0.96687562310388109</v>
      </c>
      <c r="I1760" s="1100">
        <v>0.98602517980198356</v>
      </c>
      <c r="K1760">
        <v>2.2400737062738285</v>
      </c>
      <c r="L1760">
        <v>0</v>
      </c>
      <c r="M1760">
        <v>1.4692395547217709E-3</v>
      </c>
      <c r="N1760">
        <v>0.13745237675059474</v>
      </c>
      <c r="O1760">
        <v>1.9801939709540542E-2</v>
      </c>
      <c r="P1760">
        <v>2.6673071096360929E-2</v>
      </c>
      <c r="Q1760">
        <v>5.5756233676942241E-3</v>
      </c>
      <c r="R1760">
        <v>1.4478817811557187E-3</v>
      </c>
      <c r="S1760">
        <v>0.23711770853936578</v>
      </c>
      <c r="T1760">
        <v>1.3733822488573288</v>
      </c>
      <c r="U1760">
        <v>0.1426396099365618</v>
      </c>
      <c r="V1760">
        <v>0.1879294335957119</v>
      </c>
      <c r="W1760">
        <v>8.9786105018942811E-2</v>
      </c>
      <c r="X1760">
        <v>1.5796290261083909E-2</v>
      </c>
      <c r="Y1760">
        <v>3.9406569142049824E-3</v>
      </c>
    </row>
    <row r="1761" spans="1:25" x14ac:dyDescent="0.25">
      <c r="A1761" s="1096"/>
      <c r="B1761" s="1455">
        <v>1511</v>
      </c>
      <c r="C1761" s="1100">
        <v>0.97158744431123323</v>
      </c>
      <c r="D1761" s="1100">
        <v>1.0399179889459909</v>
      </c>
      <c r="E1761" s="1100">
        <v>0.9844663816833954</v>
      </c>
      <c r="F1761" s="1100">
        <v>0.97412467560900151</v>
      </c>
      <c r="G1761" s="1100">
        <v>1.0256249324694402</v>
      </c>
      <c r="H1761" s="1100">
        <v>1.0422078324206083</v>
      </c>
      <c r="I1761" s="1100">
        <v>1.0251694535502636</v>
      </c>
      <c r="K1761">
        <v>2.2145953842757602</v>
      </c>
      <c r="L1761">
        <v>0</v>
      </c>
      <c r="M1761">
        <v>1.698665139248169E-3</v>
      </c>
      <c r="N1761">
        <v>0.14745894005456009</v>
      </c>
      <c r="O1761">
        <v>2.0145629468593086E-2</v>
      </c>
      <c r="P1761">
        <v>2.5605331075654037E-2</v>
      </c>
      <c r="Q1761">
        <v>5.5307623357732328E-3</v>
      </c>
      <c r="R1761">
        <v>1.6757571263836708E-3</v>
      </c>
      <c r="S1761">
        <v>0.25334631243929556</v>
      </c>
      <c r="T1761">
        <v>1.3090692213367046</v>
      </c>
      <c r="U1761">
        <v>0.14691092089198513</v>
      </c>
      <c r="V1761">
        <v>0.18934393818938652</v>
      </c>
      <c r="W1761">
        <v>9.7774544692257603E-2</v>
      </c>
      <c r="X1761">
        <v>1.4871833319583911E-2</v>
      </c>
      <c r="Y1761">
        <v>4.560858484828104E-3</v>
      </c>
    </row>
    <row r="1762" spans="1:25" x14ac:dyDescent="0.25">
      <c r="A1762" s="1096"/>
      <c r="B1762" s="1455">
        <v>1512</v>
      </c>
      <c r="C1762" s="1100">
        <v>0.98104412789265516</v>
      </c>
      <c r="D1762" s="1100">
        <v>1.0057931966819791</v>
      </c>
      <c r="E1762" s="1100">
        <v>0.98622584865031782</v>
      </c>
      <c r="F1762" s="1100">
        <v>0.96525789750957114</v>
      </c>
      <c r="G1762" s="1100">
        <v>1.0425889937282284</v>
      </c>
      <c r="H1762" s="1100">
        <v>0.96755447882867029</v>
      </c>
      <c r="I1762" s="1100">
        <v>0.98918551784330178</v>
      </c>
      <c r="K1762">
        <v>2.1704697235574115</v>
      </c>
      <c r="L1762">
        <v>0</v>
      </c>
      <c r="M1762">
        <v>1.5675763879048458E-3</v>
      </c>
      <c r="N1762">
        <v>0.13666106832586203</v>
      </c>
      <c r="O1762">
        <v>2.0099543829788624E-2</v>
      </c>
      <c r="P1762">
        <v>2.5298439145224533E-2</v>
      </c>
      <c r="Q1762">
        <v>5.5279576522337531E-3</v>
      </c>
      <c r="R1762">
        <v>1.5448051173989426E-3</v>
      </c>
      <c r="S1762">
        <v>0.24009588369025781</v>
      </c>
      <c r="T1762">
        <v>1.2971558368403788</v>
      </c>
      <c r="U1762">
        <v>0.1454989062032595</v>
      </c>
      <c r="V1762">
        <v>0.19067465508277842</v>
      </c>
      <c r="W1762">
        <v>9.0519064762967144E-2</v>
      </c>
      <c r="X1762">
        <v>1.4756689010476836E-2</v>
      </c>
      <c r="Y1762">
        <v>4.2044502846898344E-3</v>
      </c>
    </row>
    <row r="1763" spans="1:25" x14ac:dyDescent="0.25">
      <c r="A1763" s="1096"/>
      <c r="B1763" s="1455">
        <v>1513</v>
      </c>
      <c r="C1763" s="1100">
        <v>1.0057588287430594</v>
      </c>
      <c r="D1763" s="1100">
        <v>0.98166536407382254</v>
      </c>
      <c r="E1763" s="1100">
        <v>0.9949325937074629</v>
      </c>
      <c r="F1763" s="1100">
        <v>0.99783527847217779</v>
      </c>
      <c r="G1763" s="1100">
        <v>0.98446950014480195</v>
      </c>
      <c r="H1763" s="1100">
        <v>1.0086821854302717</v>
      </c>
      <c r="I1763" s="1100">
        <v>1.0049612397856698</v>
      </c>
      <c r="K1763">
        <v>2.2140772134884621</v>
      </c>
      <c r="L1763">
        <v>0</v>
      </c>
      <c r="M1763">
        <v>1.5739475644173048E-3</v>
      </c>
      <c r="N1763">
        <v>0.14096110926439134</v>
      </c>
      <c r="O1763">
        <v>1.9716066826980572E-2</v>
      </c>
      <c r="P1763">
        <v>2.5958185595035273E-2</v>
      </c>
      <c r="Q1763">
        <v>5.4704060529734144E-3</v>
      </c>
      <c r="R1763">
        <v>1.5520159861493713E-3</v>
      </c>
      <c r="S1763">
        <v>0.2442244256097125</v>
      </c>
      <c r="T1763">
        <v>1.3409467957707606</v>
      </c>
      <c r="U1763">
        <v>0.14194343532523312</v>
      </c>
      <c r="V1763">
        <v>0.18262671543054801</v>
      </c>
      <c r="W1763">
        <v>9.2881744553991466E-2</v>
      </c>
      <c r="X1763">
        <v>1.5146184744735953E-2</v>
      </c>
      <c r="Y1763">
        <v>4.2240758923662546E-3</v>
      </c>
    </row>
    <row r="1764" spans="1:25" x14ac:dyDescent="0.25">
      <c r="A1764" s="1096"/>
      <c r="B1764" s="1455">
        <v>1514</v>
      </c>
      <c r="C1764" s="1100">
        <v>1.0189155038551838</v>
      </c>
      <c r="D1764" s="1100">
        <v>1.0175043810341007</v>
      </c>
      <c r="E1764" s="1100">
        <v>0.97703104959134213</v>
      </c>
      <c r="F1764" s="1100">
        <v>1.0028691336962823</v>
      </c>
      <c r="G1764" s="1100">
        <v>1.016443982796271</v>
      </c>
      <c r="H1764" s="1100">
        <v>0.97722655012690296</v>
      </c>
      <c r="I1764" s="1100">
        <v>1.037190111709555</v>
      </c>
      <c r="K1764">
        <v>2.202653472931964</v>
      </c>
      <c r="L1764">
        <v>0</v>
      </c>
      <c r="M1764">
        <v>1.5497161847653177E-3</v>
      </c>
      <c r="N1764">
        <v>0.13141678893629097</v>
      </c>
      <c r="O1764">
        <v>1.9297653899216848E-2</v>
      </c>
      <c r="P1764">
        <v>2.5679227259309208E-2</v>
      </c>
      <c r="Q1764">
        <v>5.2580892902841427E-3</v>
      </c>
      <c r="R1764">
        <v>1.5274271691821395E-3</v>
      </c>
      <c r="S1764">
        <v>0.24170646630567269</v>
      </c>
      <c r="T1764">
        <v>1.3476884878675934</v>
      </c>
      <c r="U1764">
        <v>0.14007024141780186</v>
      </c>
      <c r="V1764">
        <v>0.18546455343260199</v>
      </c>
      <c r="W1764">
        <v>8.7529452689343812E-2</v>
      </c>
      <c r="X1764">
        <v>1.4407647611148761E-2</v>
      </c>
      <c r="Y1764">
        <v>4.1571532382827852E-3</v>
      </c>
    </row>
    <row r="1765" spans="1:25" x14ac:dyDescent="0.25">
      <c r="A1765" s="1096"/>
      <c r="B1765" s="1455">
        <v>1515</v>
      </c>
      <c r="C1765" s="1100">
        <v>0.99240822481922086</v>
      </c>
      <c r="D1765" s="1100">
        <v>1.0226148198043328</v>
      </c>
      <c r="E1765" s="1100">
        <v>0.9937970171005962</v>
      </c>
      <c r="F1765" s="1100">
        <v>1.0185709791601172</v>
      </c>
      <c r="G1765" s="1100">
        <v>1.025540300063952</v>
      </c>
      <c r="H1765" s="1100">
        <v>0.97556183934453233</v>
      </c>
      <c r="I1765" s="1100">
        <v>0.97221695344565973</v>
      </c>
      <c r="K1765">
        <v>2.230456072424257</v>
      </c>
      <c r="L1765">
        <v>0</v>
      </c>
      <c r="M1765">
        <v>1.5325392779132431E-3</v>
      </c>
      <c r="N1765">
        <v>0.13671672824821321</v>
      </c>
      <c r="O1765">
        <v>1.9801746629802039E-2</v>
      </c>
      <c r="P1765">
        <v>2.6248547307776243E-2</v>
      </c>
      <c r="Q1765">
        <v>5.4878913316571123E-3</v>
      </c>
      <c r="R1765">
        <v>1.5104596989759583E-3</v>
      </c>
      <c r="S1765">
        <v>0.23202960321976474</v>
      </c>
      <c r="T1765">
        <v>1.3688108891833535</v>
      </c>
      <c r="U1765">
        <v>0.14385033049715681</v>
      </c>
      <c r="V1765">
        <v>0.18806170459194715</v>
      </c>
      <c r="W1765">
        <v>9.0146140111336384E-2</v>
      </c>
      <c r="X1765">
        <v>1.5213597504479476E-2</v>
      </c>
      <c r="Y1765">
        <v>4.1109733777066112E-3</v>
      </c>
    </row>
    <row r="1766" spans="1:25" x14ac:dyDescent="0.25">
      <c r="A1766" s="1096"/>
      <c r="B1766" s="1455">
        <v>1516</v>
      </c>
      <c r="C1766" s="1100">
        <v>1.0181792736921469</v>
      </c>
      <c r="D1766" s="1100">
        <v>1.0036517894567676</v>
      </c>
      <c r="E1766" s="1100">
        <v>1.002834800960408</v>
      </c>
      <c r="F1766" s="1100">
        <v>1.0297629037337763</v>
      </c>
      <c r="G1766" s="1100">
        <v>0.99787226398153639</v>
      </c>
      <c r="H1766" s="1100">
        <v>0.97164059128828184</v>
      </c>
      <c r="I1766" s="1100">
        <v>0.98792675801806984</v>
      </c>
      <c r="K1766">
        <v>2.232466366995447</v>
      </c>
      <c r="L1766">
        <v>0</v>
      </c>
      <c r="M1766">
        <v>1.4661462905961266E-3</v>
      </c>
      <c r="N1766">
        <v>0.13440692514177116</v>
      </c>
      <c r="O1766">
        <v>1.9385726963315173E-2</v>
      </c>
      <c r="P1766">
        <v>2.651516104109157E-2</v>
      </c>
      <c r="Q1766">
        <v>5.4216711244152553E-3</v>
      </c>
      <c r="R1766">
        <v>1.4449380015752343E-3</v>
      </c>
      <c r="S1766">
        <v>0.231730519291068</v>
      </c>
      <c r="T1766">
        <v>1.3838656800950664</v>
      </c>
      <c r="U1766">
        <v>0.14022977792733715</v>
      </c>
      <c r="V1766">
        <v>0.18342906170526938</v>
      </c>
      <c r="W1766">
        <v>8.8147738333582623E-2</v>
      </c>
      <c r="X1766">
        <v>1.5422668744948411E-2</v>
      </c>
      <c r="Y1766">
        <v>3.9326449166035837E-3</v>
      </c>
    </row>
    <row r="1767" spans="1:25" x14ac:dyDescent="0.25">
      <c r="A1767" s="1096"/>
      <c r="B1767" s="1455">
        <v>1517</v>
      </c>
      <c r="C1767" s="1100">
        <v>0.99773834405865958</v>
      </c>
      <c r="D1767" s="1100">
        <v>1.0005995745785401</v>
      </c>
      <c r="E1767" s="1100">
        <v>0.97905722742284251</v>
      </c>
      <c r="F1767" s="1100">
        <v>1.0470667653401262</v>
      </c>
      <c r="G1767" s="1100">
        <v>0.9932648253539279</v>
      </c>
      <c r="H1767" s="1100">
        <v>1.0169497618596497</v>
      </c>
      <c r="I1767" s="1100">
        <v>0.96981794954205125</v>
      </c>
      <c r="K1767">
        <v>2.2750052424565874</v>
      </c>
      <c r="L1767">
        <v>0</v>
      </c>
      <c r="M1767">
        <v>1.646112970383682E-3</v>
      </c>
      <c r="N1767">
        <v>0.14052986645899704</v>
      </c>
      <c r="O1767">
        <v>1.978128430661984E-2</v>
      </c>
      <c r="P1767">
        <v>2.6459244745924961E-2</v>
      </c>
      <c r="Q1767">
        <v>5.4009889669713309E-3</v>
      </c>
      <c r="R1767">
        <v>1.6233623043736597E-3</v>
      </c>
      <c r="S1767">
        <v>0.23584981329790947</v>
      </c>
      <c r="T1767">
        <v>1.4070850747673593</v>
      </c>
      <c r="U1767">
        <v>0.14304791417627902</v>
      </c>
      <c r="V1767">
        <v>0.18408135904852771</v>
      </c>
      <c r="W1767">
        <v>9.3484547751309932E-2</v>
      </c>
      <c r="X1767">
        <v>1.4889642551433446E-2</v>
      </c>
      <c r="Y1767">
        <v>4.4182570512652864E-3</v>
      </c>
    </row>
    <row r="1768" spans="1:25" x14ac:dyDescent="0.25">
      <c r="A1768" s="1096"/>
      <c r="B1768" s="1455">
        <v>1518</v>
      </c>
      <c r="C1768" s="1100">
        <v>0.97633563459744943</v>
      </c>
      <c r="D1768" s="1100">
        <v>0.99094955279911301</v>
      </c>
      <c r="E1768" s="1100">
        <v>1.0253155264925877</v>
      </c>
      <c r="F1768" s="1100">
        <v>1.0352418490524005</v>
      </c>
      <c r="G1768" s="1100">
        <v>0.97537528300357312</v>
      </c>
      <c r="H1768" s="1100">
        <v>0.99864338719589829</v>
      </c>
      <c r="I1768" s="1100">
        <v>0.99561926699921022</v>
      </c>
      <c r="K1768">
        <v>2.2857837739577951</v>
      </c>
      <c r="L1768">
        <v>0</v>
      </c>
      <c r="M1768">
        <v>1.503932663147722E-3</v>
      </c>
      <c r="N1768">
        <v>0.14760854477301763</v>
      </c>
      <c r="O1768">
        <v>2.0287728898861407E-2</v>
      </c>
      <c r="P1768">
        <v>2.7363781945486852E-2</v>
      </c>
      <c r="Q1768">
        <v>5.8025971095600273E-3</v>
      </c>
      <c r="R1768">
        <v>1.4827660224373475E-3</v>
      </c>
      <c r="S1768">
        <v>0.24749233922378222</v>
      </c>
      <c r="T1768">
        <v>1.3912727773718216</v>
      </c>
      <c r="U1768">
        <v>0.14629285033186568</v>
      </c>
      <c r="V1768">
        <v>0.18340428855982871</v>
      </c>
      <c r="W1768">
        <v>9.553493705411191E-2</v>
      </c>
      <c r="X1768">
        <v>1.6709495010782994E-2</v>
      </c>
      <c r="Y1768">
        <v>4.0356003193865305E-3</v>
      </c>
    </row>
    <row r="1769" spans="1:25" x14ac:dyDescent="0.25">
      <c r="A1769" s="1096"/>
      <c r="B1769" s="1455">
        <v>1519</v>
      </c>
      <c r="C1769" s="1100">
        <v>0.97953266829269736</v>
      </c>
      <c r="D1769" s="1100">
        <v>1.0367043602412658</v>
      </c>
      <c r="E1769" s="1100">
        <v>0.98711020773831937</v>
      </c>
      <c r="F1769" s="1100">
        <v>1.0069620283871379</v>
      </c>
      <c r="G1769" s="1100">
        <v>0.98225448324830678</v>
      </c>
      <c r="H1769" s="1100">
        <v>0.98029934824867981</v>
      </c>
      <c r="I1769" s="1100">
        <v>0.96865683758069709</v>
      </c>
      <c r="K1769">
        <v>2.2155779466739696</v>
      </c>
      <c r="L1769">
        <v>0</v>
      </c>
      <c r="M1769">
        <v>1.5772278074580768E-3</v>
      </c>
      <c r="N1769">
        <v>0.13789713621643834</v>
      </c>
      <c r="O1769">
        <v>1.9997503145054083E-2</v>
      </c>
      <c r="P1769">
        <v>2.5888229994229409E-2</v>
      </c>
      <c r="Q1769">
        <v>5.5048210558076146E-3</v>
      </c>
      <c r="R1769">
        <v>1.5546142083725243E-3</v>
      </c>
      <c r="S1769">
        <v>0.23295386074448141</v>
      </c>
      <c r="T1769">
        <v>1.3532008330124183</v>
      </c>
      <c r="U1769">
        <v>0.14572549126239112</v>
      </c>
      <c r="V1769">
        <v>0.18394850620184355</v>
      </c>
      <c r="W1769">
        <v>9.1289284602755205E-2</v>
      </c>
      <c r="X1769">
        <v>1.4963746640882613E-2</v>
      </c>
      <c r="Y1769">
        <v>4.2311473967539537E-3</v>
      </c>
    </row>
    <row r="1770" spans="1:25" x14ac:dyDescent="0.25">
      <c r="A1770" s="1096"/>
      <c r="B1770" s="1455">
        <v>1520</v>
      </c>
      <c r="C1770" s="1100">
        <v>1.0110062086787406</v>
      </c>
      <c r="D1770" s="1100">
        <v>0.99910439201176193</v>
      </c>
      <c r="E1770" s="1100">
        <v>0.99340068079368993</v>
      </c>
      <c r="F1770" s="1100">
        <v>0.97113312999546708</v>
      </c>
      <c r="G1770" s="1100">
        <v>1.020010274957972</v>
      </c>
      <c r="H1770" s="1100">
        <v>0.96863234024816347</v>
      </c>
      <c r="I1770" s="1100">
        <v>1.0279278650274548</v>
      </c>
      <c r="K1770">
        <v>2.1670836997045937</v>
      </c>
      <c r="L1770">
        <v>0</v>
      </c>
      <c r="M1770">
        <v>1.5025580578007427E-3</v>
      </c>
      <c r="N1770">
        <v>0.13386764085345598</v>
      </c>
      <c r="O1770">
        <v>1.9536954248959688E-2</v>
      </c>
      <c r="P1770">
        <v>2.546571404414389E-2</v>
      </c>
      <c r="Q1770">
        <v>5.4123419901093766E-3</v>
      </c>
      <c r="R1770">
        <v>1.4807555588754046E-3</v>
      </c>
      <c r="S1770">
        <v>0.24305954883522285</v>
      </c>
      <c r="T1770">
        <v>1.3050607771511384</v>
      </c>
      <c r="U1770">
        <v>0.14120322737266328</v>
      </c>
      <c r="V1770">
        <v>0.18633673056651914</v>
      </c>
      <c r="W1770">
        <v>8.8288453623303939E-2</v>
      </c>
      <c r="X1770">
        <v>1.4843985017680927E-2</v>
      </c>
      <c r="Y1770">
        <v>4.0301285003200545E-3</v>
      </c>
    </row>
    <row r="1771" spans="1:25" x14ac:dyDescent="0.25">
      <c r="A1771" s="1096"/>
      <c r="B1771" s="1455">
        <v>1521</v>
      </c>
      <c r="C1771" s="1100">
        <v>1.0291520668422018</v>
      </c>
      <c r="D1771" s="1100">
        <v>1.0250491940508621</v>
      </c>
      <c r="E1771" s="1100">
        <v>1.0072252618225053</v>
      </c>
      <c r="F1771" s="1100">
        <v>0.99464183324944722</v>
      </c>
      <c r="G1771" s="1100">
        <v>1.0352745330324307</v>
      </c>
      <c r="H1771" s="1100">
        <v>0.98119685485615893</v>
      </c>
      <c r="I1771" s="1100">
        <v>0.98512336287860869</v>
      </c>
      <c r="K1771">
        <v>2.1809545848890473</v>
      </c>
      <c r="L1771">
        <v>0</v>
      </c>
      <c r="M1771">
        <v>1.444769871519932E-3</v>
      </c>
      <c r="N1771">
        <v>0.13423435449203597</v>
      </c>
      <c r="O1771">
        <v>1.9092885621760213E-2</v>
      </c>
      <c r="P1771">
        <v>2.5918289288197754E-2</v>
      </c>
      <c r="Q1771">
        <v>5.3633230111168667E-3</v>
      </c>
      <c r="R1771">
        <v>1.4240743437564474E-3</v>
      </c>
      <c r="S1771">
        <v>0.22697366065543884</v>
      </c>
      <c r="T1771">
        <v>1.3366750167055557</v>
      </c>
      <c r="U1771">
        <v>0.13874448119449842</v>
      </c>
      <c r="V1771">
        <v>0.18703933006354784</v>
      </c>
      <c r="W1771">
        <v>8.7806046984573907E-2</v>
      </c>
      <c r="X1771">
        <v>1.5252031482357509E-2</v>
      </c>
      <c r="Y1771">
        <v>3.8758609177237972E-3</v>
      </c>
    </row>
    <row r="1772" spans="1:25" x14ac:dyDescent="0.25">
      <c r="A1772" s="1096"/>
      <c r="B1772" s="1455">
        <v>1522</v>
      </c>
      <c r="C1772" s="1100">
        <v>1.0404899201630191</v>
      </c>
      <c r="D1772" s="1100">
        <v>1.0073707202255429</v>
      </c>
      <c r="E1772" s="1100">
        <v>1.0196774991570712</v>
      </c>
      <c r="F1772" s="1100">
        <v>1.0211787361688103</v>
      </c>
      <c r="G1772" s="1100">
        <v>1.0333954318382887</v>
      </c>
      <c r="H1772" s="1100">
        <v>1.0266584040618745</v>
      </c>
      <c r="I1772" s="1100">
        <v>0.98580118966738817</v>
      </c>
      <c r="K1772">
        <v>2.2296526016853773</v>
      </c>
      <c r="L1772">
        <v>0</v>
      </c>
      <c r="M1772">
        <v>1.4626197383030117E-3</v>
      </c>
      <c r="N1772">
        <v>0.14118814737827831</v>
      </c>
      <c r="O1772">
        <v>1.8964733241198812E-2</v>
      </c>
      <c r="P1772">
        <v>2.6663059692233409E-2</v>
      </c>
      <c r="Q1772">
        <v>5.3939241810820856E-3</v>
      </c>
      <c r="R1772">
        <v>1.4425962637434288E-3</v>
      </c>
      <c r="S1772">
        <v>0.23014866582549318</v>
      </c>
      <c r="T1772">
        <v>1.3723612538316949</v>
      </c>
      <c r="U1772">
        <v>0.1372602416699715</v>
      </c>
      <c r="V1772">
        <v>0.18620939228076283</v>
      </c>
      <c r="W1772">
        <v>9.1680863617820171E-2</v>
      </c>
      <c r="X1772">
        <v>1.5876071963223402E-2</v>
      </c>
      <c r="Y1772">
        <v>3.9262714781790765E-3</v>
      </c>
    </row>
    <row r="1773" spans="1:25" x14ac:dyDescent="0.25">
      <c r="A1773" s="1096"/>
      <c r="B1773" s="1455">
        <v>1523</v>
      </c>
      <c r="C1773" s="1100">
        <v>1.0271805823606681</v>
      </c>
      <c r="D1773" s="1100">
        <v>0.99381917367095429</v>
      </c>
      <c r="E1773" s="1100">
        <v>1.0108689586438206</v>
      </c>
      <c r="F1773" s="1100">
        <v>0.96882443031289278</v>
      </c>
      <c r="G1773" s="1100">
        <v>1.019943135917839</v>
      </c>
      <c r="H1773" s="1100">
        <v>0.96749297715035787</v>
      </c>
      <c r="I1773" s="1100">
        <v>1.0055401027062962</v>
      </c>
      <c r="K1773">
        <v>2.1518726034629219</v>
      </c>
      <c r="L1773">
        <v>0</v>
      </c>
      <c r="M1773">
        <v>1.4262388824232445E-3</v>
      </c>
      <c r="N1773">
        <v>0.13395088195530197</v>
      </c>
      <c r="O1773">
        <v>1.9262410584488243E-2</v>
      </c>
      <c r="P1773">
        <v>2.559874736751408E-2</v>
      </c>
      <c r="Q1773">
        <v>5.4306988066667033E-3</v>
      </c>
      <c r="R1773">
        <v>1.4055194226467805E-3</v>
      </c>
      <c r="S1773">
        <v>0.23468609102335064</v>
      </c>
      <c r="T1773">
        <v>1.3019859466894088</v>
      </c>
      <c r="U1773">
        <v>0.13901895414862941</v>
      </c>
      <c r="V1773">
        <v>0.18542015596555686</v>
      </c>
      <c r="W1773">
        <v>8.7432419678946008E-2</v>
      </c>
      <c r="X1773">
        <v>1.5281656163741445E-2</v>
      </c>
      <c r="Y1773">
        <v>3.8253605390913843E-3</v>
      </c>
    </row>
    <row r="1774" spans="1:25" x14ac:dyDescent="0.25">
      <c r="A1774" s="1096"/>
      <c r="B1774" s="1455">
        <v>1524</v>
      </c>
      <c r="C1774" s="1100">
        <v>1.0322449186451395</v>
      </c>
      <c r="D1774" s="1100">
        <v>1.0241098647228353</v>
      </c>
      <c r="E1774" s="1100">
        <v>1.0084824284239768</v>
      </c>
      <c r="F1774" s="1100">
        <v>0.98971098805969648</v>
      </c>
      <c r="G1774" s="1100">
        <v>0.97234658396749174</v>
      </c>
      <c r="H1774" s="1100">
        <v>1.0176650329449466</v>
      </c>
      <c r="I1774" s="1100">
        <v>0.99374959120354511</v>
      </c>
      <c r="K1774">
        <v>2.1787491068359071</v>
      </c>
      <c r="L1774">
        <v>0</v>
      </c>
      <c r="M1774">
        <v>1.4903829340309383E-3</v>
      </c>
      <c r="N1774">
        <v>0.13907131373466136</v>
      </c>
      <c r="O1774">
        <v>1.904027630371596E-2</v>
      </c>
      <c r="P1774">
        <v>2.5803666152153879E-2</v>
      </c>
      <c r="Q1774">
        <v>5.355278479297107E-3</v>
      </c>
      <c r="R1774">
        <v>1.469799065781073E-3</v>
      </c>
      <c r="S1774">
        <v>0.23118776110599881</v>
      </c>
      <c r="T1774">
        <v>1.3300507659715055</v>
      </c>
      <c r="U1774">
        <v>0.13833157705785121</v>
      </c>
      <c r="V1774">
        <v>0.17975468333776512</v>
      </c>
      <c r="W1774">
        <v>9.0902495861653748E-2</v>
      </c>
      <c r="X1774">
        <v>1.5271564161629949E-2</v>
      </c>
      <c r="Y1774">
        <v>4.0003085379242643E-3</v>
      </c>
    </row>
    <row r="1775" spans="1:25" x14ac:dyDescent="0.25">
      <c r="A1775" s="1096"/>
      <c r="B1775" s="1455">
        <v>1525</v>
      </c>
      <c r="C1775" s="1100">
        <v>0.98679612632852398</v>
      </c>
      <c r="D1775" s="1100">
        <v>0.99812749601482198</v>
      </c>
      <c r="E1775" s="1100">
        <v>0.96970288611778088</v>
      </c>
      <c r="F1775" s="1100">
        <v>0.98651089106698409</v>
      </c>
      <c r="G1775" s="1100">
        <v>1.0274249109303806</v>
      </c>
      <c r="H1775" s="1100">
        <v>0.98678322297147802</v>
      </c>
      <c r="I1775" s="1100">
        <v>0.98957504379455907</v>
      </c>
      <c r="K1775">
        <v>2.1975521766922532</v>
      </c>
      <c r="L1775">
        <v>0</v>
      </c>
      <c r="M1775">
        <v>1.6474048994098401E-3</v>
      </c>
      <c r="N1775">
        <v>0.13665524295505543</v>
      </c>
      <c r="O1775">
        <v>2.0005619586394529E-2</v>
      </c>
      <c r="P1775">
        <v>2.533728813057828E-2</v>
      </c>
      <c r="Q1775">
        <v>5.4103916799154682E-3</v>
      </c>
      <c r="R1775">
        <v>1.6239403308650703E-3</v>
      </c>
      <c r="S1775">
        <v>0.24112781446659121</v>
      </c>
      <c r="T1775">
        <v>1.3256984590124845</v>
      </c>
      <c r="U1775">
        <v>0.1446123853602857</v>
      </c>
      <c r="V1775">
        <v>0.1885941272157749</v>
      </c>
      <c r="W1775">
        <v>9.1424273331007694E-2</v>
      </c>
      <c r="X1775">
        <v>1.429020927388145E-2</v>
      </c>
      <c r="Y1775">
        <v>4.4198302488285242E-3</v>
      </c>
    </row>
    <row r="1776" spans="1:25" x14ac:dyDescent="0.25">
      <c r="A1776" s="1096"/>
      <c r="B1776" s="1455">
        <v>1526</v>
      </c>
      <c r="C1776" s="1100">
        <v>0.98990409863856788</v>
      </c>
      <c r="D1776" s="1100">
        <v>0.99771365374769527</v>
      </c>
      <c r="E1776" s="1100">
        <v>1.0252699894181907</v>
      </c>
      <c r="F1776" s="1100">
        <v>0.97666961634462213</v>
      </c>
      <c r="G1776" s="1100">
        <v>1.029444206789774</v>
      </c>
      <c r="H1776" s="1100">
        <v>1.0050033952273645</v>
      </c>
      <c r="I1776" s="1100">
        <v>0.96939937460105241</v>
      </c>
      <c r="K1776">
        <v>2.1959258304603413</v>
      </c>
      <c r="L1776">
        <v>0</v>
      </c>
      <c r="M1776">
        <v>1.490674175836293E-3</v>
      </c>
      <c r="N1776">
        <v>0.14630037121217251</v>
      </c>
      <c r="O1776">
        <v>1.9979695375689735E-2</v>
      </c>
      <c r="P1776">
        <v>2.6173420910664387E-2</v>
      </c>
      <c r="Q1776">
        <v>5.7142369263955047E-3</v>
      </c>
      <c r="R1776">
        <v>1.4698269065701623E-3</v>
      </c>
      <c r="S1776">
        <v>0.23736466565641498</v>
      </c>
      <c r="T1776">
        <v>1.3125568219808026</v>
      </c>
      <c r="U1776">
        <v>0.14428753029643071</v>
      </c>
      <c r="V1776">
        <v>0.18868243914981717</v>
      </c>
      <c r="W1776">
        <v>9.4690775523128989E-2</v>
      </c>
      <c r="X1776">
        <v>1.6196336386716446E-2</v>
      </c>
      <c r="Y1776">
        <v>4.0003843113744506E-3</v>
      </c>
    </row>
    <row r="1777" spans="1:25" x14ac:dyDescent="0.25">
      <c r="A1777" s="1096"/>
      <c r="B1777" s="1455">
        <v>1527</v>
      </c>
      <c r="C1777" s="1100">
        <v>1.0111220476178189</v>
      </c>
      <c r="D1777" s="1100">
        <v>1.0038727429995153</v>
      </c>
      <c r="E1777" s="1100">
        <v>0.99016872182232096</v>
      </c>
      <c r="F1777" s="1100">
        <v>0.99784914847487949</v>
      </c>
      <c r="G1777" s="1100">
        <v>0.97756166790382737</v>
      </c>
      <c r="H1777" s="1100">
        <v>0.99215230155326473</v>
      </c>
      <c r="I1777" s="1100">
        <v>1.0007581917862252</v>
      </c>
      <c r="K1777">
        <v>2.198042039219958</v>
      </c>
      <c r="L1777">
        <v>0</v>
      </c>
      <c r="M1777">
        <v>1.5475823880987602E-3</v>
      </c>
      <c r="N1777">
        <v>0.13658609347731926</v>
      </c>
      <c r="O1777">
        <v>1.9512272075294112E-2</v>
      </c>
      <c r="P1777">
        <v>2.5754566720853991E-2</v>
      </c>
      <c r="Q1777">
        <v>5.3878920453243623E-3</v>
      </c>
      <c r="R1777">
        <v>1.5256589121949724E-3</v>
      </c>
      <c r="S1777">
        <v>0.2378829834242249</v>
      </c>
      <c r="T1777">
        <v>1.3409586381132443</v>
      </c>
      <c r="U1777">
        <v>0.14117970088950371</v>
      </c>
      <c r="V1777">
        <v>0.18152892116234701</v>
      </c>
      <c r="W1777">
        <v>9.025566144178318E-2</v>
      </c>
      <c r="X1777">
        <v>1.486489272029607E-2</v>
      </c>
      <c r="Y1777">
        <v>4.1523406256694755E-3</v>
      </c>
    </row>
    <row r="1778" spans="1:25" x14ac:dyDescent="0.25">
      <c r="A1778" s="1096"/>
      <c r="B1778" s="1455">
        <v>1528</v>
      </c>
      <c r="C1778" s="1100">
        <v>1.0043057964922797</v>
      </c>
      <c r="D1778" s="1100">
        <v>1.0363025708662379</v>
      </c>
      <c r="E1778" s="1100">
        <v>0.96722920345609187</v>
      </c>
      <c r="F1778" s="1100">
        <v>1.0207731866005512</v>
      </c>
      <c r="G1778" s="1100">
        <v>1.0077090969413514</v>
      </c>
      <c r="H1778" s="1100">
        <v>0.9652580233530238</v>
      </c>
      <c r="I1778" s="1100">
        <v>1.0008634012660484</v>
      </c>
      <c r="K1778">
        <v>2.2184623396594261</v>
      </c>
      <c r="L1778">
        <v>0</v>
      </c>
      <c r="M1778">
        <v>1.5783912876867607E-3</v>
      </c>
      <c r="N1778">
        <v>0.12991144527688331</v>
      </c>
      <c r="O1778">
        <v>1.9493665801392987E-2</v>
      </c>
      <c r="P1778">
        <v>2.5722745209780656E-2</v>
      </c>
      <c r="Q1778">
        <v>5.2586135034440014E-3</v>
      </c>
      <c r="R1778">
        <v>1.5554083662908649E-3</v>
      </c>
      <c r="S1778">
        <v>0.2334693510150388</v>
      </c>
      <c r="T1778">
        <v>1.3717387345316778</v>
      </c>
      <c r="U1778">
        <v>0.14208548459596404</v>
      </c>
      <c r="V1778">
        <v>0.18531570524739549</v>
      </c>
      <c r="W1778">
        <v>8.7043689074020394E-2</v>
      </c>
      <c r="X1778">
        <v>1.4212579492408943E-2</v>
      </c>
      <c r="Y1778">
        <v>4.2333088328135888E-3</v>
      </c>
    </row>
    <row r="1779" spans="1:25" x14ac:dyDescent="0.25">
      <c r="A1779" s="1096"/>
      <c r="B1779" s="1455">
        <v>1529</v>
      </c>
      <c r="C1779" s="1100">
        <v>1.0040977824378365</v>
      </c>
      <c r="D1779" s="1100">
        <v>1.0402388440392034</v>
      </c>
      <c r="E1779" s="1100">
        <v>0.95438804016067458</v>
      </c>
      <c r="F1779" s="1100">
        <v>1.016257816724071</v>
      </c>
      <c r="G1779" s="1100">
        <v>1.0149492931592852</v>
      </c>
      <c r="H1779" s="1100">
        <v>1.0032113135489542</v>
      </c>
      <c r="I1779" s="1100">
        <v>1.0378913976419866</v>
      </c>
      <c r="K1779">
        <v>2.2304908750146817</v>
      </c>
      <c r="L1779">
        <v>0</v>
      </c>
      <c r="M1779">
        <v>1.6834000877740674E-3</v>
      </c>
      <c r="N1779">
        <v>0.13334148699583712</v>
      </c>
      <c r="O1779">
        <v>1.9473580083250251E-2</v>
      </c>
      <c r="P1779">
        <v>2.5547775737837484E-2</v>
      </c>
      <c r="Q1779">
        <v>5.1843488411625173E-3</v>
      </c>
      <c r="R1779">
        <v>1.6598154667976351E-3</v>
      </c>
      <c r="S1779">
        <v>0.24471555530986019</v>
      </c>
      <c r="T1779">
        <v>1.3656613761674588</v>
      </c>
      <c r="U1779">
        <v>0.14208566605011722</v>
      </c>
      <c r="V1779">
        <v>0.18613609709085019</v>
      </c>
      <c r="W1779">
        <v>9.0048053836412664E-2</v>
      </c>
      <c r="X1779">
        <v>1.3803048980266916E-2</v>
      </c>
      <c r="Y1779">
        <v>4.5174705426015852E-3</v>
      </c>
    </row>
    <row r="1780" spans="1:25" x14ac:dyDescent="0.25">
      <c r="A1780" s="1096"/>
      <c r="B1780" s="1455">
        <v>1530</v>
      </c>
      <c r="C1780" s="1100">
        <v>0.98713002697685737</v>
      </c>
      <c r="D1780" s="1100">
        <v>0.98854004011534746</v>
      </c>
      <c r="E1780" s="1100">
        <v>0.95995677484281006</v>
      </c>
      <c r="F1780" s="1100">
        <v>1.0151432236324403</v>
      </c>
      <c r="G1780" s="1100">
        <v>1.0242256756002943</v>
      </c>
      <c r="H1780" s="1100">
        <v>1.0089812479612648</v>
      </c>
      <c r="I1780" s="1100">
        <v>1.0203002455154977</v>
      </c>
      <c r="K1780">
        <v>2.2504450168758887</v>
      </c>
      <c r="L1780">
        <v>0</v>
      </c>
      <c r="M1780">
        <v>1.7217409804492967E-3</v>
      </c>
      <c r="N1780">
        <v>0.13871097720403622</v>
      </c>
      <c r="O1780">
        <v>2.0035215991174714E-2</v>
      </c>
      <c r="P1780">
        <v>2.5788219499264898E-2</v>
      </c>
      <c r="Q1780">
        <v>5.3645350935269571E-3</v>
      </c>
      <c r="R1780">
        <v>1.697757141537756E-3</v>
      </c>
      <c r="S1780">
        <v>0.25149900805270275</v>
      </c>
      <c r="T1780">
        <v>1.3641672254057056</v>
      </c>
      <c r="U1780">
        <v>0.14454086945883871</v>
      </c>
      <c r="V1780">
        <v>0.18820411809956741</v>
      </c>
      <c r="W1780">
        <v>9.3353974820384697E-2</v>
      </c>
      <c r="X1780">
        <v>1.4184121815821134E-2</v>
      </c>
      <c r="Y1780">
        <v>4.620735273774477E-3</v>
      </c>
    </row>
    <row r="1781" spans="1:25" x14ac:dyDescent="0.25">
      <c r="A1781" s="1096"/>
      <c r="B1781" s="1455">
        <v>1531</v>
      </c>
      <c r="C1781" s="1100">
        <v>0.98894684962205204</v>
      </c>
      <c r="D1781" s="1100">
        <v>1.0093269030939389</v>
      </c>
      <c r="E1781" s="1100">
        <v>0.95379076617918712</v>
      </c>
      <c r="F1781" s="1100">
        <v>1.0277185119705643</v>
      </c>
      <c r="G1781" s="1100">
        <v>0.9911809522733136</v>
      </c>
      <c r="H1781" s="1100">
        <v>0.96484985388828037</v>
      </c>
      <c r="I1781" s="1100">
        <v>0.96199881323890046</v>
      </c>
      <c r="K1781">
        <v>2.2289124211605893</v>
      </c>
      <c r="L1781">
        <v>0</v>
      </c>
      <c r="M1781">
        <v>1.6568153027742541E-3</v>
      </c>
      <c r="N1781">
        <v>0.13092430935964433</v>
      </c>
      <c r="O1781">
        <v>1.9903203007274665E-2</v>
      </c>
      <c r="P1781">
        <v>2.5560300650758681E-2</v>
      </c>
      <c r="Q1781">
        <v>5.2954625404716725E-3</v>
      </c>
      <c r="R1781">
        <v>1.6326802452292955E-3</v>
      </c>
      <c r="S1781">
        <v>0.23077855899997232</v>
      </c>
      <c r="T1781">
        <v>1.3810620633327442</v>
      </c>
      <c r="U1781">
        <v>0.14426107694194823</v>
      </c>
      <c r="V1781">
        <v>0.18435308008278226</v>
      </c>
      <c r="W1781">
        <v>8.8448243873535476E-2</v>
      </c>
      <c r="X1781">
        <v>1.3906640014385853E-2</v>
      </c>
      <c r="Y1781">
        <v>4.4436174146159513E-3</v>
      </c>
    </row>
    <row r="1782" spans="1:25" x14ac:dyDescent="0.25">
      <c r="A1782" s="1096"/>
      <c r="B1782" s="1455">
        <v>1532</v>
      </c>
      <c r="C1782" s="1100">
        <v>0.9644318029536777</v>
      </c>
      <c r="D1782" s="1100">
        <v>1.0105368905360674</v>
      </c>
      <c r="E1782" s="1100">
        <v>1.0416028536305875</v>
      </c>
      <c r="F1782" s="1100">
        <v>1.0299439162261899</v>
      </c>
      <c r="G1782" s="1100">
        <v>1.0159424386061477</v>
      </c>
      <c r="H1782" s="1100">
        <v>1.0051614911186488</v>
      </c>
      <c r="I1782" s="1100">
        <v>0.98048987921947062</v>
      </c>
      <c r="K1782">
        <v>2.2910193017126819</v>
      </c>
      <c r="L1782">
        <v>0</v>
      </c>
      <c r="M1782">
        <v>1.4749053247660854E-3</v>
      </c>
      <c r="N1782">
        <v>0.15205672031309628</v>
      </c>
      <c r="O1782">
        <v>2.0460464980024427E-2</v>
      </c>
      <c r="P1782">
        <v>2.7654828051774324E-2</v>
      </c>
      <c r="Q1782">
        <v>5.9468199026122704E-3</v>
      </c>
      <c r="R1782">
        <v>1.4542818291593718E-3</v>
      </c>
      <c r="S1782">
        <v>0.24499976904482332</v>
      </c>
      <c r="T1782">
        <v>1.3841915558106272</v>
      </c>
      <c r="U1782">
        <v>0.14813759682068045</v>
      </c>
      <c r="V1782">
        <v>0.1887556077443194</v>
      </c>
      <c r="W1782">
        <v>9.7490307499835144E-2</v>
      </c>
      <c r="X1782">
        <v>1.7388179305400008E-2</v>
      </c>
      <c r="Y1782">
        <v>3.9580757350956711E-3</v>
      </c>
    </row>
    <row r="1783" spans="1:25" x14ac:dyDescent="0.25">
      <c r="A1783" s="1096"/>
      <c r="B1783" s="1455">
        <v>1533</v>
      </c>
      <c r="C1783" s="1100">
        <v>0.99118714339612979</v>
      </c>
      <c r="D1783" s="1100">
        <v>1.0105788328013536</v>
      </c>
      <c r="E1783" s="1100">
        <v>1.0052435503806838</v>
      </c>
      <c r="F1783" s="1100">
        <v>1.0200373907862237</v>
      </c>
      <c r="G1783" s="1100">
        <v>1.0070247437091124</v>
      </c>
      <c r="H1783" s="1100">
        <v>0.99003467285878755</v>
      </c>
      <c r="I1783" s="1100">
        <v>1.0160910110041501</v>
      </c>
      <c r="K1783">
        <v>2.2513839307702073</v>
      </c>
      <c r="L1783">
        <v>0</v>
      </c>
      <c r="M1783">
        <v>1.5246219961974794E-3</v>
      </c>
      <c r="N1783">
        <v>0.14082654113274015</v>
      </c>
      <c r="O1783">
        <v>1.9885046657221402E-2</v>
      </c>
      <c r="P1783">
        <v>2.6660858671274486E-2</v>
      </c>
      <c r="Q1783">
        <v>5.5747689250640817E-3</v>
      </c>
      <c r="R1783">
        <v>1.5029775861260519E-3</v>
      </c>
      <c r="S1783">
        <v>0.24551236943581603</v>
      </c>
      <c r="T1783">
        <v>1.3707999988405686</v>
      </c>
      <c r="U1783">
        <v>0.14405413103556172</v>
      </c>
      <c r="V1783">
        <v>0.18605251203703144</v>
      </c>
      <c r="W1783">
        <v>9.2226190669558811E-2</v>
      </c>
      <c r="X1783">
        <v>1.5722548242435266E-2</v>
      </c>
      <c r="Y1783">
        <v>4.0906095330070042E-3</v>
      </c>
    </row>
    <row r="1784" spans="1:25" x14ac:dyDescent="0.25">
      <c r="A1784" s="1096"/>
      <c r="B1784" s="1455">
        <v>1534</v>
      </c>
      <c r="C1784" s="1100">
        <v>1.0019118140537253</v>
      </c>
      <c r="D1784" s="1100">
        <v>0.97950397487678587</v>
      </c>
      <c r="E1784" s="1100">
        <v>0.96511724456352499</v>
      </c>
      <c r="F1784" s="1100">
        <v>1.0225016238711162</v>
      </c>
      <c r="G1784" s="1100">
        <v>1.0004206942577831</v>
      </c>
      <c r="H1784" s="1100">
        <v>0.98910714771200903</v>
      </c>
      <c r="I1784" s="1100">
        <v>1.0051411964010866</v>
      </c>
      <c r="K1784">
        <v>2.2397712533733398</v>
      </c>
      <c r="L1784">
        <v>0</v>
      </c>
      <c r="M1784">
        <v>1.6486524878703353E-3</v>
      </c>
      <c r="N1784">
        <v>0.13487720771870523</v>
      </c>
      <c r="O1784">
        <v>1.9782755904342093E-2</v>
      </c>
      <c r="P1784">
        <v>2.5842748639374354E-2</v>
      </c>
      <c r="Q1784">
        <v>5.3250668312573701E-3</v>
      </c>
      <c r="R1784">
        <v>1.6252253216528943E-3</v>
      </c>
      <c r="S1784">
        <v>0.24366676912595081</v>
      </c>
      <c r="T1784">
        <v>1.374059617811433</v>
      </c>
      <c r="U1784">
        <v>0.142420159414783</v>
      </c>
      <c r="V1784">
        <v>0.18463111743053109</v>
      </c>
      <c r="W1784">
        <v>9.0487457719342523E-2</v>
      </c>
      <c r="X1784">
        <v>1.4278452373679265E-2</v>
      </c>
      <c r="Y1784">
        <v>4.4233275701558829E-3</v>
      </c>
    </row>
    <row r="1785" spans="1:25" x14ac:dyDescent="0.25">
      <c r="A1785" s="1096"/>
      <c r="B1785" s="1455">
        <v>1535</v>
      </c>
      <c r="C1785" s="1100">
        <v>0.99423488053115561</v>
      </c>
      <c r="D1785" s="1100">
        <v>1.0137113312910639</v>
      </c>
      <c r="E1785" s="1100">
        <v>0.98246388993505041</v>
      </c>
      <c r="F1785" s="1100">
        <v>0.98826802794717927</v>
      </c>
      <c r="G1785" s="1100">
        <v>0.97422574747566126</v>
      </c>
      <c r="H1785" s="1100">
        <v>1.0375169698319815</v>
      </c>
      <c r="I1785" s="1100">
        <v>0.96977699535105488</v>
      </c>
      <c r="K1785">
        <v>2.1998923313333223</v>
      </c>
      <c r="L1785">
        <v>0</v>
      </c>
      <c r="M1785">
        <v>1.6687046977693837E-3</v>
      </c>
      <c r="N1785">
        <v>0.14397441435507627</v>
      </c>
      <c r="O1785">
        <v>1.9796342035132655E-2</v>
      </c>
      <c r="P1785">
        <v>2.5457097899791069E-2</v>
      </c>
      <c r="Q1785">
        <v>5.423840048774691E-3</v>
      </c>
      <c r="R1785">
        <v>1.6460989823183217E-3</v>
      </c>
      <c r="S1785">
        <v>0.23677407877895906</v>
      </c>
      <c r="T1785">
        <v>1.3280732103795798</v>
      </c>
      <c r="U1785">
        <v>0.14355984767113325</v>
      </c>
      <c r="V1785">
        <v>0.18214151684029428</v>
      </c>
      <c r="W1785">
        <v>9.5579268630899356E-2</v>
      </c>
      <c r="X1785">
        <v>1.4655181615644837E-2</v>
      </c>
      <c r="Y1785">
        <v>4.4801387934867874E-3</v>
      </c>
    </row>
    <row r="1786" spans="1:25" x14ac:dyDescent="0.25">
      <c r="A1786" s="1096"/>
      <c r="B1786" s="1455">
        <v>1536</v>
      </c>
      <c r="C1786" s="1100">
        <v>0.97633930634236943</v>
      </c>
      <c r="D1786" s="1100">
        <v>1.0142494841230982</v>
      </c>
      <c r="E1786" s="1100">
        <v>0.97588331255175365</v>
      </c>
      <c r="F1786" s="1100">
        <v>0.99757617183916303</v>
      </c>
      <c r="G1786" s="1100">
        <v>1.0067251199250957</v>
      </c>
      <c r="H1786" s="1100">
        <v>1.0162321212827963</v>
      </c>
      <c r="I1786" s="1100">
        <v>1.0017921590209773</v>
      </c>
      <c r="K1786">
        <v>2.2291181564968019</v>
      </c>
      <c r="L1786">
        <v>0</v>
      </c>
      <c r="M1786">
        <v>1.6870325781537087E-3</v>
      </c>
      <c r="N1786">
        <v>0.14264507451398895</v>
      </c>
      <c r="O1786">
        <v>2.0152657426894864E-2</v>
      </c>
      <c r="P1786">
        <v>2.5736389361255788E-2</v>
      </c>
      <c r="Q1786">
        <v>5.4846401227787141E-3</v>
      </c>
      <c r="R1786">
        <v>1.6636999033517407E-3</v>
      </c>
      <c r="S1786">
        <v>0.24721358043552344</v>
      </c>
      <c r="T1786">
        <v>1.3405743996852624</v>
      </c>
      <c r="U1786">
        <v>0.14617572730175346</v>
      </c>
      <c r="V1786">
        <v>0.18690295417309991</v>
      </c>
      <c r="W1786">
        <v>9.5074044133237612E-2</v>
      </c>
      <c r="X1786">
        <v>1.4653979319410419E-2</v>
      </c>
      <c r="Y1786">
        <v>4.5280426983976942E-3</v>
      </c>
    </row>
    <row r="1787" spans="1:25" x14ac:dyDescent="0.25">
      <c r="A1787" s="1096"/>
      <c r="B1787" s="1455">
        <v>1537</v>
      </c>
      <c r="C1787" s="1100">
        <v>0.99784398214681647</v>
      </c>
      <c r="D1787" s="1100">
        <v>0.98821177802001092</v>
      </c>
      <c r="E1787" s="1100">
        <v>1.0207100894708878</v>
      </c>
      <c r="F1787" s="1100">
        <v>0.99266752134235337</v>
      </c>
      <c r="G1787" s="1100">
        <v>0.97505566974617053</v>
      </c>
      <c r="H1787" s="1100">
        <v>1.0270124696227985</v>
      </c>
      <c r="I1787" s="1100">
        <v>1.0299191112160806</v>
      </c>
      <c r="K1787">
        <v>2.228761466143232</v>
      </c>
      <c r="L1787">
        <v>0</v>
      </c>
      <c r="M1787">
        <v>1.5288256605482562E-3</v>
      </c>
      <c r="N1787">
        <v>0.14804021377680399</v>
      </c>
      <c r="O1787">
        <v>1.9859615488121332E-2</v>
      </c>
      <c r="P1787">
        <v>2.6495164123123301E-2</v>
      </c>
      <c r="Q1787">
        <v>5.6542461311243552E-3</v>
      </c>
      <c r="R1787">
        <v>1.5079030330167431E-3</v>
      </c>
      <c r="S1787">
        <v>0.25316455179603553</v>
      </c>
      <c r="T1787">
        <v>1.3340471336776796</v>
      </c>
      <c r="U1787">
        <v>0.14312887097735283</v>
      </c>
      <c r="V1787">
        <v>0.18205365083750985</v>
      </c>
      <c r="W1787">
        <v>9.6072221588706194E-2</v>
      </c>
      <c r="X1787">
        <v>1.6162705398532522E-2</v>
      </c>
      <c r="Y1787">
        <v>4.1040149757703348E-3</v>
      </c>
    </row>
    <row r="1788" spans="1:25" x14ac:dyDescent="0.25">
      <c r="A1788" s="1096"/>
      <c r="B1788" s="1455">
        <v>1538</v>
      </c>
      <c r="C1788" s="1100">
        <v>1.0015173394500543</v>
      </c>
      <c r="D1788" s="1100">
        <v>1.0082595555070233</v>
      </c>
      <c r="E1788" s="1100">
        <v>1.0209547990952892</v>
      </c>
      <c r="F1788" s="1100">
        <v>0.98016629121336474</v>
      </c>
      <c r="G1788" s="1100">
        <v>1.0097554972718996</v>
      </c>
      <c r="H1788" s="1100">
        <v>0.98418082875402146</v>
      </c>
      <c r="I1788" s="1100">
        <v>0.95327788353959697</v>
      </c>
      <c r="K1788">
        <v>2.1764543028672638</v>
      </c>
      <c r="L1788">
        <v>0</v>
      </c>
      <c r="M1788">
        <v>1.4525171025576047E-3</v>
      </c>
      <c r="N1788">
        <v>0.14066992531790762</v>
      </c>
      <c r="O1788">
        <v>1.9699693279486785E-2</v>
      </c>
      <c r="P1788">
        <v>2.5960845048114342E-2</v>
      </c>
      <c r="Q1788">
        <v>5.6100785681095751E-3</v>
      </c>
      <c r="R1788">
        <v>1.4317736839998597E-3</v>
      </c>
      <c r="S1788">
        <v>0.22788819659380805</v>
      </c>
      <c r="T1788">
        <v>1.3172472042068368</v>
      </c>
      <c r="U1788">
        <v>0.14260446838011606</v>
      </c>
      <c r="V1788">
        <v>0.18575788781263167</v>
      </c>
      <c r="W1788">
        <v>9.1276136760139209E-2</v>
      </c>
      <c r="X1788">
        <v>1.5863794334891899E-2</v>
      </c>
      <c r="Y1788">
        <v>3.8968159837795362E-3</v>
      </c>
    </row>
    <row r="1789" spans="1:25" x14ac:dyDescent="0.25">
      <c r="A1789" s="1096"/>
      <c r="B1789" s="1455">
        <v>1539</v>
      </c>
      <c r="C1789" s="1100">
        <v>1.0211469525993269</v>
      </c>
      <c r="D1789" s="1100">
        <v>0.972452016139706</v>
      </c>
      <c r="E1789" s="1100">
        <v>0.99716316077350564</v>
      </c>
      <c r="F1789" s="1100">
        <v>0.98984826369808965</v>
      </c>
      <c r="G1789" s="1100">
        <v>1.0067948419150829</v>
      </c>
      <c r="H1789" s="1100">
        <v>0.97045341728392021</v>
      </c>
      <c r="I1789" s="1100">
        <v>0.98275294911106026</v>
      </c>
      <c r="K1789">
        <v>2.1795106530466906</v>
      </c>
      <c r="L1789">
        <v>0</v>
      </c>
      <c r="M1789">
        <v>1.4876781393588752E-3</v>
      </c>
      <c r="N1789">
        <v>0.13406140895333524</v>
      </c>
      <c r="O1789">
        <v>1.9460655904646362E-2</v>
      </c>
      <c r="P1789">
        <v>2.5701163150973386E-2</v>
      </c>
      <c r="Q1789">
        <v>5.4116864995092401E-3</v>
      </c>
      <c r="R1789">
        <v>1.4661320595312408E-3</v>
      </c>
      <c r="S1789">
        <v>0.23339248888771275</v>
      </c>
      <c r="T1789">
        <v>1.3302167245115002</v>
      </c>
      <c r="U1789">
        <v>0.1398094516884168</v>
      </c>
      <c r="V1789">
        <v>0.18426342593379041</v>
      </c>
      <c r="W1789">
        <v>8.8218014451684312E-2</v>
      </c>
      <c r="X1789">
        <v>1.5006850989205858E-2</v>
      </c>
      <c r="Y1789">
        <v>3.990328155740506E-3</v>
      </c>
    </row>
    <row r="1790" spans="1:25" x14ac:dyDescent="0.25">
      <c r="A1790" s="1096"/>
      <c r="B1790" s="1455">
        <v>1540</v>
      </c>
      <c r="C1790" s="1100">
        <v>0.97861113626533847</v>
      </c>
      <c r="D1790" s="1100">
        <v>0.9960425126205863</v>
      </c>
      <c r="E1790" s="1100">
        <v>1.001562403214626</v>
      </c>
      <c r="F1790" s="1100">
        <v>0.98398378419414778</v>
      </c>
      <c r="G1790" s="1100">
        <v>0.98562344090054232</v>
      </c>
      <c r="H1790" s="1100">
        <v>1.0231970143618048</v>
      </c>
      <c r="I1790" s="1100">
        <v>1.0040404791612498</v>
      </c>
      <c r="K1790">
        <v>2.2187164973831064</v>
      </c>
      <c r="L1790">
        <v>0</v>
      </c>
      <c r="M1790">
        <v>1.6133136306532034E-3</v>
      </c>
      <c r="N1790">
        <v>0.14743988244415637</v>
      </c>
      <c r="O1790">
        <v>2.0202534206337185E-2</v>
      </c>
      <c r="P1790">
        <v>2.5992810351779635E-2</v>
      </c>
      <c r="Q1790">
        <v>5.6428973105229902E-3</v>
      </c>
      <c r="R1790">
        <v>1.5911524182731359E-3</v>
      </c>
      <c r="S1790">
        <v>0.25020214803604984</v>
      </c>
      <c r="T1790">
        <v>1.3223425214143705</v>
      </c>
      <c r="U1790">
        <v>0.14589668733580047</v>
      </c>
      <c r="V1790">
        <v>0.18439928211808918</v>
      </c>
      <c r="W1790">
        <v>9.6768134085673752E-2</v>
      </c>
      <c r="X1790">
        <v>1.5521168933420511E-2</v>
      </c>
      <c r="Y1790">
        <v>4.330592359285762E-3</v>
      </c>
    </row>
    <row r="1791" spans="1:25" x14ac:dyDescent="0.25">
      <c r="A1791" s="1096"/>
      <c r="B1791" s="1455">
        <v>1541</v>
      </c>
      <c r="C1791" s="1100">
        <v>1.0245473987537197</v>
      </c>
      <c r="D1791" s="1100">
        <v>0.96881917242957616</v>
      </c>
      <c r="E1791" s="1100">
        <v>1.0172010339752762</v>
      </c>
      <c r="F1791" s="1100">
        <v>1.0095655539980002</v>
      </c>
      <c r="G1791" s="1100">
        <v>0.99386374679860279</v>
      </c>
      <c r="H1791" s="1100">
        <v>0.99631711139546741</v>
      </c>
      <c r="I1791" s="1100">
        <v>0.97000507482938381</v>
      </c>
      <c r="K1791">
        <v>2.212979471347269</v>
      </c>
      <c r="L1791">
        <v>0</v>
      </c>
      <c r="M1791">
        <v>1.4614177705792792E-3</v>
      </c>
      <c r="N1791">
        <v>0.13996279636547634</v>
      </c>
      <c r="O1791">
        <v>1.9424360186820356E-2</v>
      </c>
      <c r="P1791">
        <v>2.6406664252885684E-2</v>
      </c>
      <c r="Q1791">
        <v>5.5110542442748656E-3</v>
      </c>
      <c r="R1791">
        <v>1.4408014683777112E-3</v>
      </c>
      <c r="S1791">
        <v>0.23215806210003886</v>
      </c>
      <c r="T1791">
        <v>1.3567493339140115</v>
      </c>
      <c r="U1791">
        <v>0.13939050587237131</v>
      </c>
      <c r="V1791">
        <v>0.18262636131590337</v>
      </c>
      <c r="W1791">
        <v>9.1017116628747757E-2</v>
      </c>
      <c r="X1791">
        <v>1.5832446132089627E-2</v>
      </c>
      <c r="Y1791">
        <v>3.921386636847728E-3</v>
      </c>
    </row>
    <row r="1792" spans="1:25" x14ac:dyDescent="0.25">
      <c r="A1792" s="1096"/>
      <c r="B1792" s="1455">
        <v>1542</v>
      </c>
      <c r="C1792" s="1100">
        <v>1.0201843570154934</v>
      </c>
      <c r="D1792" s="1100">
        <v>0.96164857793350289</v>
      </c>
      <c r="E1792" s="1100">
        <v>1.0093857510557143</v>
      </c>
      <c r="F1792" s="1100">
        <v>1.0055981863227539</v>
      </c>
      <c r="G1792" s="1100">
        <v>1.025034263704744</v>
      </c>
      <c r="H1792" s="1100">
        <v>1.0068665953461962</v>
      </c>
      <c r="I1792" s="1100">
        <v>0.9974463394542602</v>
      </c>
      <c r="K1792">
        <v>2.2238077706922685</v>
      </c>
      <c r="L1792">
        <v>0</v>
      </c>
      <c r="M1792">
        <v>1.5099646779590972E-3</v>
      </c>
      <c r="N1792">
        <v>0.14126211753889767</v>
      </c>
      <c r="O1792">
        <v>1.9534504286719802E-2</v>
      </c>
      <c r="P1792">
        <v>2.6368547971314847E-2</v>
      </c>
      <c r="Q1792">
        <v>5.4992517939809133E-3</v>
      </c>
      <c r="R1792">
        <v>1.4888867055134359E-3</v>
      </c>
      <c r="S1792">
        <v>0.24141964314702707</v>
      </c>
      <c r="T1792">
        <v>1.3514028430775269</v>
      </c>
      <c r="U1792">
        <v>0.13996896652766563</v>
      </c>
      <c r="V1792">
        <v>0.18639046722652958</v>
      </c>
      <c r="W1792">
        <v>9.2285279818793461E-2</v>
      </c>
      <c r="X1792">
        <v>1.5644968475220077E-2</v>
      </c>
      <c r="Y1792">
        <v>4.0522588010370062E-3</v>
      </c>
    </row>
    <row r="1793" spans="1:25" x14ac:dyDescent="0.25">
      <c r="A1793" s="1096"/>
      <c r="B1793" s="1455">
        <v>1543</v>
      </c>
      <c r="C1793" s="1100">
        <v>0.97981069009076571</v>
      </c>
      <c r="D1793" s="1100">
        <v>1.0098980411137806</v>
      </c>
      <c r="E1793" s="1100">
        <v>0.99679332889057515</v>
      </c>
      <c r="F1793" s="1100">
        <v>0.99497423569648735</v>
      </c>
      <c r="G1793" s="1100">
        <v>1.0205166548701998</v>
      </c>
      <c r="H1793" s="1100">
        <v>1.000911515521957</v>
      </c>
      <c r="I1793" s="1100">
        <v>1.011958853963506</v>
      </c>
      <c r="K1793">
        <v>2.2277799533678566</v>
      </c>
      <c r="L1793">
        <v>0</v>
      </c>
      <c r="M1793">
        <v>1.5870806588942472E-3</v>
      </c>
      <c r="N1793">
        <v>0.14292315920832119</v>
      </c>
      <c r="O1793">
        <v>2.011353527599594E-2</v>
      </c>
      <c r="P1793">
        <v>2.6125104347638588E-2</v>
      </c>
      <c r="Q1793">
        <v>5.5911590865376035E-3</v>
      </c>
      <c r="R1793">
        <v>1.5647943939015717E-3</v>
      </c>
      <c r="S1793">
        <v>0.24826808541099854</v>
      </c>
      <c r="T1793">
        <v>1.3371047476177746</v>
      </c>
      <c r="U1793">
        <v>0.14570686553489498</v>
      </c>
      <c r="V1793">
        <v>0.18826498821450341</v>
      </c>
      <c r="W1793">
        <v>9.4070141249802966E-2</v>
      </c>
      <c r="X1793">
        <v>1.5375599180515459E-2</v>
      </c>
      <c r="Y1793">
        <v>4.2588545058667628E-3</v>
      </c>
    </row>
    <row r="1794" spans="1:25" x14ac:dyDescent="0.25">
      <c r="A1794" s="1096"/>
      <c r="B1794" s="1455">
        <v>1544</v>
      </c>
      <c r="C1794" s="1100">
        <v>1.0168400154423327</v>
      </c>
      <c r="D1794" s="1100">
        <v>0.99727450427529873</v>
      </c>
      <c r="E1794" s="1100">
        <v>0.98839959051667292</v>
      </c>
      <c r="F1794" s="1100">
        <v>1.0357187164966237</v>
      </c>
      <c r="G1794" s="1100">
        <v>1.0205399677588074</v>
      </c>
      <c r="H1794" s="1100">
        <v>1.0004622646095145</v>
      </c>
      <c r="I1794" s="1100">
        <v>1.0068980225464386</v>
      </c>
      <c r="K1794">
        <v>2.2557137980131614</v>
      </c>
      <c r="L1794">
        <v>0</v>
      </c>
      <c r="M1794">
        <v>1.5597257340138008E-3</v>
      </c>
      <c r="N1794">
        <v>0.13693979566069378</v>
      </c>
      <c r="O1794">
        <v>1.9429633004701564E-2</v>
      </c>
      <c r="P1794">
        <v>2.6479883049892555E-2</v>
      </c>
      <c r="Q1794">
        <v>5.3554841195601471E-3</v>
      </c>
      <c r="R1794">
        <v>1.5378137601121593E-3</v>
      </c>
      <c r="S1794">
        <v>0.23942777508412524</v>
      </c>
      <c r="T1794">
        <v>1.3918471323509947</v>
      </c>
      <c r="U1794">
        <v>0.14038181022530741</v>
      </c>
      <c r="V1794">
        <v>0.18605578239869253</v>
      </c>
      <c r="W1794">
        <v>9.0585394180097853E-2</v>
      </c>
      <c r="X1794">
        <v>1.5047597798140671E-2</v>
      </c>
      <c r="Y1794">
        <v>4.1854221148555195E-3</v>
      </c>
    </row>
    <row r="1795" spans="1:25" x14ac:dyDescent="0.25">
      <c r="A1795" s="1096"/>
      <c r="B1795" s="1455">
        <v>1545</v>
      </c>
      <c r="C1795" s="1100">
        <v>0.98391673034377114</v>
      </c>
      <c r="D1795" s="1100">
        <v>1.0096913819834008</v>
      </c>
      <c r="E1795" s="1100">
        <v>1.0012788335371723</v>
      </c>
      <c r="F1795" s="1100">
        <v>1.0012969065023769</v>
      </c>
      <c r="G1795" s="1100">
        <v>1.0197539310443271</v>
      </c>
      <c r="H1795" s="1100">
        <v>1.0182036764888223</v>
      </c>
      <c r="I1795" s="1100">
        <v>1.0169278200488583</v>
      </c>
      <c r="K1795">
        <v>2.2412948081827389</v>
      </c>
      <c r="L1795">
        <v>0</v>
      </c>
      <c r="M1795">
        <v>1.5929463549252303E-3</v>
      </c>
      <c r="N1795">
        <v>0.1454439385904982</v>
      </c>
      <c r="O1795">
        <v>2.0033341450801271E-2</v>
      </c>
      <c r="P1795">
        <v>2.6338866967462893E-2</v>
      </c>
      <c r="Q1795">
        <v>5.5940455229354803E-3</v>
      </c>
      <c r="R1795">
        <v>1.570957608726967E-3</v>
      </c>
      <c r="S1795">
        <v>0.2499357515714675</v>
      </c>
      <c r="T1795">
        <v>1.3456085800121542</v>
      </c>
      <c r="U1795">
        <v>0.14510930199229835</v>
      </c>
      <c r="V1795">
        <v>0.18793009792013887</v>
      </c>
      <c r="W1795">
        <v>9.5474222604525927E-2</v>
      </c>
      <c r="X1795">
        <v>1.5573021551735488E-2</v>
      </c>
      <c r="Y1795">
        <v>4.2756287449182686E-3</v>
      </c>
    </row>
    <row r="1796" spans="1:25" x14ac:dyDescent="0.25">
      <c r="A1796" s="1096"/>
      <c r="B1796" s="1455">
        <v>1546</v>
      </c>
      <c r="C1796" s="1100">
        <v>1.0074039489057636</v>
      </c>
      <c r="D1796" s="1100">
        <v>1.0279479173948369</v>
      </c>
      <c r="E1796" s="1100">
        <v>1.0194439617235931</v>
      </c>
      <c r="F1796" s="1100">
        <v>1.0177254744063535</v>
      </c>
      <c r="G1796" s="1100">
        <v>1.0054613109678248</v>
      </c>
      <c r="H1796" s="1100">
        <v>1.0217510505012204</v>
      </c>
      <c r="I1796" s="1100">
        <v>1.0222017838296205</v>
      </c>
      <c r="K1796">
        <v>2.2482743892196311</v>
      </c>
      <c r="L1796">
        <v>0</v>
      </c>
      <c r="M1796">
        <v>1.4974895718017074E-3</v>
      </c>
      <c r="N1796">
        <v>0.14444272697551394</v>
      </c>
      <c r="O1796">
        <v>1.9500500507869938E-2</v>
      </c>
      <c r="P1796">
        <v>2.6825628284463506E-2</v>
      </c>
      <c r="Q1796">
        <v>5.5450185469294944E-3</v>
      </c>
      <c r="R1796">
        <v>1.4768902609780487E-3</v>
      </c>
      <c r="S1796">
        <v>0.24363615056591745</v>
      </c>
      <c r="T1796">
        <v>1.3677199396629265</v>
      </c>
      <c r="U1796">
        <v>0.14176771767441149</v>
      </c>
      <c r="V1796">
        <v>0.18492490363332409</v>
      </c>
      <c r="W1796">
        <v>9.3807053296878606E-2</v>
      </c>
      <c r="X1796">
        <v>1.6105740948579965E-2</v>
      </c>
      <c r="Y1796">
        <v>4.0196084336385626E-3</v>
      </c>
    </row>
    <row r="1797" spans="1:25" x14ac:dyDescent="0.25">
      <c r="A1797" s="1096"/>
      <c r="B1797" s="1455">
        <v>1547</v>
      </c>
      <c r="C1797" s="1100">
        <v>1.0152192396444015</v>
      </c>
      <c r="D1797" s="1100">
        <v>0.98292924827842443</v>
      </c>
      <c r="E1797" s="1100">
        <v>0.99549399760671931</v>
      </c>
      <c r="F1797" s="1100">
        <v>1.0171815052284983</v>
      </c>
      <c r="G1797" s="1100">
        <v>0.9698903067670982</v>
      </c>
      <c r="H1797" s="1100">
        <v>1.017155018183679</v>
      </c>
      <c r="I1797" s="1100">
        <v>1.041012194163871</v>
      </c>
      <c r="K1797">
        <v>2.2435953024030875</v>
      </c>
      <c r="L1797">
        <v>0</v>
      </c>
      <c r="M1797">
        <v>1.5701052509413194E-3</v>
      </c>
      <c r="N1797">
        <v>0.14087236586369503</v>
      </c>
      <c r="O1797">
        <v>1.9527159237095273E-2</v>
      </c>
      <c r="P1797">
        <v>2.6369239765037973E-2</v>
      </c>
      <c r="Q1797">
        <v>5.4210583044607104E-3</v>
      </c>
      <c r="R1797">
        <v>1.548409454530755E-3</v>
      </c>
      <c r="S1797">
        <v>0.25116998054185402</v>
      </c>
      <c r="T1797">
        <v>1.3669461858446312</v>
      </c>
      <c r="U1797">
        <v>0.14062199497404981</v>
      </c>
      <c r="V1797">
        <v>0.18042959968996325</v>
      </c>
      <c r="W1797">
        <v>9.2792185725309423E-2</v>
      </c>
      <c r="X1797">
        <v>1.5252968151207519E-2</v>
      </c>
      <c r="Y1797">
        <v>4.2142601021932088E-3</v>
      </c>
    </row>
    <row r="1798" spans="1:25" x14ac:dyDescent="0.25">
      <c r="A1798" s="1096"/>
      <c r="B1798" s="1455">
        <v>1548</v>
      </c>
      <c r="C1798" s="1100">
        <v>0.99891447670755873</v>
      </c>
      <c r="D1798" s="1100">
        <v>1.0437431718489767</v>
      </c>
      <c r="E1798" s="1100">
        <v>1.0308173448461069</v>
      </c>
      <c r="F1798" s="1100">
        <v>0.98386781253181921</v>
      </c>
      <c r="G1798" s="1100">
        <v>0.95212198008816806</v>
      </c>
      <c r="H1798" s="1100">
        <v>1.0062674059117587</v>
      </c>
      <c r="I1798" s="1100">
        <v>0.98180565151873744</v>
      </c>
      <c r="K1798">
        <v>2.1870030811336818</v>
      </c>
      <c r="L1798">
        <v>0</v>
      </c>
      <c r="M1798">
        <v>1.4476559785201986E-3</v>
      </c>
      <c r="N1798">
        <v>0.14447726567679867</v>
      </c>
      <c r="O1798">
        <v>1.9607436772764237E-2</v>
      </c>
      <c r="P1798">
        <v>2.6207520692823175E-2</v>
      </c>
      <c r="Q1798">
        <v>5.6386444978136505E-3</v>
      </c>
      <c r="R1798">
        <v>1.4274357555878673E-3</v>
      </c>
      <c r="S1798">
        <v>0.23310753940674162</v>
      </c>
      <c r="T1798">
        <v>1.3222425307698484</v>
      </c>
      <c r="U1798">
        <v>0.14299887212301929</v>
      </c>
      <c r="V1798">
        <v>0.1794071554613702</v>
      </c>
      <c r="W1798">
        <v>9.3209705371027268E-2</v>
      </c>
      <c r="X1798">
        <v>1.624162101176781E-2</v>
      </c>
      <c r="Y1798">
        <v>3.8850095726398102E-3</v>
      </c>
    </row>
    <row r="1799" spans="1:25" x14ac:dyDescent="0.25">
      <c r="A1799" s="1096"/>
      <c r="B1799" s="1455">
        <v>1549</v>
      </c>
      <c r="C1799" s="1100">
        <v>0.96931187445711975</v>
      </c>
      <c r="D1799" s="1100">
        <v>0.97946485780647607</v>
      </c>
      <c r="E1799" s="1100">
        <v>1.0176433477336502</v>
      </c>
      <c r="F1799" s="1100">
        <v>0.98837858446596782</v>
      </c>
      <c r="G1799" s="1100">
        <v>1.0078773309459166</v>
      </c>
      <c r="H1799" s="1100">
        <v>1.0091157647089464</v>
      </c>
      <c r="I1799" s="1100">
        <v>0.99524947850752066</v>
      </c>
      <c r="K1799">
        <v>2.234560746990482</v>
      </c>
      <c r="L1799">
        <v>0</v>
      </c>
      <c r="M1799">
        <v>1.5593465007589184E-3</v>
      </c>
      <c r="N1799">
        <v>0.14956820534092594</v>
      </c>
      <c r="O1799">
        <v>2.0482227379120123E-2</v>
      </c>
      <c r="P1799">
        <v>2.6465908346886547E-2</v>
      </c>
      <c r="Q1799">
        <v>5.8137504608300541E-3</v>
      </c>
      <c r="R1799">
        <v>1.5376277112637926E-3</v>
      </c>
      <c r="S1799">
        <v>0.25145708076859724</v>
      </c>
      <c r="T1799">
        <v>1.3282771478191731</v>
      </c>
      <c r="U1799">
        <v>0.1473346247277536</v>
      </c>
      <c r="V1799">
        <v>0.18751120895452711</v>
      </c>
      <c r="W1799">
        <v>9.7238249380750624E-2</v>
      </c>
      <c r="X1799">
        <v>1.6249146850190462E-2</v>
      </c>
      <c r="Y1799">
        <v>4.184915751221251E-3</v>
      </c>
    </row>
    <row r="1800" spans="1:25" x14ac:dyDescent="0.25">
      <c r="A1800" s="1096"/>
      <c r="B1800" s="1455">
        <v>1550</v>
      </c>
      <c r="C1800" s="1100">
        <v>1.0005364539070334</v>
      </c>
      <c r="D1800" s="1100">
        <v>0.98871027060481509</v>
      </c>
      <c r="E1800" s="1100">
        <v>0.98802283759355514</v>
      </c>
      <c r="F1800" s="1100">
        <v>0.99378565172184929</v>
      </c>
      <c r="G1800" s="1100">
        <v>1.004983808111781</v>
      </c>
      <c r="H1800" s="1100">
        <v>1.0004581088367146</v>
      </c>
      <c r="I1800" s="1100">
        <v>1.0045385518421583</v>
      </c>
      <c r="K1800">
        <v>2.2089946954792183</v>
      </c>
      <c r="L1800">
        <v>0</v>
      </c>
      <c r="M1800">
        <v>1.5893844847399005E-3</v>
      </c>
      <c r="N1800">
        <v>0.13938486425525057</v>
      </c>
      <c r="O1800">
        <v>1.978350286969981E-2</v>
      </c>
      <c r="P1800">
        <v>2.5789621627056041E-2</v>
      </c>
      <c r="Q1800">
        <v>5.4509447630359063E-3</v>
      </c>
      <c r="R1800">
        <v>1.5670557539542416E-3</v>
      </c>
      <c r="S1800">
        <v>0.24380397326196829</v>
      </c>
      <c r="T1800">
        <v>1.335495023722203</v>
      </c>
      <c r="U1800">
        <v>0.14266844125636743</v>
      </c>
      <c r="V1800">
        <v>0.18524748736594454</v>
      </c>
      <c r="W1800">
        <v>9.2223643853680967E-2</v>
      </c>
      <c r="X1800">
        <v>1.4904512052322369E-2</v>
      </c>
      <c r="Y1800">
        <v>4.2650091824729883E-3</v>
      </c>
    </row>
    <row r="1801" spans="1:25" x14ac:dyDescent="0.25">
      <c r="A1801" s="1096"/>
      <c r="B1801" s="1455">
        <v>1551</v>
      </c>
      <c r="C1801" s="1100">
        <v>1.0220158157479458</v>
      </c>
      <c r="D1801" s="1100">
        <v>0.98609214404043533</v>
      </c>
      <c r="E1801" s="1100">
        <v>0.95715663863601552</v>
      </c>
      <c r="F1801" s="1100">
        <v>1.0137794042785309</v>
      </c>
      <c r="G1801" s="1100">
        <v>0.95936393653308816</v>
      </c>
      <c r="H1801" s="1100">
        <v>0.98656919919499186</v>
      </c>
      <c r="I1801" s="1100">
        <v>0.99227270840976145</v>
      </c>
      <c r="K1801">
        <v>2.2022473954071242</v>
      </c>
      <c r="L1801">
        <v>0</v>
      </c>
      <c r="M1801">
        <v>1.6363333488730015E-3</v>
      </c>
      <c r="N1801">
        <v>0.1306742845756319</v>
      </c>
      <c r="O1801">
        <v>1.9360181181399348E-2</v>
      </c>
      <c r="P1801">
        <v>2.5297890625355111E-2</v>
      </c>
      <c r="Q1801">
        <v>5.1688815041654899E-3</v>
      </c>
      <c r="R1801">
        <v>1.6130214201914629E-3</v>
      </c>
      <c r="S1801">
        <v>0.23476661790341979</v>
      </c>
      <c r="T1801">
        <v>1.3623325775797686</v>
      </c>
      <c r="U1801">
        <v>0.13960080409861086</v>
      </c>
      <c r="V1801">
        <v>0.1788192941860717</v>
      </c>
      <c r="W1801">
        <v>8.8096575693092802E-2</v>
      </c>
      <c r="X1801">
        <v>1.3763487414893602E-2</v>
      </c>
      <c r="Y1801">
        <v>4.3901125733929016E-3</v>
      </c>
    </row>
    <row r="1802" spans="1:25" x14ac:dyDescent="0.25">
      <c r="A1802" s="1096"/>
      <c r="B1802" s="1455">
        <v>1552</v>
      </c>
      <c r="C1802" s="1100">
        <v>1.0372279633716215</v>
      </c>
      <c r="D1802" s="1100">
        <v>1.0274375913308622</v>
      </c>
      <c r="E1802" s="1100">
        <v>1.0041699581918475</v>
      </c>
      <c r="F1802" s="1100">
        <v>0.98836613089972414</v>
      </c>
      <c r="G1802" s="1100">
        <v>0.99526453360370459</v>
      </c>
      <c r="H1802" s="1100">
        <v>0.97125416805994635</v>
      </c>
      <c r="I1802" s="1100">
        <v>1.0235571187364323</v>
      </c>
      <c r="K1802">
        <v>2.1671696234537041</v>
      </c>
      <c r="L1802">
        <v>0</v>
      </c>
      <c r="M1802">
        <v>1.4272932769632243E-3</v>
      </c>
      <c r="N1802">
        <v>0.13137309432763153</v>
      </c>
      <c r="O1802">
        <v>1.8932699760555068E-2</v>
      </c>
      <c r="P1802">
        <v>2.5742547139018385E-2</v>
      </c>
      <c r="Q1802">
        <v>5.3020687225541849E-3</v>
      </c>
      <c r="R1802">
        <v>1.4066387952572563E-3</v>
      </c>
      <c r="S1802">
        <v>0.23291784454984873</v>
      </c>
      <c r="T1802">
        <v>1.3282360722389821</v>
      </c>
      <c r="U1802">
        <v>0.13765742355247068</v>
      </c>
      <c r="V1802">
        <v>0.18206535213975977</v>
      </c>
      <c r="W1802">
        <v>8.6089914534376394E-2</v>
      </c>
      <c r="X1802">
        <v>1.5044853867877506E-2</v>
      </c>
      <c r="Y1802">
        <v>3.8284071023360158E-3</v>
      </c>
    </row>
    <row r="1803" spans="1:25" x14ac:dyDescent="0.25">
      <c r="A1803" s="1096"/>
      <c r="B1803" s="1455">
        <v>1553</v>
      </c>
      <c r="C1803" s="1100">
        <v>1.008696624202349</v>
      </c>
      <c r="D1803" s="1100">
        <v>1.0132453955490706</v>
      </c>
      <c r="E1803" s="1100">
        <v>0.99987794364794924</v>
      </c>
      <c r="F1803" s="1100">
        <v>1.0187507392847217</v>
      </c>
      <c r="G1803" s="1100">
        <v>0.96629122870666895</v>
      </c>
      <c r="H1803" s="1100">
        <v>1.0089264397098974</v>
      </c>
      <c r="I1803" s="1100">
        <v>1.016772732695393</v>
      </c>
      <c r="K1803">
        <v>2.2368441069446012</v>
      </c>
      <c r="L1803">
        <v>0</v>
      </c>
      <c r="M1803">
        <v>1.5429440276890972E-3</v>
      </c>
      <c r="N1803">
        <v>0.14026545437457325</v>
      </c>
      <c r="O1803">
        <v>1.9525232374168523E-2</v>
      </c>
      <c r="P1803">
        <v>2.6379540742937174E-2</v>
      </c>
      <c r="Q1803">
        <v>5.4444932049229492E-3</v>
      </c>
      <c r="R1803">
        <v>1.521449661402811E-3</v>
      </c>
      <c r="S1803">
        <v>0.24257651949818657</v>
      </c>
      <c r="T1803">
        <v>1.369061897361048</v>
      </c>
      <c r="U1803">
        <v>0.14154131276807697</v>
      </c>
      <c r="V1803">
        <v>0.18040444569755282</v>
      </c>
      <c r="W1803">
        <v>9.2151553488748136E-2</v>
      </c>
      <c r="X1803">
        <v>1.5374267368080391E-2</v>
      </c>
      <c r="Y1803">
        <v>4.1408844325923639E-3</v>
      </c>
    </row>
    <row r="1804" spans="1:25" x14ac:dyDescent="0.25">
      <c r="A1804" s="1096"/>
      <c r="B1804" s="1455">
        <v>1554</v>
      </c>
      <c r="C1804" s="1100">
        <v>1.0057622076155486</v>
      </c>
      <c r="D1804" s="1100">
        <v>0.9838857795456365</v>
      </c>
      <c r="E1804" s="1100">
        <v>1.0039328774126335</v>
      </c>
      <c r="F1804" s="1100">
        <v>0.99012817476894255</v>
      </c>
      <c r="G1804" s="1100">
        <v>1.0196746354816881</v>
      </c>
      <c r="H1804" s="1100">
        <v>0.98659843033428518</v>
      </c>
      <c r="I1804" s="1100">
        <v>0.98180498117663861</v>
      </c>
      <c r="K1804">
        <v>2.1964261171219124</v>
      </c>
      <c r="L1804">
        <v>0</v>
      </c>
      <c r="M1804">
        <v>1.5102600285965488E-3</v>
      </c>
      <c r="N1804">
        <v>0.13894186531945407</v>
      </c>
      <c r="O1804">
        <v>1.9711812657592732E-2</v>
      </c>
      <c r="P1804">
        <v>2.5942823583216607E-2</v>
      </c>
      <c r="Q1804">
        <v>5.5189454722033267E-3</v>
      </c>
      <c r="R1804">
        <v>1.4887448336766958E-3</v>
      </c>
      <c r="S1804">
        <v>0.23666068126814344</v>
      </c>
      <c r="T1804">
        <v>1.330603636647246</v>
      </c>
      <c r="U1804">
        <v>0.14196355939148561</v>
      </c>
      <c r="V1804">
        <v>0.18661382533807025</v>
      </c>
      <c r="W1804">
        <v>9.1062584600303559E-2</v>
      </c>
      <c r="X1804">
        <v>1.5376025366449298E-2</v>
      </c>
      <c r="Y1804">
        <v>4.0518726726654396E-3</v>
      </c>
    </row>
    <row r="1805" spans="1:25" x14ac:dyDescent="0.25">
      <c r="A1805" s="1096"/>
      <c r="B1805" s="1455">
        <v>1555</v>
      </c>
      <c r="C1805" s="1100">
        <v>1.0078467458777962</v>
      </c>
      <c r="D1805" s="1100">
        <v>1.0092190358464335</v>
      </c>
      <c r="E1805" s="1100">
        <v>1.0196978295180679</v>
      </c>
      <c r="F1805" s="1100">
        <v>1.0237060274722887</v>
      </c>
      <c r="G1805" s="1100">
        <v>1.0006969978798432</v>
      </c>
      <c r="H1805" s="1100">
        <v>0.99894560119675202</v>
      </c>
      <c r="I1805" s="1100">
        <v>0.98131461765995665</v>
      </c>
      <c r="K1805">
        <v>2.2416688658598551</v>
      </c>
      <c r="L1805">
        <v>0</v>
      </c>
      <c r="M1805">
        <v>1.4685785053808909E-3</v>
      </c>
      <c r="N1805">
        <v>0.14171745691381707</v>
      </c>
      <c r="O1805">
        <v>1.957110078396581E-2</v>
      </c>
      <c r="P1805">
        <v>2.6801828039443729E-2</v>
      </c>
      <c r="Q1805">
        <v>5.5664989547703301E-3</v>
      </c>
      <c r="R1805">
        <v>1.4479156990331997E-3</v>
      </c>
      <c r="S1805">
        <v>0.23414783883975671</v>
      </c>
      <c r="T1805">
        <v>1.3757577204733158</v>
      </c>
      <c r="U1805">
        <v>0.14170601376509021</v>
      </c>
      <c r="V1805">
        <v>0.18436073764834579</v>
      </c>
      <c r="W1805">
        <v>9.202347720592384E-2</v>
      </c>
      <c r="X1805">
        <v>1.6096106814284649E-2</v>
      </c>
      <c r="Y1805">
        <v>3.9407492274864614E-3</v>
      </c>
    </row>
    <row r="1806" spans="1:25" x14ac:dyDescent="0.25">
      <c r="A1806" s="1096"/>
      <c r="B1806" s="1455">
        <v>1556</v>
      </c>
      <c r="C1806" s="1100">
        <v>0.98063088946197996</v>
      </c>
      <c r="D1806" s="1100">
        <v>1.0155076977003166</v>
      </c>
      <c r="E1806" s="1100">
        <v>0.98370221753959775</v>
      </c>
      <c r="F1806" s="1100">
        <v>0.9967772282057441</v>
      </c>
      <c r="G1806" s="1100">
        <v>0.97817822195514925</v>
      </c>
      <c r="H1806" s="1100">
        <v>0.99329877819062584</v>
      </c>
      <c r="I1806" s="1100">
        <v>1.0298798613140934</v>
      </c>
      <c r="K1806">
        <v>2.2226356229008126</v>
      </c>
      <c r="L1806">
        <v>0</v>
      </c>
      <c r="M1806">
        <v>1.6149751569961594E-3</v>
      </c>
      <c r="N1806">
        <v>0.13977610121232356</v>
      </c>
      <c r="O1806">
        <v>2.0063938315409841E-2</v>
      </c>
      <c r="P1806">
        <v>2.5871206530517093E-2</v>
      </c>
      <c r="Q1806">
        <v>5.504067987597166E-3</v>
      </c>
      <c r="R1806">
        <v>1.5921233829265667E-3</v>
      </c>
      <c r="S1806">
        <v>0.2510170918778829</v>
      </c>
      <c r="T1806">
        <v>1.3395097150874204</v>
      </c>
      <c r="U1806">
        <v>0.14555430879615669</v>
      </c>
      <c r="V1806">
        <v>0.18341691599760257</v>
      </c>
      <c r="W1806">
        <v>9.2722975908867258E-2</v>
      </c>
      <c r="X1806">
        <v>1.4888917956108491E-2</v>
      </c>
      <c r="Y1806">
        <v>4.3332350049939882E-3</v>
      </c>
    </row>
    <row r="1807" spans="1:25" x14ac:dyDescent="0.25">
      <c r="A1807" s="1096"/>
      <c r="B1807" s="1455">
        <v>1557</v>
      </c>
      <c r="C1807" s="1100">
        <v>1.0366827734282971</v>
      </c>
      <c r="D1807" s="1100">
        <v>0.98544912365652881</v>
      </c>
      <c r="E1807" s="1100">
        <v>0.97210733275317718</v>
      </c>
      <c r="F1807" s="1100">
        <v>0.9974705923332533</v>
      </c>
      <c r="G1807" s="1100">
        <v>1.0240671454004615</v>
      </c>
      <c r="H1807" s="1100">
        <v>0.99711359285450207</v>
      </c>
      <c r="I1807" s="1100">
        <v>1.0103398107585064</v>
      </c>
      <c r="K1807">
        <v>2.1884976126033009</v>
      </c>
      <c r="L1807">
        <v>0</v>
      </c>
      <c r="M1807">
        <v>1.5811391045987952E-3</v>
      </c>
      <c r="N1807">
        <v>0.13213645676760039</v>
      </c>
      <c r="O1807">
        <v>1.9097998614551914E-2</v>
      </c>
      <c r="P1807">
        <v>2.5384603214398498E-2</v>
      </c>
      <c r="Q1807">
        <v>5.1776335575316893E-3</v>
      </c>
      <c r="R1807">
        <v>1.5588517039640986E-3</v>
      </c>
      <c r="S1807">
        <v>0.23667280382395886</v>
      </c>
      <c r="T1807">
        <v>1.340428670606308</v>
      </c>
      <c r="U1807">
        <v>0.1376587466914721</v>
      </c>
      <c r="V1807">
        <v>0.18532489973338587</v>
      </c>
      <c r="W1807">
        <v>8.8271960884437839E-2</v>
      </c>
      <c r="X1807">
        <v>1.4123445647424569E-2</v>
      </c>
      <c r="Y1807">
        <v>4.2426804628641719E-3</v>
      </c>
    </row>
    <row r="1808" spans="1:25" x14ac:dyDescent="0.25">
      <c r="A1808" s="1096"/>
      <c r="B1808" s="1455">
        <v>1558</v>
      </c>
      <c r="C1808" s="1100">
        <v>0.97369825797617759</v>
      </c>
      <c r="D1808" s="1100">
        <v>0.96065923991778301</v>
      </c>
      <c r="E1808" s="1100">
        <v>0.98763650451784113</v>
      </c>
      <c r="F1808" s="1100">
        <v>1.0282943044589037</v>
      </c>
      <c r="G1808" s="1100">
        <v>1.0083922579188791</v>
      </c>
      <c r="H1808" s="1100">
        <v>1.0067776286492354</v>
      </c>
      <c r="I1808" s="1100">
        <v>1.002832191289794</v>
      </c>
      <c r="K1808">
        <v>2.2835022168928942</v>
      </c>
      <c r="L1808">
        <v>0</v>
      </c>
      <c r="M1808">
        <v>1.6552722719491474E-3</v>
      </c>
      <c r="N1808">
        <v>0.14500653289565732</v>
      </c>
      <c r="O1808">
        <v>2.0457678334797724E-2</v>
      </c>
      <c r="P1808">
        <v>2.663080098057044E-2</v>
      </c>
      <c r="Q1808">
        <v>5.6344968901714471E-3</v>
      </c>
      <c r="R1808">
        <v>1.6321638728057782E-3</v>
      </c>
      <c r="S1808">
        <v>0.25426067281115644</v>
      </c>
      <c r="T1808">
        <v>1.3818688169097453</v>
      </c>
      <c r="U1808">
        <v>0.14659992188664919</v>
      </c>
      <c r="V1808">
        <v>0.18726640075397016</v>
      </c>
      <c r="W1808">
        <v>9.5965452281627464E-2</v>
      </c>
      <c r="X1808">
        <v>1.5392339528592019E-2</v>
      </c>
      <c r="Y1808">
        <v>4.4422120191012597E-3</v>
      </c>
    </row>
    <row r="1809" spans="1:25" x14ac:dyDescent="0.25">
      <c r="A1809" s="1096"/>
      <c r="B1809" s="1455">
        <v>1559</v>
      </c>
      <c r="C1809" s="1100">
        <v>0.97840974066325492</v>
      </c>
      <c r="D1809" s="1100">
        <v>0.99948661438428221</v>
      </c>
      <c r="E1809" s="1100">
        <v>0.99214068018760748</v>
      </c>
      <c r="F1809" s="1100">
        <v>0.99794186149712405</v>
      </c>
      <c r="G1809" s="1100">
        <v>0.99985934734251181</v>
      </c>
      <c r="H1809" s="1100">
        <v>0.98333827512231209</v>
      </c>
      <c r="I1809" s="1100">
        <v>1.0243201959123731</v>
      </c>
      <c r="K1809">
        <v>2.2286503918013767</v>
      </c>
      <c r="L1809">
        <v>0</v>
      </c>
      <c r="M1809">
        <v>1.5801763407584494E-3</v>
      </c>
      <c r="N1809">
        <v>0.14027859311530302</v>
      </c>
      <c r="O1809">
        <v>2.0185340478940359E-2</v>
      </c>
      <c r="P1809">
        <v>2.6103506627214786E-2</v>
      </c>
      <c r="Q1809">
        <v>5.5848588014925041E-3</v>
      </c>
      <c r="R1809">
        <v>1.5575904830318372E-3</v>
      </c>
      <c r="S1809">
        <v>0.25145139571935649</v>
      </c>
      <c r="T1809">
        <v>1.3410859842057505</v>
      </c>
      <c r="U1809">
        <v>0.14590455922702847</v>
      </c>
      <c r="V1809">
        <v>0.18601249216508853</v>
      </c>
      <c r="W1809">
        <v>9.2586314583177176E-2</v>
      </c>
      <c r="X1809">
        <v>1.5240684900503088E-2</v>
      </c>
      <c r="Y1809">
        <v>4.2392478352479245E-3</v>
      </c>
    </row>
    <row r="1810" spans="1:25" x14ac:dyDescent="0.25">
      <c r="A1810" s="1096"/>
      <c r="B1810" s="1455">
        <v>1560</v>
      </c>
      <c r="C1810" s="1100">
        <v>1.0080923293735959</v>
      </c>
      <c r="D1810" s="1100">
        <v>0.98313283788715078</v>
      </c>
      <c r="E1810" s="1100">
        <v>0.99335427526107112</v>
      </c>
      <c r="F1810" s="1100">
        <v>0.99865996758982256</v>
      </c>
      <c r="G1810" s="1100">
        <v>0.96027515353774673</v>
      </c>
      <c r="H1810" s="1100">
        <v>1.0219833675611742</v>
      </c>
      <c r="I1810" s="1100">
        <v>1.0052037441782899</v>
      </c>
      <c r="K1810">
        <v>2.2144378656113108</v>
      </c>
      <c r="L1810">
        <v>0</v>
      </c>
      <c r="M1810">
        <v>1.5956994868424341E-3</v>
      </c>
      <c r="N1810">
        <v>0.14225522348188957</v>
      </c>
      <c r="O1810">
        <v>1.9662984713142279E-2</v>
      </c>
      <c r="P1810">
        <v>2.5903967696152545E-2</v>
      </c>
      <c r="Q1810">
        <v>5.4470013157914892E-3</v>
      </c>
      <c r="R1810">
        <v>1.5737542003729703E-3</v>
      </c>
      <c r="S1810">
        <v>0.24459032853081952</v>
      </c>
      <c r="T1810">
        <v>1.3420527505373891</v>
      </c>
      <c r="U1810">
        <v>0.14161126780867597</v>
      </c>
      <c r="V1810">
        <v>0.1797539446405659</v>
      </c>
      <c r="W1810">
        <v>9.3822837581342661E-2</v>
      </c>
      <c r="X1810">
        <v>1.5076264446526579E-2</v>
      </c>
      <c r="Y1810">
        <v>4.2832401454825E-3</v>
      </c>
    </row>
    <row r="1811" spans="1:25" x14ac:dyDescent="0.25">
      <c r="A1811" s="1096"/>
      <c r="B1811" s="1455">
        <v>1561</v>
      </c>
      <c r="C1811" s="1100">
        <v>1.0272768849117517</v>
      </c>
      <c r="D1811" s="1100">
        <v>1.0015776039543183</v>
      </c>
      <c r="E1811" s="1100">
        <v>1.0039436273255657</v>
      </c>
      <c r="F1811" s="1100">
        <v>1.0007285786051823</v>
      </c>
      <c r="G1811" s="1100">
        <v>0.99936725746665767</v>
      </c>
      <c r="H1811" s="1100">
        <v>0.96307518171709328</v>
      </c>
      <c r="I1811" s="1100">
        <v>0.98062870662641555</v>
      </c>
      <c r="K1811">
        <v>2.182928321305734</v>
      </c>
      <c r="L1811">
        <v>0</v>
      </c>
      <c r="M1811">
        <v>1.4376952015572135E-3</v>
      </c>
      <c r="N1811">
        <v>0.13222360455635163</v>
      </c>
      <c r="O1811">
        <v>1.9223467357854535E-2</v>
      </c>
      <c r="P1811">
        <v>2.5924521327923718E-2</v>
      </c>
      <c r="Q1811">
        <v>5.3822757901204202E-3</v>
      </c>
      <c r="R1811">
        <v>1.4167135046632827E-3</v>
      </c>
      <c r="S1811">
        <v>0.22757096272252986</v>
      </c>
      <c r="T1811">
        <v>1.3448492203215348</v>
      </c>
      <c r="U1811">
        <v>0.13899038297908178</v>
      </c>
      <c r="V1811">
        <v>0.18308298287976818</v>
      </c>
      <c r="W1811">
        <v>8.6658880373404676E-2</v>
      </c>
      <c r="X1811">
        <v>1.5187177553845924E-2</v>
      </c>
      <c r="Y1811">
        <v>3.8558271402121579E-3</v>
      </c>
    </row>
    <row r="1812" spans="1:25" x14ac:dyDescent="0.25">
      <c r="A1812" s="1096"/>
      <c r="B1812" s="1455">
        <v>1562</v>
      </c>
      <c r="C1812" s="1100">
        <v>0.98642264215241671</v>
      </c>
      <c r="D1812" s="1100">
        <v>1.0020614947053967</v>
      </c>
      <c r="E1812" s="1100">
        <v>1.0067130219989882</v>
      </c>
      <c r="F1812" s="1100">
        <v>1.001891568604077</v>
      </c>
      <c r="G1812" s="1100">
        <v>0.97921817904829678</v>
      </c>
      <c r="H1812" s="1100">
        <v>1.0135261881606652</v>
      </c>
      <c r="I1812" s="1100">
        <v>0.97541486315180426</v>
      </c>
      <c r="K1812">
        <v>2.2263406387735607</v>
      </c>
      <c r="L1812">
        <v>0</v>
      </c>
      <c r="M1812">
        <v>1.56647348693114E-3</v>
      </c>
      <c r="N1812">
        <v>0.14538431718468578</v>
      </c>
      <c r="O1812">
        <v>2.0019264656510063E-2</v>
      </c>
      <c r="P1812">
        <v>2.624630797418135E-2</v>
      </c>
      <c r="Q1812">
        <v>5.6206656103555911E-3</v>
      </c>
      <c r="R1812">
        <v>1.5447503744561032E-3</v>
      </c>
      <c r="S1812">
        <v>0.23969643527236256</v>
      </c>
      <c r="T1812">
        <v>1.3464168655626727</v>
      </c>
      <c r="U1812">
        <v>0.14475335709852652</v>
      </c>
      <c r="V1812">
        <v>0.18319985263465155</v>
      </c>
      <c r="W1812">
        <v>9.5128314717738457E-2</v>
      </c>
      <c r="X1812">
        <v>1.5692679881903239E-2</v>
      </c>
      <c r="Y1812">
        <v>4.2043012924454322E-3</v>
      </c>
    </row>
    <row r="1813" spans="1:25" x14ac:dyDescent="0.25">
      <c r="A1813" s="1096"/>
      <c r="B1813" s="1455">
        <v>1563</v>
      </c>
      <c r="C1813" s="1100">
        <v>0.97265519754561136</v>
      </c>
      <c r="D1813" s="1100">
        <v>0.97581737212439745</v>
      </c>
      <c r="E1813" s="1100">
        <v>1.0208415209607768</v>
      </c>
      <c r="F1813" s="1100">
        <v>0.97211027709160658</v>
      </c>
      <c r="G1813" s="1100">
        <v>1.0183761794905692</v>
      </c>
      <c r="H1813" s="1100">
        <v>0.96680550972351542</v>
      </c>
      <c r="I1813" s="1100">
        <v>0.98187273976291545</v>
      </c>
      <c r="K1813">
        <v>2.1947176466055534</v>
      </c>
      <c r="L1813">
        <v>0</v>
      </c>
      <c r="M1813">
        <v>1.4801721952772524E-3</v>
      </c>
      <c r="N1813">
        <v>0.14326191287315243</v>
      </c>
      <c r="O1813">
        <v>2.0430655539853161E-2</v>
      </c>
      <c r="P1813">
        <v>2.6132222833684691E-2</v>
      </c>
      <c r="Q1813">
        <v>5.8175871381495187E-3</v>
      </c>
      <c r="R1813">
        <v>1.4586539376908844E-3</v>
      </c>
      <c r="S1813">
        <v>0.24426862621462686</v>
      </c>
      <c r="T1813">
        <v>1.3064204877781225</v>
      </c>
      <c r="U1813">
        <v>0.14683578157257318</v>
      </c>
      <c r="V1813">
        <v>0.18849046500562391</v>
      </c>
      <c r="W1813">
        <v>9.2964149661568116E-2</v>
      </c>
      <c r="X1813">
        <v>1.6147301072530568E-2</v>
      </c>
      <c r="Y1813">
        <v>3.9699751732532578E-3</v>
      </c>
    </row>
    <row r="1814" spans="1:25" x14ac:dyDescent="0.25">
      <c r="A1814" s="1096"/>
      <c r="B1814" s="1455">
        <v>1564</v>
      </c>
      <c r="C1814" s="1100">
        <v>1.0184538199806048</v>
      </c>
      <c r="D1814" s="1100">
        <v>1.0274400911985879</v>
      </c>
      <c r="E1814" s="1100">
        <v>1.0093553515310878</v>
      </c>
      <c r="F1814" s="1100">
        <v>0.99408013562332964</v>
      </c>
      <c r="G1814" s="1100">
        <v>0.97788538238559819</v>
      </c>
      <c r="H1814" s="1100">
        <v>0.95746084943827203</v>
      </c>
      <c r="I1814" s="1100">
        <v>1.0179781608973635</v>
      </c>
      <c r="K1814">
        <v>2.1810978815909241</v>
      </c>
      <c r="L1814">
        <v>0</v>
      </c>
      <c r="M1814">
        <v>1.4176133647445324E-3</v>
      </c>
      <c r="N1814">
        <v>0.13251330709724862</v>
      </c>
      <c r="O1814">
        <v>1.9284859105987515E-2</v>
      </c>
      <c r="P1814">
        <v>2.5996538547948186E-2</v>
      </c>
      <c r="Q1814">
        <v>5.4288079509427212E-3</v>
      </c>
      <c r="R1814">
        <v>1.3968034284302553E-3</v>
      </c>
      <c r="S1814">
        <v>0.23485836913000349</v>
      </c>
      <c r="T1814">
        <v>1.3359239159923353</v>
      </c>
      <c r="U1814">
        <v>0.14020673026784708</v>
      </c>
      <c r="V1814">
        <v>0.18115985698566123</v>
      </c>
      <c r="W1814">
        <v>8.6571312712602391E-2</v>
      </c>
      <c r="X1814">
        <v>1.5373355260603483E-2</v>
      </c>
      <c r="Y1814">
        <v>3.8016384760607234E-3</v>
      </c>
    </row>
    <row r="1815" spans="1:25" x14ac:dyDescent="0.25">
      <c r="A1815" s="1096"/>
      <c r="B1815" s="1455">
        <v>1565</v>
      </c>
      <c r="C1815" s="1100">
        <v>0.98033370198080594</v>
      </c>
      <c r="D1815" s="1100">
        <v>1.0242395850676367</v>
      </c>
      <c r="E1815" s="1100">
        <v>1.0293477373300297</v>
      </c>
      <c r="F1815" s="1100">
        <v>0.9851997027235514</v>
      </c>
      <c r="G1815" s="1100">
        <v>1.0073996128714673</v>
      </c>
      <c r="H1815" s="1100">
        <v>1.0023135971402068</v>
      </c>
      <c r="I1815" s="1100">
        <v>1.0035949709179137</v>
      </c>
      <c r="K1815">
        <v>2.2159689169968133</v>
      </c>
      <c r="L1815">
        <v>0</v>
      </c>
      <c r="M1815">
        <v>1.4799334680478174E-3</v>
      </c>
      <c r="N1815">
        <v>0.14703748045031961</v>
      </c>
      <c r="O1815">
        <v>2.0061213521023996E-2</v>
      </c>
      <c r="P1815">
        <v>2.6507172608166128E-2</v>
      </c>
      <c r="Q1815">
        <v>5.7607641223612442E-3</v>
      </c>
      <c r="R1815">
        <v>1.4591808665485157E-3</v>
      </c>
      <c r="S1815">
        <v>0.24473481798613517</v>
      </c>
      <c r="T1815">
        <v>1.3240292491140533</v>
      </c>
      <c r="U1815">
        <v>0.14570573712167528</v>
      </c>
      <c r="V1815">
        <v>0.1867798805823758</v>
      </c>
      <c r="W1815">
        <v>9.4942384289626938E-2</v>
      </c>
      <c r="X1815">
        <v>1.6459560502673366E-2</v>
      </c>
      <c r="Y1815">
        <v>3.9714092999016794E-3</v>
      </c>
    </row>
    <row r="1816" spans="1:25" x14ac:dyDescent="0.25">
      <c r="A1816" s="1096"/>
      <c r="B1816" s="1455">
        <v>1566</v>
      </c>
      <c r="C1816" s="1100">
        <v>0.99735469026191037</v>
      </c>
      <c r="D1816" s="1100">
        <v>1.0142466776948651</v>
      </c>
      <c r="E1816" s="1100">
        <v>1.0129433251761928</v>
      </c>
      <c r="F1816" s="1100">
        <v>0.98689591802706589</v>
      </c>
      <c r="G1816" s="1100">
        <v>0.99549398859540728</v>
      </c>
      <c r="H1816" s="1100">
        <v>1.0039910164003871</v>
      </c>
      <c r="I1816" s="1100">
        <v>0.97123231452566461</v>
      </c>
      <c r="K1816">
        <v>2.1948703273241241</v>
      </c>
      <c r="L1816">
        <v>0</v>
      </c>
      <c r="M1816">
        <v>1.51096823791924E-3</v>
      </c>
      <c r="N1816">
        <v>0.14287646863325512</v>
      </c>
      <c r="O1816">
        <v>1.9751149030392368E-2</v>
      </c>
      <c r="P1816">
        <v>2.6005418663435843E-2</v>
      </c>
      <c r="Q1816">
        <v>5.5800367729626436E-3</v>
      </c>
      <c r="R1816">
        <v>1.4898158459724449E-3</v>
      </c>
      <c r="S1816">
        <v>0.23394471966582764</v>
      </c>
      <c r="T1816">
        <v>1.3262756840950651</v>
      </c>
      <c r="U1816">
        <v>0.14318111329791869</v>
      </c>
      <c r="V1816">
        <v>0.1843859070074223</v>
      </c>
      <c r="W1816">
        <v>9.3144495291234142E-2</v>
      </c>
      <c r="X1816">
        <v>1.5691699643482476E-2</v>
      </c>
      <c r="Y1816">
        <v>4.0547876150753628E-3</v>
      </c>
    </row>
    <row r="1817" spans="1:25" x14ac:dyDescent="0.25">
      <c r="A1817" s="1096"/>
      <c r="B1817" s="1455">
        <v>1567</v>
      </c>
      <c r="C1817" s="1100">
        <v>1.0283952025441703</v>
      </c>
      <c r="D1817" s="1100">
        <v>1.0273971775876201</v>
      </c>
      <c r="E1817" s="1100">
        <v>1.029813983800105</v>
      </c>
      <c r="F1817" s="1100">
        <v>0.98728538188481541</v>
      </c>
      <c r="G1817" s="1100">
        <v>0.98639045178547158</v>
      </c>
      <c r="H1817" s="1100">
        <v>0.99106714072277768</v>
      </c>
      <c r="I1817" s="1100">
        <v>1.0021986172825414</v>
      </c>
      <c r="K1817">
        <v>2.1775505857730946</v>
      </c>
      <c r="L1817">
        <v>0</v>
      </c>
      <c r="M1817">
        <v>1.3926421153636307E-3</v>
      </c>
      <c r="N1817">
        <v>0.1385369823047698</v>
      </c>
      <c r="O1817">
        <v>1.9111000294914485E-2</v>
      </c>
      <c r="P1817">
        <v>2.6206519887220704E-2</v>
      </c>
      <c r="Q1817">
        <v>5.4904325060103516E-3</v>
      </c>
      <c r="R1817">
        <v>1.3728919641792456E-3</v>
      </c>
      <c r="S1817">
        <v>0.23174738434586006</v>
      </c>
      <c r="T1817">
        <v>1.326833259369139</v>
      </c>
      <c r="U1817">
        <v>0.1388973057784024</v>
      </c>
      <c r="V1817">
        <v>0.18157623111754587</v>
      </c>
      <c r="W1817">
        <v>8.9429381437054062E-2</v>
      </c>
      <c r="X1817">
        <v>1.6005279530580792E-2</v>
      </c>
      <c r="Y1817">
        <v>3.736559352781547E-3</v>
      </c>
    </row>
    <row r="1818" spans="1:25" x14ac:dyDescent="0.25">
      <c r="A1818" s="1096"/>
      <c r="B1818" s="1455">
        <v>1568</v>
      </c>
      <c r="C1818" s="1100">
        <v>0.99919149606233615</v>
      </c>
      <c r="D1818" s="1100">
        <v>0.96684485622506677</v>
      </c>
      <c r="E1818" s="1100">
        <v>1.0367938218932753</v>
      </c>
      <c r="F1818" s="1100">
        <v>0.97598986337009219</v>
      </c>
      <c r="G1818" s="1100">
        <v>0.99048544563626895</v>
      </c>
      <c r="H1818" s="1100">
        <v>0.9844449069646668</v>
      </c>
      <c r="I1818" s="1100">
        <v>0.9873604752834888</v>
      </c>
      <c r="K1818">
        <v>2.1898762137962264</v>
      </c>
      <c r="L1818">
        <v>0</v>
      </c>
      <c r="M1818">
        <v>1.4220781327375872E-3</v>
      </c>
      <c r="N1818">
        <v>0.14445863474911969</v>
      </c>
      <c r="O1818">
        <v>1.9938612036772725E-2</v>
      </c>
      <c r="P1818">
        <v>2.6354472560452716E-2</v>
      </c>
      <c r="Q1818">
        <v>5.7677930700665231E-3</v>
      </c>
      <c r="R1818">
        <v>1.4017748613967705E-3</v>
      </c>
      <c r="S1818">
        <v>0.24176007128873181</v>
      </c>
      <c r="T1818">
        <v>1.3116686841903458</v>
      </c>
      <c r="U1818">
        <v>0.14297306731650167</v>
      </c>
      <c r="V1818">
        <v>0.18373244859179688</v>
      </c>
      <c r="W1818">
        <v>9.2875884369011494E-2</v>
      </c>
      <c r="X1818">
        <v>1.6551679817004148E-2</v>
      </c>
      <c r="Y1818">
        <v>3.8151690777631399E-3</v>
      </c>
    </row>
    <row r="1819" spans="1:25" x14ac:dyDescent="0.25">
      <c r="A1819" s="1096"/>
      <c r="B1819" s="1455">
        <v>1569</v>
      </c>
      <c r="C1819" s="1100">
        <v>0.99264683302499801</v>
      </c>
      <c r="D1819" s="1100">
        <v>1.0070401822500052</v>
      </c>
      <c r="E1819" s="1100">
        <v>0.97694201956366356</v>
      </c>
      <c r="F1819" s="1100">
        <v>0.96573654043968871</v>
      </c>
      <c r="G1819" s="1100">
        <v>0.99724599343885101</v>
      </c>
      <c r="H1819" s="1100">
        <v>1.0148853868410705</v>
      </c>
      <c r="I1819" s="1100">
        <v>1.0134059134687419</v>
      </c>
      <c r="K1819">
        <v>2.1763702322116099</v>
      </c>
      <c r="L1819">
        <v>0</v>
      </c>
      <c r="M1819">
        <v>1.656093755541212E-3</v>
      </c>
      <c r="N1819">
        <v>0.14047585542408797</v>
      </c>
      <c r="O1819">
        <v>1.9853377043577362E-2</v>
      </c>
      <c r="P1819">
        <v>2.5117223666641215E-2</v>
      </c>
      <c r="Q1819">
        <v>5.4090185265251636E-3</v>
      </c>
      <c r="R1819">
        <v>1.6331585890403822E-3</v>
      </c>
      <c r="S1819">
        <v>0.24674098757926419</v>
      </c>
      <c r="T1819">
        <v>1.2977883956445</v>
      </c>
      <c r="U1819">
        <v>0.14377675085113253</v>
      </c>
      <c r="V1819">
        <v>0.18483447497455485</v>
      </c>
      <c r="W1819">
        <v>9.3568237675284133E-2</v>
      </c>
      <c r="X1819">
        <v>1.4383926683760435E-2</v>
      </c>
      <c r="Y1819">
        <v>4.4449193087837341E-3</v>
      </c>
    </row>
    <row r="1820" spans="1:25" x14ac:dyDescent="0.25">
      <c r="A1820" s="1096"/>
      <c r="B1820" s="1455">
        <v>1570</v>
      </c>
      <c r="C1820" s="1100">
        <v>0.99753140847011201</v>
      </c>
      <c r="D1820" s="1100">
        <v>0.99861029816625102</v>
      </c>
      <c r="E1820" s="1100">
        <v>0.99567200915987253</v>
      </c>
      <c r="F1820" s="1100">
        <v>0.99677809704012066</v>
      </c>
      <c r="G1820" s="1100">
        <v>1.0403645095183038</v>
      </c>
      <c r="H1820" s="1100">
        <v>1.0095027571963571</v>
      </c>
      <c r="I1820" s="1100">
        <v>1.0119739886044556</v>
      </c>
      <c r="K1820">
        <v>2.2240444323260178</v>
      </c>
      <c r="L1820">
        <v>0</v>
      </c>
      <c r="M1820">
        <v>1.5798283567990071E-3</v>
      </c>
      <c r="N1820">
        <v>0.14180595267352999</v>
      </c>
      <c r="O1820">
        <v>1.9804438788450514E-2</v>
      </c>
      <c r="P1820">
        <v>2.6084824599936513E-2</v>
      </c>
      <c r="Q1820">
        <v>5.4990219168672486E-3</v>
      </c>
      <c r="R1820">
        <v>1.5578327284849769E-3</v>
      </c>
      <c r="S1820">
        <v>0.24592024109228461</v>
      </c>
      <c r="T1820">
        <v>1.339527194397897</v>
      </c>
      <c r="U1820">
        <v>0.14311585896584011</v>
      </c>
      <c r="V1820">
        <v>0.1894320361697979</v>
      </c>
      <c r="W1820">
        <v>9.3397219914247903E-2</v>
      </c>
      <c r="X1820">
        <v>1.5239732287963244E-2</v>
      </c>
      <c r="Y1820">
        <v>4.2399071475151782E-3</v>
      </c>
    </row>
    <row r="1821" spans="1:25" x14ac:dyDescent="0.25">
      <c r="A1821" s="1096"/>
      <c r="B1821" s="1455">
        <v>1571</v>
      </c>
      <c r="C1821" s="1100">
        <v>0.99457989223611576</v>
      </c>
      <c r="D1821" s="1100">
        <v>1.0032433015363003</v>
      </c>
      <c r="E1821" s="1100">
        <v>1.00581246866318</v>
      </c>
      <c r="F1821" s="1100">
        <v>0.98933931146017229</v>
      </c>
      <c r="G1821" s="1100">
        <v>1.0063965076482757</v>
      </c>
      <c r="H1821" s="1100">
        <v>1.0208603390135629</v>
      </c>
      <c r="I1821" s="1100">
        <v>0.96064692283024755</v>
      </c>
      <c r="K1821">
        <v>2.204581524131791</v>
      </c>
      <c r="L1821">
        <v>0</v>
      </c>
      <c r="M1821">
        <v>1.5673904781747154E-3</v>
      </c>
      <c r="N1821">
        <v>0.14508901106448827</v>
      </c>
      <c r="O1821">
        <v>1.9849358858815072E-2</v>
      </c>
      <c r="P1821">
        <v>2.594618001467763E-2</v>
      </c>
      <c r="Q1821">
        <v>5.5679373408168541E-3</v>
      </c>
      <c r="R1821">
        <v>1.5458108056723809E-3</v>
      </c>
      <c r="S1821">
        <v>0.23455479432188991</v>
      </c>
      <c r="T1821">
        <v>1.3295466637561022</v>
      </c>
      <c r="U1821">
        <v>0.14356404619358579</v>
      </c>
      <c r="V1821">
        <v>0.18577782227008552</v>
      </c>
      <c r="W1821">
        <v>9.4985665131900973E-2</v>
      </c>
      <c r="X1821">
        <v>1.5514437415287009E-2</v>
      </c>
      <c r="Y1821">
        <v>4.2071874366450832E-3</v>
      </c>
    </row>
    <row r="1822" spans="1:25" x14ac:dyDescent="0.25">
      <c r="A1822" s="1096"/>
      <c r="B1822" s="1455">
        <v>1572</v>
      </c>
      <c r="C1822" s="1100">
        <v>0.98726700346581076</v>
      </c>
      <c r="D1822" s="1100">
        <v>1.0369769307592442</v>
      </c>
      <c r="E1822" s="1100">
        <v>1.0292858496596728</v>
      </c>
      <c r="F1822" s="1100">
        <v>1.0286909273346652</v>
      </c>
      <c r="G1822" s="1100">
        <v>0.98770581001683444</v>
      </c>
      <c r="H1822" s="1100">
        <v>1.0321781203837606</v>
      </c>
      <c r="I1822" s="1100">
        <v>0.9693325826023198</v>
      </c>
      <c r="K1822">
        <v>2.2671737152716642</v>
      </c>
      <c r="L1822">
        <v>0</v>
      </c>
      <c r="M1822">
        <v>1.5094115611699905E-3</v>
      </c>
      <c r="N1822">
        <v>0.14999997190604936</v>
      </c>
      <c r="O1822">
        <v>1.9866199837643955E-2</v>
      </c>
      <c r="P1822">
        <v>2.7142459047168659E-2</v>
      </c>
      <c r="Q1822">
        <v>5.7044149453093322E-3</v>
      </c>
      <c r="R1822">
        <v>1.4888580037734898E-3</v>
      </c>
      <c r="S1822">
        <v>0.23562201734841628</v>
      </c>
      <c r="T1822">
        <v>1.3824778194810601</v>
      </c>
      <c r="U1822">
        <v>0.14468234130747029</v>
      </c>
      <c r="V1822">
        <v>0.18412868361242862</v>
      </c>
      <c r="W1822">
        <v>9.6858752112614979E-2</v>
      </c>
      <c r="X1822">
        <v>1.6659428546534662E-2</v>
      </c>
      <c r="Y1822">
        <v>4.0521806843624017E-3</v>
      </c>
    </row>
    <row r="1823" spans="1:25" x14ac:dyDescent="0.25">
      <c r="A1823" s="1096"/>
      <c r="B1823" s="1455">
        <v>1573</v>
      </c>
      <c r="C1823" s="1100">
        <v>1.0392929631377805</v>
      </c>
      <c r="D1823" s="1100">
        <v>1.0283333952500984</v>
      </c>
      <c r="E1823" s="1100">
        <v>1.0220445287064468</v>
      </c>
      <c r="F1823" s="1100">
        <v>1.002348894866836</v>
      </c>
      <c r="G1823" s="1100">
        <v>0.96350147508568884</v>
      </c>
      <c r="H1823" s="1100">
        <v>0.99541811057689311</v>
      </c>
      <c r="I1823" s="1100">
        <v>0.99208381921202671</v>
      </c>
      <c r="K1823">
        <v>2.1853109042264784</v>
      </c>
      <c r="L1823">
        <v>0</v>
      </c>
      <c r="M1823">
        <v>1.406383954073272E-3</v>
      </c>
      <c r="N1823">
        <v>0.13667293053928109</v>
      </c>
      <c r="O1823">
        <v>1.8902158728650153E-2</v>
      </c>
      <c r="P1823">
        <v>2.6210855385437191E-2</v>
      </c>
      <c r="Q1823">
        <v>5.3887866422397948E-3</v>
      </c>
      <c r="R1823">
        <v>1.3865260987792818E-3</v>
      </c>
      <c r="S1823">
        <v>0.22717550989062743</v>
      </c>
      <c r="T1823">
        <v>1.3470606888468011</v>
      </c>
      <c r="U1823">
        <v>0.13742358502908236</v>
      </c>
      <c r="V1823">
        <v>0.17837699772620888</v>
      </c>
      <c r="W1823">
        <v>8.8626161944335924E-2</v>
      </c>
      <c r="X1823">
        <v>1.5719420376433414E-2</v>
      </c>
      <c r="Y1823">
        <v>3.7736669726715828E-3</v>
      </c>
    </row>
    <row r="1824" spans="1:25" x14ac:dyDescent="0.25">
      <c r="A1824" s="1096"/>
      <c r="B1824" s="1455">
        <v>1574</v>
      </c>
      <c r="C1824" s="1100">
        <v>0.97675830930785856</v>
      </c>
      <c r="D1824" s="1100">
        <v>0.99146506119237265</v>
      </c>
      <c r="E1824" s="1100">
        <v>1.0397058901512173</v>
      </c>
      <c r="F1824" s="1100">
        <v>0.98123667711390961</v>
      </c>
      <c r="G1824" s="1100">
        <v>0.99850767783842431</v>
      </c>
      <c r="H1824" s="1100">
        <v>0.98453531201539968</v>
      </c>
      <c r="I1824" s="1100">
        <v>0.98379568089903213</v>
      </c>
      <c r="K1824">
        <v>2.2097879419842856</v>
      </c>
      <c r="L1824">
        <v>0</v>
      </c>
      <c r="M1824">
        <v>1.4380826834329708E-3</v>
      </c>
      <c r="N1824">
        <v>0.14737190392436955</v>
      </c>
      <c r="O1824">
        <v>2.028589515489217E-2</v>
      </c>
      <c r="P1824">
        <v>2.6609543558672028E-2</v>
      </c>
      <c r="Q1824">
        <v>5.8850977274124937E-3</v>
      </c>
      <c r="R1824">
        <v>1.4175527975069338E-3</v>
      </c>
      <c r="S1824">
        <v>0.24335322686842389</v>
      </c>
      <c r="T1824">
        <v>1.3187269562788848</v>
      </c>
      <c r="U1824">
        <v>0.14626362982215207</v>
      </c>
      <c r="V1824">
        <v>0.1860063975040778</v>
      </c>
      <c r="W1824">
        <v>9.4589898226465935E-2</v>
      </c>
      <c r="X1824">
        <v>1.6857811386199715E-2</v>
      </c>
      <c r="Y1824">
        <v>3.8581114186597648E-3</v>
      </c>
    </row>
    <row r="1825" spans="1:25" x14ac:dyDescent="0.25">
      <c r="A1825" s="1096"/>
      <c r="B1825" s="1455">
        <v>1575</v>
      </c>
      <c r="C1825" s="1100">
        <v>1.0013562805385217</v>
      </c>
      <c r="D1825" s="1100">
        <v>0.99487459733746431</v>
      </c>
      <c r="E1825" s="1100">
        <v>1.003416651603817</v>
      </c>
      <c r="F1825" s="1100">
        <v>1.0080740277605591</v>
      </c>
      <c r="G1825" s="1100">
        <v>1.0156628805771204</v>
      </c>
      <c r="H1825" s="1100">
        <v>0.99570530002659408</v>
      </c>
      <c r="I1825" s="1100">
        <v>1.011354738886342</v>
      </c>
      <c r="K1825">
        <v>2.231743607437036</v>
      </c>
      <c r="L1825">
        <v>0</v>
      </c>
      <c r="M1825">
        <v>1.5288079073250268E-3</v>
      </c>
      <c r="N1825">
        <v>0.14044767765054225</v>
      </c>
      <c r="O1825">
        <v>1.9749902280929092E-2</v>
      </c>
      <c r="P1825">
        <v>2.637217422331694E-2</v>
      </c>
      <c r="Q1825">
        <v>5.5267471237995195E-3</v>
      </c>
      <c r="R1825">
        <v>1.5072276768610395E-3</v>
      </c>
      <c r="S1825">
        <v>0.24423060313948544</v>
      </c>
      <c r="T1825">
        <v>1.3547196617033705</v>
      </c>
      <c r="U1825">
        <v>0.14258700571715777</v>
      </c>
      <c r="V1825">
        <v>0.18641944649548259</v>
      </c>
      <c r="W1825">
        <v>9.2077659745644844E-2</v>
      </c>
      <c r="X1825">
        <v>1.5532132708826583E-2</v>
      </c>
      <c r="Y1825">
        <v>4.1021768789456054E-3</v>
      </c>
    </row>
    <row r="1826" spans="1:25" x14ac:dyDescent="0.25">
      <c r="A1826" s="1096"/>
      <c r="B1826" s="1455">
        <v>1576</v>
      </c>
      <c r="C1826" s="1100">
        <v>1.0264406408487647</v>
      </c>
      <c r="D1826" s="1100">
        <v>0.98191175081692883</v>
      </c>
      <c r="E1826" s="1100">
        <v>0.99079876566032532</v>
      </c>
      <c r="F1826" s="1100">
        <v>0.99703403914484179</v>
      </c>
      <c r="G1826" s="1100">
        <v>1.0422366539531487</v>
      </c>
      <c r="H1826" s="1100">
        <v>1.0280758319837204</v>
      </c>
      <c r="I1826" s="1100">
        <v>0.990173709232399</v>
      </c>
      <c r="K1826">
        <v>2.2065806063672935</v>
      </c>
      <c r="L1826">
        <v>0</v>
      </c>
      <c r="M1826">
        <v>1.5853200520215573E-3</v>
      </c>
      <c r="N1826">
        <v>0.14025389385523593</v>
      </c>
      <c r="O1826">
        <v>1.9315217033539382E-2</v>
      </c>
      <c r="P1826">
        <v>2.5801711989294377E-2</v>
      </c>
      <c r="Q1826">
        <v>5.3368762272527834E-3</v>
      </c>
      <c r="R1826">
        <v>1.5636467152226712E-3</v>
      </c>
      <c r="S1826">
        <v>0.23722670184080055</v>
      </c>
      <c r="T1826">
        <v>1.3398641240300349</v>
      </c>
      <c r="U1826">
        <v>0.13907414704352539</v>
      </c>
      <c r="V1826">
        <v>0.18796475672784221</v>
      </c>
      <c r="W1826">
        <v>9.2644372000549424E-2</v>
      </c>
      <c r="X1826">
        <v>1.4864748053181618E-2</v>
      </c>
      <c r="Y1826">
        <v>4.2557309028349701E-3</v>
      </c>
    </row>
    <row r="1827" spans="1:25" x14ac:dyDescent="0.25">
      <c r="A1827" s="1096"/>
      <c r="B1827" s="1455">
        <v>1577</v>
      </c>
      <c r="C1827" s="1100">
        <v>0.99590372030657659</v>
      </c>
      <c r="D1827" s="1100">
        <v>1.0162907530328231</v>
      </c>
      <c r="E1827" s="1100">
        <v>1.0342550370085999</v>
      </c>
      <c r="F1827" s="1100">
        <v>1.0153500520797099</v>
      </c>
      <c r="G1827" s="1100">
        <v>0.9856427358121409</v>
      </c>
      <c r="H1827" s="1100">
        <v>1.0110454117489869</v>
      </c>
      <c r="I1827" s="1100">
        <v>0.98791148528598483</v>
      </c>
      <c r="K1827">
        <v>2.2447994551414423</v>
      </c>
      <c r="L1827">
        <v>0</v>
      </c>
      <c r="M1827">
        <v>1.4570284530469745E-3</v>
      </c>
      <c r="N1827">
        <v>0.14693697105090986</v>
      </c>
      <c r="O1827">
        <v>1.9784533824855795E-2</v>
      </c>
      <c r="P1827">
        <v>2.7006187502409778E-2</v>
      </c>
      <c r="Q1827">
        <v>5.708917306346966E-3</v>
      </c>
      <c r="R1827">
        <v>1.4367734950430676E-3</v>
      </c>
      <c r="S1827">
        <v>0.23879131232925171</v>
      </c>
      <c r="T1827">
        <v>1.3645602258010134</v>
      </c>
      <c r="U1827">
        <v>0.14343916379765392</v>
      </c>
      <c r="V1827">
        <v>0.18337881233613171</v>
      </c>
      <c r="W1827">
        <v>9.4607985154895907E-2</v>
      </c>
      <c r="X1827">
        <v>1.6695177174726985E-2</v>
      </c>
      <c r="Y1827">
        <v>3.9104238212518813E-3</v>
      </c>
    </row>
    <row r="1828" spans="1:25" x14ac:dyDescent="0.25">
      <c r="A1828" s="1096"/>
      <c r="B1828" s="1455">
        <v>1578</v>
      </c>
      <c r="C1828" s="1100">
        <v>1.0183094841022076</v>
      </c>
      <c r="D1828" s="1100">
        <v>0.99333830449602112</v>
      </c>
      <c r="E1828" s="1100">
        <v>0.99383800212434348</v>
      </c>
      <c r="F1828" s="1100">
        <v>0.97306555669961836</v>
      </c>
      <c r="G1828" s="1100">
        <v>1.0248009836467824</v>
      </c>
      <c r="H1828" s="1100">
        <v>0.98499737391486009</v>
      </c>
      <c r="I1828" s="1100">
        <v>1.0032212535557423</v>
      </c>
      <c r="K1828">
        <v>2.1656005715128224</v>
      </c>
      <c r="L1828">
        <v>0</v>
      </c>
      <c r="M1828">
        <v>1.5175424234598013E-3</v>
      </c>
      <c r="N1828">
        <v>0.13541460062276009</v>
      </c>
      <c r="O1828">
        <v>1.942181915677758E-2</v>
      </c>
      <c r="P1828">
        <v>2.542169412132711E-2</v>
      </c>
      <c r="Q1828">
        <v>5.3828200688243446E-3</v>
      </c>
      <c r="R1828">
        <v>1.495888343055249E-3</v>
      </c>
      <c r="S1828">
        <v>0.23749856925652507</v>
      </c>
      <c r="T1828">
        <v>1.3076582941767902</v>
      </c>
      <c r="U1828">
        <v>0.14019151115202377</v>
      </c>
      <c r="V1828">
        <v>0.18645783886696457</v>
      </c>
      <c r="W1828">
        <v>8.9285377942771013E-2</v>
      </c>
      <c r="X1828">
        <v>1.4818385278124561E-2</v>
      </c>
      <c r="Y1828">
        <v>4.0713149503366275E-3</v>
      </c>
    </row>
    <row r="1829" spans="1:25" x14ac:dyDescent="0.25">
      <c r="A1829" s="1096"/>
      <c r="B1829" s="1455">
        <v>1579</v>
      </c>
      <c r="C1829" s="1100">
        <v>1.008609755779829</v>
      </c>
      <c r="D1829" s="1100">
        <v>0.98451129073409316</v>
      </c>
      <c r="E1829" s="1100">
        <v>0.98672253283338474</v>
      </c>
      <c r="F1829" s="1100">
        <v>0.99366529072524579</v>
      </c>
      <c r="G1829" s="1100">
        <v>1.0018216256134151</v>
      </c>
      <c r="H1829" s="1100">
        <v>1.0282599127554126</v>
      </c>
      <c r="I1829" s="1100">
        <v>1.0001960550605036</v>
      </c>
      <c r="K1829">
        <v>2.2109739232274292</v>
      </c>
      <c r="L1829">
        <v>0</v>
      </c>
      <c r="M1829">
        <v>1.6263665424897011E-3</v>
      </c>
      <c r="N1829">
        <v>0.1421230932218025</v>
      </c>
      <c r="O1829">
        <v>1.9642725493640316E-2</v>
      </c>
      <c r="P1829">
        <v>2.5731662878364349E-2</v>
      </c>
      <c r="Q1829">
        <v>5.4050374883380537E-3</v>
      </c>
      <c r="R1829">
        <v>1.6041360285358403E-3</v>
      </c>
      <c r="S1829">
        <v>0.24352642706885888</v>
      </c>
      <c r="T1829">
        <v>1.3353315760011539</v>
      </c>
      <c r="U1829">
        <v>0.14152350578254166</v>
      </c>
      <c r="V1829">
        <v>0.1844144255439738</v>
      </c>
      <c r="W1829">
        <v>9.4108817202383066E-2</v>
      </c>
      <c r="X1829">
        <v>1.4822953593948343E-2</v>
      </c>
      <c r="Y1829">
        <v>4.3659294663748694E-3</v>
      </c>
    </row>
    <row r="1830" spans="1:25" x14ac:dyDescent="0.25">
      <c r="A1830" s="1096"/>
      <c r="B1830" s="1455">
        <v>1580</v>
      </c>
      <c r="C1830" s="1100">
        <v>0.99206417392500335</v>
      </c>
      <c r="D1830" s="1100">
        <v>0.99548139852658901</v>
      </c>
      <c r="E1830" s="1100">
        <v>0.96180815694275079</v>
      </c>
      <c r="F1830" s="1100">
        <v>1.0196415452607897</v>
      </c>
      <c r="G1830" s="1100">
        <v>1.0164481904633387</v>
      </c>
      <c r="H1830" s="1100">
        <v>0.9942169215596337</v>
      </c>
      <c r="I1830" s="1100">
        <v>1.007898030298805</v>
      </c>
      <c r="K1830">
        <v>2.2433911381541782</v>
      </c>
      <c r="L1830">
        <v>0</v>
      </c>
      <c r="M1830">
        <v>1.6790918682321537E-3</v>
      </c>
      <c r="N1830">
        <v>0.13600740290603652</v>
      </c>
      <c r="O1830">
        <v>1.990606263220801E-2</v>
      </c>
      <c r="P1830">
        <v>2.5796117837790705E-2</v>
      </c>
      <c r="Q1830">
        <v>5.3401003661722691E-3</v>
      </c>
      <c r="R1830">
        <v>1.6553547887116623E-3</v>
      </c>
      <c r="S1830">
        <v>0.24515736569517979</v>
      </c>
      <c r="T1830">
        <v>1.3702135261836701</v>
      </c>
      <c r="U1830">
        <v>0.143826247472255</v>
      </c>
      <c r="V1830">
        <v>0.18702768415494497</v>
      </c>
      <c r="W1830">
        <v>9.1430606854125546E-2</v>
      </c>
      <c r="X1830">
        <v>1.4204431084000142E-2</v>
      </c>
      <c r="Y1830">
        <v>4.5053300473137034E-3</v>
      </c>
    </row>
    <row r="1831" spans="1:25" x14ac:dyDescent="0.25">
      <c r="A1831" s="1096"/>
      <c r="B1831" s="1455">
        <v>1581</v>
      </c>
      <c r="C1831" s="1100">
        <v>0.97983283903635021</v>
      </c>
      <c r="D1831" s="1100">
        <v>1.0220298411631166</v>
      </c>
      <c r="E1831" s="1100">
        <v>0.95361590745991276</v>
      </c>
      <c r="F1831" s="1100">
        <v>0.96355528766680232</v>
      </c>
      <c r="G1831" s="1100">
        <v>0.98992857796000766</v>
      </c>
      <c r="H1831" s="1100">
        <v>0.96486932487461285</v>
      </c>
      <c r="I1831" s="1100">
        <v>1.044412124052335</v>
      </c>
      <c r="K1831">
        <v>2.1654635714529675</v>
      </c>
      <c r="L1831">
        <v>0</v>
      </c>
      <c r="M1831">
        <v>1.6682656187140615E-3</v>
      </c>
      <c r="N1831">
        <v>0.13175930915334075</v>
      </c>
      <c r="O1831">
        <v>2.0033026553600074E-2</v>
      </c>
      <c r="P1831">
        <v>2.4714869322522925E-2</v>
      </c>
      <c r="Q1831">
        <v>5.3290422951758369E-3</v>
      </c>
      <c r="R1831">
        <v>1.6439642532434979E-3</v>
      </c>
      <c r="S1831">
        <v>0.25130353080543028</v>
      </c>
      <c r="T1831">
        <v>1.2948385572120455</v>
      </c>
      <c r="U1831">
        <v>0.1456025276932672</v>
      </c>
      <c r="V1831">
        <v>0.18476891581268415</v>
      </c>
      <c r="W1831">
        <v>8.9021940063811963E-2</v>
      </c>
      <c r="X1831">
        <v>1.364182514189855E-2</v>
      </c>
      <c r="Y1831">
        <v>4.4743287646583666E-3</v>
      </c>
    </row>
    <row r="1832" spans="1:25" x14ac:dyDescent="0.25">
      <c r="A1832" s="1096"/>
      <c r="B1832" s="1455">
        <v>1582</v>
      </c>
      <c r="C1832" s="1100">
        <v>0.99676184034500259</v>
      </c>
      <c r="D1832" s="1100">
        <v>0.99548029494504109</v>
      </c>
      <c r="E1832" s="1100">
        <v>1.0275664738139254</v>
      </c>
      <c r="F1832" s="1100">
        <v>0.97882081051639147</v>
      </c>
      <c r="G1832" s="1100">
        <v>0.97156662296744412</v>
      </c>
      <c r="H1832" s="1100">
        <v>0.9798017399350194</v>
      </c>
      <c r="I1832" s="1100">
        <v>1.0404090171419944</v>
      </c>
      <c r="K1832">
        <v>2.1973641317049504</v>
      </c>
      <c r="L1832">
        <v>0</v>
      </c>
      <c r="M1832">
        <v>1.4371168745098215E-3</v>
      </c>
      <c r="N1832">
        <v>0.14197232604241067</v>
      </c>
      <c r="O1832">
        <v>1.9853466045345231E-2</v>
      </c>
      <c r="P1832">
        <v>2.633953346862826E-2</v>
      </c>
      <c r="Q1832">
        <v>5.6910674779528476E-3</v>
      </c>
      <c r="R1832">
        <v>1.4165016599409855E-3</v>
      </c>
      <c r="S1832">
        <v>0.25118863377642492</v>
      </c>
      <c r="T1832">
        <v>1.3154526895566692</v>
      </c>
      <c r="U1832">
        <v>0.14330015479127306</v>
      </c>
      <c r="V1832">
        <v>0.18173022213925899</v>
      </c>
      <c r="W1832">
        <v>9.1766755145601578E-2</v>
      </c>
      <c r="X1832">
        <v>1.6234647907242963E-2</v>
      </c>
      <c r="Y1832">
        <v>3.8552505687126583E-3</v>
      </c>
    </row>
    <row r="1833" spans="1:25" x14ac:dyDescent="0.25">
      <c r="A1833" s="1096"/>
      <c r="B1833" s="1455">
        <v>1583</v>
      </c>
      <c r="C1833" s="1100">
        <v>0.99838306188656689</v>
      </c>
      <c r="D1833" s="1100">
        <v>0.99015505307623908</v>
      </c>
      <c r="E1833" s="1100">
        <v>1.0229511522373329</v>
      </c>
      <c r="F1833" s="1100">
        <v>1.0263558930867587</v>
      </c>
      <c r="G1833" s="1100">
        <v>0.99273333216951676</v>
      </c>
      <c r="H1833" s="1100">
        <v>0.98347650009554644</v>
      </c>
      <c r="I1833" s="1100">
        <v>0.99894020362286962</v>
      </c>
      <c r="K1833">
        <v>2.2546254902390523</v>
      </c>
      <c r="L1833">
        <v>0</v>
      </c>
      <c r="M1833">
        <v>1.4557886983858832E-3</v>
      </c>
      <c r="N1833">
        <v>0.14183683514605333</v>
      </c>
      <c r="O1833">
        <v>1.984172541142095E-2</v>
      </c>
      <c r="P1833">
        <v>2.7033991043901112E-2</v>
      </c>
      <c r="Q1833">
        <v>5.6617399328898347E-3</v>
      </c>
      <c r="R1833">
        <v>1.4349836690071348E-3</v>
      </c>
      <c r="S1833">
        <v>0.24169380685207498</v>
      </c>
      <c r="T1833">
        <v>1.3793257217054402</v>
      </c>
      <c r="U1833">
        <v>0.14305677332193281</v>
      </c>
      <c r="V1833">
        <v>0.18402171713433196</v>
      </c>
      <c r="W1833">
        <v>9.1926041647238083E-2</v>
      </c>
      <c r="X1833">
        <v>1.6342390568348093E-2</v>
      </c>
      <c r="Y1833">
        <v>3.905552504798065E-3</v>
      </c>
    </row>
    <row r="1834" spans="1:25" x14ac:dyDescent="0.25">
      <c r="A1834" s="1096"/>
      <c r="B1834" s="1455">
        <v>1584</v>
      </c>
      <c r="C1834" s="1100">
        <v>1.006803046534714</v>
      </c>
      <c r="D1834" s="1100">
        <v>1.0010175821235257</v>
      </c>
      <c r="E1834" s="1100">
        <v>1.0001861748173451</v>
      </c>
      <c r="F1834" s="1100">
        <v>0.99169438349031414</v>
      </c>
      <c r="G1834" s="1100">
        <v>1.0187400188105917</v>
      </c>
      <c r="H1834" s="1100">
        <v>1.0011484319873798</v>
      </c>
      <c r="I1834" s="1100">
        <v>0.98586717836219595</v>
      </c>
      <c r="K1834">
        <v>2.199436474834259</v>
      </c>
      <c r="L1834">
        <v>0</v>
      </c>
      <c r="M1834">
        <v>1.5370484497647327E-3</v>
      </c>
      <c r="N1834">
        <v>0.13984433133220961</v>
      </c>
      <c r="O1834">
        <v>1.9614468138078645E-2</v>
      </c>
      <c r="P1834">
        <v>2.589210063342208E-2</v>
      </c>
      <c r="Q1834">
        <v>5.4710708550271166E-3</v>
      </c>
      <c r="R1834">
        <v>1.5154698598009906E-3</v>
      </c>
      <c r="S1834">
        <v>0.23646383210137423</v>
      </c>
      <c r="T1834">
        <v>1.332702336208254</v>
      </c>
      <c r="U1834">
        <v>0.14180822606280555</v>
      </c>
      <c r="V1834">
        <v>0.18644393480966459</v>
      </c>
      <c r="W1834">
        <v>9.1858055088183566E-2</v>
      </c>
      <c r="X1834">
        <v>1.5235088811328769E-2</v>
      </c>
      <c r="Y1834">
        <v>4.1246093838732765E-3</v>
      </c>
    </row>
    <row r="1835" spans="1:25" x14ac:dyDescent="0.25">
      <c r="A1835" s="1096"/>
      <c r="B1835" s="1455">
        <v>1585</v>
      </c>
      <c r="C1835" s="1100">
        <v>1.0198276795169792</v>
      </c>
      <c r="D1835" s="1100">
        <v>0.99267125463665717</v>
      </c>
      <c r="E1835" s="1100">
        <v>1.0225260368985698</v>
      </c>
      <c r="F1835" s="1100">
        <v>0.9787190514056443</v>
      </c>
      <c r="G1835" s="1100">
        <v>0.99173320624292649</v>
      </c>
      <c r="H1835" s="1100">
        <v>0.97244689506544113</v>
      </c>
      <c r="I1835" s="1100">
        <v>1.006166366554254</v>
      </c>
      <c r="K1835">
        <v>2.1717381471842705</v>
      </c>
      <c r="L1835">
        <v>0</v>
      </c>
      <c r="M1835">
        <v>1.409653807317031E-3</v>
      </c>
      <c r="N1835">
        <v>0.13714338736690482</v>
      </c>
      <c r="O1835">
        <v>1.9413395272608221E-2</v>
      </c>
      <c r="P1835">
        <v>2.6013699627845447E-2</v>
      </c>
      <c r="Q1835">
        <v>5.5371808837820433E-3</v>
      </c>
      <c r="R1835">
        <v>1.3892796079487857E-3</v>
      </c>
      <c r="S1835">
        <v>0.23714283791632368</v>
      </c>
      <c r="T1835">
        <v>1.3153054239996884</v>
      </c>
      <c r="U1835">
        <v>0.14004765717240575</v>
      </c>
      <c r="V1835">
        <v>0.18265835970826538</v>
      </c>
      <c r="W1835">
        <v>8.8906227595462267E-2</v>
      </c>
      <c r="X1835">
        <v>1.5809190723418153E-2</v>
      </c>
      <c r="Y1835">
        <v>3.7811611169369175E-3</v>
      </c>
    </row>
    <row r="1836" spans="1:25" x14ac:dyDescent="0.25">
      <c r="A1836" s="1096"/>
      <c r="B1836" s="1455">
        <v>1586</v>
      </c>
      <c r="C1836" s="1100">
        <v>0.99645468690273742</v>
      </c>
      <c r="D1836" s="1100">
        <v>0.9846574693554021</v>
      </c>
      <c r="E1836" s="1100">
        <v>0.99961292448091033</v>
      </c>
      <c r="F1836" s="1100">
        <v>0.99743625591645702</v>
      </c>
      <c r="G1836" s="1100">
        <v>1.0094533673281727</v>
      </c>
      <c r="H1836" s="1100">
        <v>1.00982979885587</v>
      </c>
      <c r="I1836" s="1100">
        <v>0.99531582349922165</v>
      </c>
      <c r="K1836">
        <v>2.2216537060035693</v>
      </c>
      <c r="L1836">
        <v>0</v>
      </c>
      <c r="M1836">
        <v>1.5740375203911504E-3</v>
      </c>
      <c r="N1836">
        <v>0.14297937120221652</v>
      </c>
      <c r="O1836">
        <v>1.988978394209882E-2</v>
      </c>
      <c r="P1836">
        <v>2.6101766544673461E-2</v>
      </c>
      <c r="Q1836">
        <v>5.544668750442943E-3</v>
      </c>
      <c r="R1836">
        <v>1.5521296140661286E-3</v>
      </c>
      <c r="S1836">
        <v>0.24389587734819082</v>
      </c>
      <c r="T1836">
        <v>1.3404177225211469</v>
      </c>
      <c r="U1836">
        <v>0.14327960530181805</v>
      </c>
      <c r="V1836">
        <v>0.18600563323849498</v>
      </c>
      <c r="W1836">
        <v>9.3949341740526299E-2</v>
      </c>
      <c r="X1836">
        <v>1.5387458170188519E-2</v>
      </c>
      <c r="Y1836">
        <v>4.2243851500982357E-3</v>
      </c>
    </row>
    <row r="1837" spans="1:25" x14ac:dyDescent="0.25">
      <c r="A1837" s="1096"/>
      <c r="B1837" s="1455">
        <v>1587</v>
      </c>
      <c r="C1837" s="1100">
        <v>1.0063980355758737</v>
      </c>
      <c r="D1837" s="1100">
        <v>0.99152146601980184</v>
      </c>
      <c r="E1837" s="1100">
        <v>1.0363615392131829</v>
      </c>
      <c r="F1837" s="1100">
        <v>0.99518347415546959</v>
      </c>
      <c r="G1837" s="1100">
        <v>0.9865684641982706</v>
      </c>
      <c r="H1837" s="1100">
        <v>1.0132076521977709</v>
      </c>
      <c r="I1837" s="1100">
        <v>1.0012640160787696</v>
      </c>
      <c r="K1837">
        <v>2.2186716373106234</v>
      </c>
      <c r="L1837">
        <v>0</v>
      </c>
      <c r="M1837">
        <v>1.4464154916778141E-3</v>
      </c>
      <c r="N1837">
        <v>0.14679996994796982</v>
      </c>
      <c r="O1837">
        <v>1.9686111309414153E-2</v>
      </c>
      <c r="P1837">
        <v>2.669347723716264E-2</v>
      </c>
      <c r="Q1837">
        <v>5.6923256444057603E-3</v>
      </c>
      <c r="R1837">
        <v>1.4263509806519902E-3</v>
      </c>
      <c r="S1837">
        <v>0.24264037273392364</v>
      </c>
      <c r="T1837">
        <v>1.3374626622756032</v>
      </c>
      <c r="U1837">
        <v>0.14194828217642838</v>
      </c>
      <c r="V1837">
        <v>0.18286391954499281</v>
      </c>
      <c r="W1837">
        <v>9.4404748465732463E-2</v>
      </c>
      <c r="X1837">
        <v>1.6617775313155749E-2</v>
      </c>
      <c r="Y1837">
        <v>3.8820571728603133E-3</v>
      </c>
    </row>
    <row r="1838" spans="1:25" x14ac:dyDescent="0.25">
      <c r="A1838" s="1096"/>
      <c r="B1838" s="1455">
        <v>1588</v>
      </c>
      <c r="C1838" s="1100">
        <v>0.9917541623065983</v>
      </c>
      <c r="D1838" s="1100">
        <v>1.0273931826254528</v>
      </c>
      <c r="E1838" s="1100">
        <v>0.99394080978726884</v>
      </c>
      <c r="F1838" s="1100">
        <v>1.0013208774241973</v>
      </c>
      <c r="G1838" s="1100">
        <v>0.99521235777053685</v>
      </c>
      <c r="H1838" s="1100">
        <v>1.0023118643123996</v>
      </c>
      <c r="I1838" s="1100">
        <v>0.98814998141761523</v>
      </c>
      <c r="K1838">
        <v>2.2155141617292653</v>
      </c>
      <c r="L1838">
        <v>0</v>
      </c>
      <c r="M1838">
        <v>1.5735160590551469E-3</v>
      </c>
      <c r="N1838">
        <v>0.14048804634479106</v>
      </c>
      <c r="O1838">
        <v>1.9794584239322319E-2</v>
      </c>
      <c r="P1838">
        <v>2.5967011583986902E-2</v>
      </c>
      <c r="Q1838">
        <v>5.4867020078915663E-3</v>
      </c>
      <c r="R1838">
        <v>1.5514511427021176E-3</v>
      </c>
      <c r="S1838">
        <v>0.23756458000384748</v>
      </c>
      <c r="T1838">
        <v>1.3456294775191653</v>
      </c>
      <c r="U1838">
        <v>0.14394553336900853</v>
      </c>
      <c r="V1838">
        <v>0.1846730452831917</v>
      </c>
      <c r="W1838">
        <v>9.2624858185684139E-2</v>
      </c>
      <c r="X1838">
        <v>1.5139849534023741E-2</v>
      </c>
      <c r="Y1838">
        <v>4.2225385747034234E-3</v>
      </c>
    </row>
    <row r="1839" spans="1:25" x14ac:dyDescent="0.25">
      <c r="A1839" s="1096"/>
      <c r="B1839" s="1455">
        <v>1589</v>
      </c>
      <c r="C1839" s="1100">
        <v>1.0194569836810905</v>
      </c>
      <c r="D1839" s="1100">
        <v>1.0350762927008637</v>
      </c>
      <c r="E1839" s="1100">
        <v>1.0105113041747433</v>
      </c>
      <c r="F1839" s="1100">
        <v>1.001325762227784</v>
      </c>
      <c r="G1839" s="1100">
        <v>0.98929990167780602</v>
      </c>
      <c r="H1839" s="1100">
        <v>0.99918557635172234</v>
      </c>
      <c r="I1839" s="1100">
        <v>0.99487974901731691</v>
      </c>
      <c r="K1839">
        <v>2.1983919816529713</v>
      </c>
      <c r="L1839">
        <v>0</v>
      </c>
      <c r="M1839">
        <v>1.471990246323888E-3</v>
      </c>
      <c r="N1839">
        <v>0.13816318845792952</v>
      </c>
      <c r="O1839">
        <v>1.9235226951018456E-2</v>
      </c>
      <c r="P1839">
        <v>2.6124415704014241E-2</v>
      </c>
      <c r="Q1839">
        <v>5.4210970706042756E-3</v>
      </c>
      <c r="R1839">
        <v>1.4512844111284279E-3</v>
      </c>
      <c r="S1839">
        <v>0.23170611150295861</v>
      </c>
      <c r="T1839">
        <v>1.3456632565215301</v>
      </c>
      <c r="U1839">
        <v>0.14007137895272573</v>
      </c>
      <c r="V1839">
        <v>0.18239377198983978</v>
      </c>
      <c r="W1839">
        <v>9.0200887429595894E-2</v>
      </c>
      <c r="X1839">
        <v>1.5483435156633245E-2</v>
      </c>
      <c r="Y1839">
        <v>3.9499177513140308E-3</v>
      </c>
    </row>
    <row r="1840" spans="1:25" x14ac:dyDescent="0.25">
      <c r="A1840" s="1096"/>
      <c r="B1840" s="1455">
        <v>1590</v>
      </c>
      <c r="C1840" s="1100">
        <v>0.99327821389771642</v>
      </c>
      <c r="D1840" s="1100">
        <v>0.95887191776243319</v>
      </c>
      <c r="E1840" s="1100">
        <v>0.98374486708337083</v>
      </c>
      <c r="F1840" s="1100">
        <v>0.99003837599412259</v>
      </c>
      <c r="G1840" s="1100">
        <v>0.99654249183099641</v>
      </c>
      <c r="H1840" s="1100">
        <v>1.0116292238801368</v>
      </c>
      <c r="I1840" s="1100">
        <v>1.0025754348249887</v>
      </c>
      <c r="K1840">
        <v>2.2160037332581703</v>
      </c>
      <c r="L1840">
        <v>0</v>
      </c>
      <c r="M1840">
        <v>1.6443210781219182E-3</v>
      </c>
      <c r="N1840">
        <v>0.14237136903896663</v>
      </c>
      <c r="O1840">
        <v>2.0060160533159403E-2</v>
      </c>
      <c r="P1840">
        <v>2.5725975640375431E-2</v>
      </c>
      <c r="Q1840">
        <v>5.5032697042484927E-3</v>
      </c>
      <c r="R1840">
        <v>1.6214756535252225E-3</v>
      </c>
      <c r="S1840">
        <v>0.24978364125582542</v>
      </c>
      <c r="T1840">
        <v>1.3304538240497989</v>
      </c>
      <c r="U1840">
        <v>0.14370107714011965</v>
      </c>
      <c r="V1840">
        <v>0.18472277963585618</v>
      </c>
      <c r="W1840">
        <v>9.4442168209107877E-2</v>
      </c>
      <c r="X1840">
        <v>1.4849191265716433E-2</v>
      </c>
      <c r="Y1840">
        <v>4.4131222095901267E-3</v>
      </c>
    </row>
    <row r="1841" spans="1:25" x14ac:dyDescent="0.25">
      <c r="A1841" s="1096"/>
      <c r="B1841" s="1455">
        <v>1591</v>
      </c>
      <c r="C1841" s="1100">
        <v>0.98039978547469908</v>
      </c>
      <c r="D1841" s="1100">
        <v>0.97822620194322563</v>
      </c>
      <c r="E1841" s="1100">
        <v>0.97454987904206358</v>
      </c>
      <c r="F1841" s="1100">
        <v>1.0444318199896374</v>
      </c>
      <c r="G1841" s="1100">
        <v>1.0254729695193185</v>
      </c>
      <c r="H1841" s="1100">
        <v>0.99723040470269197</v>
      </c>
      <c r="I1841" s="1100">
        <v>1.0102238523788265</v>
      </c>
      <c r="K1841">
        <v>2.2946724291781124</v>
      </c>
      <c r="L1841">
        <v>0</v>
      </c>
      <c r="M1841">
        <v>1.6663851343092914E-3</v>
      </c>
      <c r="N1841">
        <v>0.14029423849109279</v>
      </c>
      <c r="O1841">
        <v>2.0228647399603179E-2</v>
      </c>
      <c r="P1841">
        <v>2.6622929497393026E-2</v>
      </c>
      <c r="Q1841">
        <v>5.4978449756446718E-3</v>
      </c>
      <c r="R1841">
        <v>1.6428988751799503E-3</v>
      </c>
      <c r="S1841">
        <v>0.2511846053743978</v>
      </c>
      <c r="T1841">
        <v>1.4035390405649282</v>
      </c>
      <c r="U1841">
        <v>0.14556719883836147</v>
      </c>
      <c r="V1841">
        <v>0.18876958418165865</v>
      </c>
      <c r="W1841">
        <v>9.3582798541609072E-2</v>
      </c>
      <c r="X1841">
        <v>1.4937598415782728E-2</v>
      </c>
      <c r="Y1841">
        <v>4.4714291567711758E-3</v>
      </c>
    </row>
    <row r="1842" spans="1:25" x14ac:dyDescent="0.25">
      <c r="A1842" s="1096"/>
      <c r="B1842" s="1455">
        <v>1592</v>
      </c>
      <c r="C1842" s="1100">
        <v>1.0098625428754553</v>
      </c>
      <c r="D1842" s="1100">
        <v>0.99658681237585001</v>
      </c>
      <c r="E1842" s="1100">
        <v>1.016891070257699</v>
      </c>
      <c r="F1842" s="1100">
        <v>0.97610733858610965</v>
      </c>
      <c r="G1842" s="1100">
        <v>1.0138910947490991</v>
      </c>
      <c r="H1842" s="1100">
        <v>1.0280269621058002</v>
      </c>
      <c r="I1842" s="1100">
        <v>1.0139964679422055</v>
      </c>
      <c r="K1842">
        <v>2.1956177592631994</v>
      </c>
      <c r="L1842">
        <v>0</v>
      </c>
      <c r="M1842">
        <v>1.5213569575043659E-3</v>
      </c>
      <c r="N1842">
        <v>0.14563132377953869</v>
      </c>
      <c r="O1842">
        <v>1.9584492279174474E-2</v>
      </c>
      <c r="P1842">
        <v>2.6032073990062892E-2</v>
      </c>
      <c r="Q1842">
        <v>5.5547719674020699E-3</v>
      </c>
      <c r="R1842">
        <v>1.500557088645633E-3</v>
      </c>
      <c r="S1842">
        <v>0.24530503836725756</v>
      </c>
      <c r="T1842">
        <v>1.311784437990503</v>
      </c>
      <c r="U1842">
        <v>0.14141673608016281</v>
      </c>
      <c r="V1842">
        <v>0.18573202791433416</v>
      </c>
      <c r="W1842">
        <v>9.4720547575997543E-2</v>
      </c>
      <c r="X1842">
        <v>1.5793087450840945E-2</v>
      </c>
      <c r="Y1842">
        <v>4.0840217367820843E-3</v>
      </c>
    </row>
    <row r="1843" spans="1:25" x14ac:dyDescent="0.25">
      <c r="A1843" s="1096"/>
      <c r="B1843" s="1455">
        <v>1593</v>
      </c>
      <c r="C1843" s="1100">
        <v>1.0143082985396161</v>
      </c>
      <c r="D1843" s="1100">
        <v>1.0186098565946187</v>
      </c>
      <c r="E1843" s="1100">
        <v>1.0101476153586382</v>
      </c>
      <c r="F1843" s="1100">
        <v>0.99852947662101288</v>
      </c>
      <c r="G1843" s="1100">
        <v>0.97650094719396419</v>
      </c>
      <c r="H1843" s="1100">
        <v>1.0116935829877751</v>
      </c>
      <c r="I1843" s="1100">
        <v>1.0077246235592325</v>
      </c>
      <c r="K1843">
        <v>2.2064819137030063</v>
      </c>
      <c r="L1843">
        <v>0</v>
      </c>
      <c r="M1843">
        <v>1.5044128686878869E-3</v>
      </c>
      <c r="N1843">
        <v>0.14107635186834061</v>
      </c>
      <c r="O1843">
        <v>1.9400969240731383E-2</v>
      </c>
      <c r="P1843">
        <v>2.6156660395239419E-2</v>
      </c>
      <c r="Q1843">
        <v>5.4658213650966674E-3</v>
      </c>
      <c r="R1843">
        <v>1.4835125926877329E-3</v>
      </c>
      <c r="S1843">
        <v>0.23875959335764557</v>
      </c>
      <c r="T1843">
        <v>1.3419047204926262</v>
      </c>
      <c r="U1843">
        <v>0.1407815622020947</v>
      </c>
      <c r="V1843">
        <v>0.18124217559822853</v>
      </c>
      <c r="W1843">
        <v>9.2122517520209057E-2</v>
      </c>
      <c r="X1843">
        <v>1.5554809701292725E-2</v>
      </c>
      <c r="Y1843">
        <v>4.037632237501261E-3</v>
      </c>
    </row>
    <row r="1844" spans="1:25" x14ac:dyDescent="0.25">
      <c r="A1844" s="1096"/>
      <c r="B1844" s="1455">
        <v>1594</v>
      </c>
      <c r="C1844" s="1100">
        <v>1.0218427761230473</v>
      </c>
      <c r="D1844" s="1100">
        <v>0.95841309347841142</v>
      </c>
      <c r="E1844" s="1100">
        <v>1.0100933470081523</v>
      </c>
      <c r="F1844" s="1100">
        <v>1.0257647299018298</v>
      </c>
      <c r="G1844" s="1100">
        <v>1.0096178638892686</v>
      </c>
      <c r="H1844" s="1100">
        <v>1.0355847897691175</v>
      </c>
      <c r="I1844" s="1100">
        <v>0.9815961244889988</v>
      </c>
      <c r="K1844">
        <v>2.2545232734790872</v>
      </c>
      <c r="L1844">
        <v>0</v>
      </c>
      <c r="M1844">
        <v>1.5493826965018267E-3</v>
      </c>
      <c r="N1844">
        <v>0.14531681225011306</v>
      </c>
      <c r="O1844">
        <v>1.9517703238191231E-2</v>
      </c>
      <c r="P1844">
        <v>2.6704789272825092E-2</v>
      </c>
      <c r="Q1844">
        <v>5.4984104816375116E-3</v>
      </c>
      <c r="R1844">
        <v>1.5283542584560751E-3</v>
      </c>
      <c r="S1844">
        <v>0.23983783829976818</v>
      </c>
      <c r="T1844">
        <v>1.378505557159464</v>
      </c>
      <c r="U1844">
        <v>0.13974339792881491</v>
      </c>
      <c r="V1844">
        <v>0.18455412372747332</v>
      </c>
      <c r="W1844">
        <v>9.489456428271649E-2</v>
      </c>
      <c r="X1844">
        <v>1.5811428806456706E-2</v>
      </c>
      <c r="Y1844">
        <v>4.1596764696715405E-3</v>
      </c>
    </row>
    <row r="1845" spans="1:25" x14ac:dyDescent="0.25">
      <c r="A1845" s="1096"/>
      <c r="B1845" s="1455">
        <v>1595</v>
      </c>
      <c r="C1845" s="1100">
        <v>1.0181726586058963</v>
      </c>
      <c r="D1845" s="1100">
        <v>1.0117769958567775</v>
      </c>
      <c r="E1845" s="1100">
        <v>0.96674625467952624</v>
      </c>
      <c r="F1845" s="1100">
        <v>0.99847875618167958</v>
      </c>
      <c r="G1845" s="1100">
        <v>1.0076520797459978</v>
      </c>
      <c r="H1845" s="1100">
        <v>1.0261724532367074</v>
      </c>
      <c r="I1845" s="1100">
        <v>0.99313691591066344</v>
      </c>
      <c r="K1845">
        <v>2.1995824356040741</v>
      </c>
      <c r="L1845">
        <v>0</v>
      </c>
      <c r="M1845">
        <v>1.6655486738222629E-3</v>
      </c>
      <c r="N1845">
        <v>0.13700474703614463</v>
      </c>
      <c r="O1845">
        <v>1.932946532491105E-2</v>
      </c>
      <c r="P1845">
        <v>2.5311729082941905E-2</v>
      </c>
      <c r="Q1845">
        <v>5.2117412273465545E-3</v>
      </c>
      <c r="R1845">
        <v>1.6427362751012925E-3</v>
      </c>
      <c r="S1845">
        <v>0.2359991324404552</v>
      </c>
      <c r="T1845">
        <v>1.3417785431393672</v>
      </c>
      <c r="U1845">
        <v>0.14014928476675451</v>
      </c>
      <c r="V1845">
        <v>0.18450480463345717</v>
      </c>
      <c r="W1845">
        <v>9.1823417323219331E-2</v>
      </c>
      <c r="X1845">
        <v>1.4021396415240398E-2</v>
      </c>
      <c r="Y1845">
        <v>4.47098661295817E-3</v>
      </c>
    </row>
    <row r="1846" spans="1:25" x14ac:dyDescent="0.25">
      <c r="A1846" s="1096"/>
      <c r="B1846" s="1455">
        <v>1596</v>
      </c>
      <c r="C1846" s="1100">
        <v>1.012865946075286</v>
      </c>
      <c r="D1846" s="1100">
        <v>1.0276145510035588</v>
      </c>
      <c r="E1846" s="1100">
        <v>1.0387701846936188</v>
      </c>
      <c r="F1846" s="1100">
        <v>0.96685086058052316</v>
      </c>
      <c r="G1846" s="1100">
        <v>0.97435574558656923</v>
      </c>
      <c r="H1846" s="1100">
        <v>0.96656032210245424</v>
      </c>
      <c r="I1846" s="1100">
        <v>0.98170209682173248</v>
      </c>
      <c r="K1846">
        <v>2.1481111800735833</v>
      </c>
      <c r="L1846">
        <v>0</v>
      </c>
      <c r="M1846">
        <v>1.3534524081927389E-3</v>
      </c>
      <c r="N1846">
        <v>0.1382714870210637</v>
      </c>
      <c r="O1846">
        <v>1.9408625836953852E-2</v>
      </c>
      <c r="P1846">
        <v>2.5971575350249632E-2</v>
      </c>
      <c r="Q1846">
        <v>5.625414680531046E-3</v>
      </c>
      <c r="R1846">
        <v>1.3337713700537117E-3</v>
      </c>
      <c r="S1846">
        <v>0.2286352521573479</v>
      </c>
      <c r="T1846">
        <v>1.2993910282236314</v>
      </c>
      <c r="U1846">
        <v>0.14104734140853031</v>
      </c>
      <c r="V1846">
        <v>0.18110916388917669</v>
      </c>
      <c r="W1846">
        <v>8.8796711859047625E-2</v>
      </c>
      <c r="X1846">
        <v>1.6244174693518392E-2</v>
      </c>
      <c r="Y1846">
        <v>3.6300859916722295E-3</v>
      </c>
    </row>
    <row r="1847" spans="1:25" x14ac:dyDescent="0.25">
      <c r="A1847" s="1096"/>
      <c r="B1847" s="1455">
        <v>1597</v>
      </c>
      <c r="C1847" s="1100">
        <v>1.007703864320052</v>
      </c>
      <c r="D1847" s="1100">
        <v>0.98034614938010645</v>
      </c>
      <c r="E1847" s="1100">
        <v>1.0389349438949698</v>
      </c>
      <c r="F1847" s="1100">
        <v>0.97940760931489046</v>
      </c>
      <c r="G1847" s="1100">
        <v>1.0118875613697234</v>
      </c>
      <c r="H1847" s="1100">
        <v>0.9655159276039943</v>
      </c>
      <c r="I1847" s="1100">
        <v>1.0199922078284112</v>
      </c>
      <c r="K1847">
        <v>2.1905992183017768</v>
      </c>
      <c r="L1847">
        <v>0</v>
      </c>
      <c r="M1847">
        <v>1.3725949352678915E-3</v>
      </c>
      <c r="N1847">
        <v>0.14029450763297041</v>
      </c>
      <c r="O1847">
        <v>1.9711300656841929E-2</v>
      </c>
      <c r="P1847">
        <v>2.6506717765013586E-2</v>
      </c>
      <c r="Q1847">
        <v>5.7140684604404185E-3</v>
      </c>
      <c r="R1847">
        <v>1.3526139487645844E-3</v>
      </c>
      <c r="S1847">
        <v>0.24438977403559684</v>
      </c>
      <c r="T1847">
        <v>1.3162669552948769</v>
      </c>
      <c r="U1847">
        <v>0.14177025163810469</v>
      </c>
      <c r="V1847">
        <v>0.18565162941696806</v>
      </c>
      <c r="W1847">
        <v>9.0087320940487534E-2</v>
      </c>
      <c r="X1847">
        <v>1.6545304167509822E-2</v>
      </c>
      <c r="Y1847">
        <v>3.6813692794688234E-3</v>
      </c>
    </row>
    <row r="1848" spans="1:25" x14ac:dyDescent="0.25">
      <c r="A1848" s="1096"/>
      <c r="B1848" s="1455">
        <v>1598</v>
      </c>
      <c r="C1848" s="1100">
        <v>0.98990162650891189</v>
      </c>
      <c r="D1848" s="1100">
        <v>0.96685725528356459</v>
      </c>
      <c r="E1848" s="1100">
        <v>0.99215244914921619</v>
      </c>
      <c r="F1848" s="1100">
        <v>0.99010782454830892</v>
      </c>
      <c r="G1848" s="1100">
        <v>0.99584973030851043</v>
      </c>
      <c r="H1848" s="1100">
        <v>1.008291579536436</v>
      </c>
      <c r="I1848" s="1100">
        <v>1.0314747667612734</v>
      </c>
      <c r="K1848">
        <v>2.2251703259586186</v>
      </c>
      <c r="L1848">
        <v>0</v>
      </c>
      <c r="M1848">
        <v>1.613162467437663E-3</v>
      </c>
      <c r="N1848">
        <v>0.14326339196839294</v>
      </c>
      <c r="O1848">
        <v>2.0097229291662841E-2</v>
      </c>
      <c r="P1848">
        <v>2.599179623989031E-2</v>
      </c>
      <c r="Q1848">
        <v>5.5605463579974437E-3</v>
      </c>
      <c r="R1848">
        <v>1.5906757560658848E-3</v>
      </c>
      <c r="S1848">
        <v>0.25657547653521912</v>
      </c>
      <c r="T1848">
        <v>1.3305582159733642</v>
      </c>
      <c r="U1848">
        <v>0.14421076316498141</v>
      </c>
      <c r="V1848">
        <v>0.18485545456011976</v>
      </c>
      <c r="W1848">
        <v>9.455566829061017E-2</v>
      </c>
      <c r="X1848">
        <v>1.5194975245859171E-2</v>
      </c>
      <c r="Y1848">
        <v>4.3292950418892771E-3</v>
      </c>
    </row>
    <row r="1849" spans="1:25" x14ac:dyDescent="0.25">
      <c r="A1849" s="1096"/>
      <c r="B1849" s="1455">
        <v>1599</v>
      </c>
      <c r="C1849" s="1100">
        <v>0.97260773081661722</v>
      </c>
      <c r="D1849" s="1100">
        <v>1.0279430235492557</v>
      </c>
      <c r="E1849" s="1100">
        <v>1.0226638596731084</v>
      </c>
      <c r="F1849" s="1100">
        <v>1.0283606279300921</v>
      </c>
      <c r="G1849" s="1100">
        <v>1.029348392840822</v>
      </c>
      <c r="H1849" s="1100">
        <v>1.0193734537770089</v>
      </c>
      <c r="I1849" s="1100">
        <v>1.0349281562008941</v>
      </c>
      <c r="K1849">
        <v>2.2947660244575681</v>
      </c>
      <c r="L1849">
        <v>0</v>
      </c>
      <c r="M1849">
        <v>1.5371221917499065E-3</v>
      </c>
      <c r="N1849">
        <v>0.1497078013011236</v>
      </c>
      <c r="O1849">
        <v>2.0200237787203822E-2</v>
      </c>
      <c r="P1849">
        <v>2.7386655696982617E-2</v>
      </c>
      <c r="Q1849">
        <v>5.7623962043384718E-3</v>
      </c>
      <c r="R1849">
        <v>1.5159283811030679E-3</v>
      </c>
      <c r="S1849">
        <v>0.25531933575319526</v>
      </c>
      <c r="T1849">
        <v>1.3820192813126577</v>
      </c>
      <c r="U1849">
        <v>0.14684727574488687</v>
      </c>
      <c r="V1849">
        <v>0.18973534415809026</v>
      </c>
      <c r="W1849">
        <v>9.7043576877617915E-2</v>
      </c>
      <c r="X1849">
        <v>1.663945610441301E-2</v>
      </c>
      <c r="Y1849">
        <v>4.1258573277060248E-3</v>
      </c>
    </row>
    <row r="1850" spans="1:25" x14ac:dyDescent="0.25">
      <c r="A1850" s="1096"/>
      <c r="B1850" s="1455">
        <v>1600</v>
      </c>
      <c r="C1850" s="1100">
        <v>0.9998384412350273</v>
      </c>
      <c r="D1850" s="1100">
        <v>1.0061015099217703</v>
      </c>
      <c r="E1850" s="1100">
        <v>0.97576970757438763</v>
      </c>
      <c r="F1850" s="1100">
        <v>0.97551640415257457</v>
      </c>
      <c r="G1850" s="1100">
        <v>1.0052239025100709</v>
      </c>
      <c r="H1850" s="1100">
        <v>0.9799041013425871</v>
      </c>
      <c r="I1850" s="1100">
        <v>1.0020036917973005</v>
      </c>
      <c r="K1850">
        <v>2.171388570940989</v>
      </c>
      <c r="L1850">
        <v>0</v>
      </c>
      <c r="M1850">
        <v>1.5916870444212456E-3</v>
      </c>
      <c r="N1850">
        <v>0.13446702715217954</v>
      </c>
      <c r="O1850">
        <v>1.9713891839220999E-2</v>
      </c>
      <c r="P1850">
        <v>2.5166358324098755E-2</v>
      </c>
      <c r="Q1850">
        <v>5.3646070961158414E-3</v>
      </c>
      <c r="R1850">
        <v>1.5688569302771914E-3</v>
      </c>
      <c r="S1850">
        <v>0.23950983904564901</v>
      </c>
      <c r="T1850">
        <v>1.3109296686951581</v>
      </c>
      <c r="U1850">
        <v>0.14273990854806543</v>
      </c>
      <c r="V1850">
        <v>0.18530563372121886</v>
      </c>
      <c r="W1850">
        <v>8.9629480901914679E-2</v>
      </c>
      <c r="X1850">
        <v>1.4315074340845174E-2</v>
      </c>
      <c r="Y1850">
        <v>4.2699113906664431E-3</v>
      </c>
    </row>
    <row r="1851" spans="1:25" x14ac:dyDescent="0.25">
      <c r="A1851" s="1096"/>
      <c r="B1851" s="1455">
        <v>1601</v>
      </c>
      <c r="C1851" s="1100">
        <v>0.97854662210389376</v>
      </c>
      <c r="D1851" s="1100">
        <v>1.0073016677020401</v>
      </c>
      <c r="E1851" s="1100">
        <v>0.99745552813803096</v>
      </c>
      <c r="F1851" s="1100">
        <v>0.97872954577236249</v>
      </c>
      <c r="G1851" s="1100">
        <v>0.99483572077491067</v>
      </c>
      <c r="H1851" s="1100">
        <v>0.99198052036697881</v>
      </c>
      <c r="I1851" s="1100">
        <v>0.99437754192666583</v>
      </c>
      <c r="K1851">
        <v>2.1968393133586979</v>
      </c>
      <c r="L1851">
        <v>0</v>
      </c>
      <c r="M1851">
        <v>1.5736812902685205E-3</v>
      </c>
      <c r="N1851">
        <v>0.14198215106487533</v>
      </c>
      <c r="O1851">
        <v>2.0151348305164962E-2</v>
      </c>
      <c r="P1851">
        <v>2.574489185391601E-2</v>
      </c>
      <c r="Q1851">
        <v>5.605406169879098E-3</v>
      </c>
      <c r="R1851">
        <v>1.5513842296579505E-3</v>
      </c>
      <c r="S1851">
        <v>0.24386203774332801</v>
      </c>
      <c r="T1851">
        <v>1.3152751716488496</v>
      </c>
      <c r="U1851">
        <v>0.14589664421592058</v>
      </c>
      <c r="V1851">
        <v>0.18544089521338158</v>
      </c>
      <c r="W1851">
        <v>9.3413925845272749E-2</v>
      </c>
      <c r="X1851">
        <v>1.5266781899263287E-2</v>
      </c>
      <c r="Y1851">
        <v>4.2223564594550799E-3</v>
      </c>
    </row>
    <row r="1852" spans="1:25" x14ac:dyDescent="0.25">
      <c r="A1852" s="1096"/>
      <c r="B1852" s="1455">
        <v>1602</v>
      </c>
      <c r="C1852" s="1100">
        <v>0.99137784329083356</v>
      </c>
      <c r="D1852" s="1100">
        <v>0.98133427713765564</v>
      </c>
      <c r="E1852" s="1100">
        <v>1.035703790082066</v>
      </c>
      <c r="F1852" s="1100">
        <v>1.0039924758916432</v>
      </c>
      <c r="G1852" s="1100">
        <v>1.0039124038436797</v>
      </c>
      <c r="H1852" s="1100">
        <v>0.99118367345832592</v>
      </c>
      <c r="I1852" s="1100">
        <v>0.99233485121737897</v>
      </c>
      <c r="K1852">
        <v>2.2359714565343665</v>
      </c>
      <c r="L1852">
        <v>0</v>
      </c>
      <c r="M1852">
        <v>1.4416566058870247E-3</v>
      </c>
      <c r="N1852">
        <v>0.14598162982577328</v>
      </c>
      <c r="O1852">
        <v>2.0029410592659641E-2</v>
      </c>
      <c r="P1852">
        <v>2.6930111267862225E-2</v>
      </c>
      <c r="Q1852">
        <v>5.7878394506537239E-3</v>
      </c>
      <c r="R1852">
        <v>1.421213745466517E-3</v>
      </c>
      <c r="S1852">
        <v>0.24360076216918039</v>
      </c>
      <c r="T1852">
        <v>1.3492998341640228</v>
      </c>
      <c r="U1852">
        <v>0.14409738001917885</v>
      </c>
      <c r="V1852">
        <v>0.18571724928020775</v>
      </c>
      <c r="W1852">
        <v>9.3914167938197179E-2</v>
      </c>
      <c r="X1852">
        <v>1.6765439374874153E-2</v>
      </c>
      <c r="Y1852">
        <v>3.8680753121745795E-3</v>
      </c>
    </row>
    <row r="1853" spans="1:25" x14ac:dyDescent="0.25">
      <c r="A1853" s="1096"/>
      <c r="B1853" s="1455">
        <v>1603</v>
      </c>
      <c r="C1853" s="1100">
        <v>1.008038753880095</v>
      </c>
      <c r="D1853" s="1100">
        <v>1.0043183204724642</v>
      </c>
      <c r="E1853" s="1100">
        <v>1.0407942677033248</v>
      </c>
      <c r="F1853" s="1100">
        <v>0.96860694552939908</v>
      </c>
      <c r="G1853" s="1100">
        <v>0.97793511243531683</v>
      </c>
      <c r="H1853" s="1100">
        <v>0.98553863868118596</v>
      </c>
      <c r="I1853" s="1100">
        <v>1.0028396499935144</v>
      </c>
      <c r="K1853">
        <v>2.1700984481812755</v>
      </c>
      <c r="L1853">
        <v>0</v>
      </c>
      <c r="M1853">
        <v>1.3877747559328849E-3</v>
      </c>
      <c r="N1853">
        <v>0.14268557566179249</v>
      </c>
      <c r="O1853">
        <v>1.9601459411863673E-2</v>
      </c>
      <c r="P1853">
        <v>2.6206387217184806E-2</v>
      </c>
      <c r="Q1853">
        <v>5.6926256404156803E-3</v>
      </c>
      <c r="R1853">
        <v>1.3679832288752657E-3</v>
      </c>
      <c r="S1853">
        <v>0.23891026601658311</v>
      </c>
      <c r="T1853">
        <v>1.3017558915913372</v>
      </c>
      <c r="U1853">
        <v>0.14172742468616423</v>
      </c>
      <c r="V1853">
        <v>0.18179628716354745</v>
      </c>
      <c r="W1853">
        <v>9.1524624143715844E-2</v>
      </c>
      <c r="X1853">
        <v>1.64944987822792E-2</v>
      </c>
      <c r="Y1853">
        <v>3.7231993934482704E-3</v>
      </c>
    </row>
    <row r="1854" spans="1:25" x14ac:dyDescent="0.25">
      <c r="A1854" s="1096"/>
      <c r="B1854" s="1455">
        <v>1604</v>
      </c>
      <c r="C1854" s="1100">
        <v>1.0200078495853617</v>
      </c>
      <c r="D1854" s="1100">
        <v>1.0132690806118996</v>
      </c>
      <c r="E1854" s="1100">
        <v>0.99675811175204243</v>
      </c>
      <c r="F1854" s="1100">
        <v>1.0159571444599254</v>
      </c>
      <c r="G1854" s="1100">
        <v>0.99882571993656599</v>
      </c>
      <c r="H1854" s="1100">
        <v>1.0093226658413914</v>
      </c>
      <c r="I1854" s="1100">
        <v>1.0219927068389714</v>
      </c>
      <c r="K1854">
        <v>2.2294574132171547</v>
      </c>
      <c r="L1854">
        <v>0</v>
      </c>
      <c r="M1854">
        <v>1.5363328306086427E-3</v>
      </c>
      <c r="N1854">
        <v>0.13835480373989656</v>
      </c>
      <c r="O1854">
        <v>1.9306706307210039E-2</v>
      </c>
      <c r="P1854">
        <v>2.6266886059422255E-2</v>
      </c>
      <c r="Q1854">
        <v>5.3666865068836512E-3</v>
      </c>
      <c r="R1854">
        <v>1.514938965061156E-3</v>
      </c>
      <c r="S1854">
        <v>0.2411231860615507</v>
      </c>
      <c r="T1854">
        <v>1.3653027569111778</v>
      </c>
      <c r="U1854">
        <v>0.13996467133940133</v>
      </c>
      <c r="V1854">
        <v>0.18342715023177808</v>
      </c>
      <c r="W1854">
        <v>9.10652207791737E-2</v>
      </c>
      <c r="X1854">
        <v>1.5177574682807412E-2</v>
      </c>
      <c r="Y1854">
        <v>4.1231644634008519E-3</v>
      </c>
    </row>
    <row r="1855" spans="1:25" x14ac:dyDescent="0.25">
      <c r="A1855" s="1096"/>
      <c r="B1855" s="1455">
        <v>1605</v>
      </c>
      <c r="C1855" s="1100">
        <v>1.0009166349287253</v>
      </c>
      <c r="D1855" s="1100">
        <v>1.041193197738727</v>
      </c>
      <c r="E1855" s="1100">
        <v>1.0324000865018086</v>
      </c>
      <c r="F1855" s="1100">
        <v>1.0362041226097796</v>
      </c>
      <c r="G1855" s="1100">
        <v>1.0329130460718927</v>
      </c>
      <c r="H1855" s="1100">
        <v>1.0038147478911008</v>
      </c>
      <c r="I1855" s="1100">
        <v>1.0227423163621121</v>
      </c>
      <c r="K1855">
        <v>2.2764242167109305</v>
      </c>
      <c r="L1855">
        <v>0</v>
      </c>
      <c r="M1855">
        <v>1.4372653769305049E-3</v>
      </c>
      <c r="N1855">
        <v>0.14412123611344962</v>
      </c>
      <c r="O1855">
        <v>1.9579732533438574E-2</v>
      </c>
      <c r="P1855">
        <v>2.747291123140462E-2</v>
      </c>
      <c r="Q1855">
        <v>5.6394876655799266E-3</v>
      </c>
      <c r="R1855">
        <v>1.4171412351377389E-3</v>
      </c>
      <c r="S1855">
        <v>0.24244646930499938</v>
      </c>
      <c r="T1855">
        <v>1.3925822213340382</v>
      </c>
      <c r="U1855">
        <v>0.1427164859004913</v>
      </c>
      <c r="V1855">
        <v>0.18842143729129671</v>
      </c>
      <c r="W1855">
        <v>9.2894734545411167E-2</v>
      </c>
      <c r="X1855">
        <v>1.6712633651053591E-2</v>
      </c>
      <c r="Y1855">
        <v>3.8569912815623153E-3</v>
      </c>
    </row>
    <row r="1856" spans="1:25" x14ac:dyDescent="0.25">
      <c r="A1856" s="1096"/>
      <c r="B1856" s="1455">
        <v>1606</v>
      </c>
      <c r="C1856" s="1100">
        <v>0.99838588259048477</v>
      </c>
      <c r="D1856" s="1100">
        <v>0.99349964862357343</v>
      </c>
      <c r="E1856" s="1100">
        <v>1.0296518793441836</v>
      </c>
      <c r="F1856" s="1100">
        <v>1.017263399683652</v>
      </c>
      <c r="G1856" s="1100">
        <v>1.0272295652642613</v>
      </c>
      <c r="H1856" s="1100">
        <v>1.0297715071188307</v>
      </c>
      <c r="I1856" s="1100">
        <v>0.99914009153740779</v>
      </c>
      <c r="K1856">
        <v>2.2624031466589964</v>
      </c>
      <c r="L1856">
        <v>0</v>
      </c>
      <c r="M1856">
        <v>1.502073440053073E-3</v>
      </c>
      <c r="N1856">
        <v>0.14943072036759347</v>
      </c>
      <c r="O1856">
        <v>1.983117005079843E-2</v>
      </c>
      <c r="P1856">
        <v>2.7098329214260503E-2</v>
      </c>
      <c r="Q1856">
        <v>5.6964181452939504E-3</v>
      </c>
      <c r="R1856">
        <v>1.4815720044822919E-3</v>
      </c>
      <c r="S1856">
        <v>0.24510597837945966</v>
      </c>
      <c r="T1856">
        <v>1.3671209702348028</v>
      </c>
      <c r="U1856">
        <v>0.14307188283649555</v>
      </c>
      <c r="V1856">
        <v>0.18792681734334579</v>
      </c>
      <c r="W1856">
        <v>9.6470664112532273E-2</v>
      </c>
      <c r="X1856">
        <v>1.6638346813861886E-2</v>
      </c>
      <c r="Y1856">
        <v>4.0323505961207809E-3</v>
      </c>
    </row>
    <row r="1857" spans="1:25" x14ac:dyDescent="0.25">
      <c r="A1857" s="1096"/>
      <c r="B1857" s="1455">
        <v>1607</v>
      </c>
      <c r="C1857" s="1100">
        <v>0.98047139446208009</v>
      </c>
      <c r="D1857" s="1100">
        <v>0.97706007981249177</v>
      </c>
      <c r="E1857" s="1100">
        <v>0.99573108042139891</v>
      </c>
      <c r="F1857" s="1100">
        <v>1.0151330917804429</v>
      </c>
      <c r="G1857" s="1100">
        <v>0.98833592310775464</v>
      </c>
      <c r="H1857" s="1100">
        <v>0.98586160485428131</v>
      </c>
      <c r="I1857" s="1100">
        <v>1.0476211390966088</v>
      </c>
      <c r="K1857">
        <v>2.2611327796758429</v>
      </c>
      <c r="L1857">
        <v>0</v>
      </c>
      <c r="M1857">
        <v>1.5770347749995289E-3</v>
      </c>
      <c r="N1857">
        <v>0.14153253586678949</v>
      </c>
      <c r="O1857">
        <v>2.0246010225186739E-2</v>
      </c>
      <c r="P1857">
        <v>2.6578445980360996E-2</v>
      </c>
      <c r="Q1857">
        <v>5.6219659519860434E-3</v>
      </c>
      <c r="R1857">
        <v>1.5545515144229478E-3</v>
      </c>
      <c r="S1857">
        <v>0.25981611665557702</v>
      </c>
      <c r="T1857">
        <v>1.3641937718984656</v>
      </c>
      <c r="U1857">
        <v>0.14560618604849163</v>
      </c>
      <c r="V1857">
        <v>0.18458562611721321</v>
      </c>
      <c r="W1857">
        <v>9.3213856434141498E-2</v>
      </c>
      <c r="X1857">
        <v>1.5529770993713096E-2</v>
      </c>
      <c r="Y1857">
        <v>4.2309767644902593E-3</v>
      </c>
    </row>
    <row r="1858" spans="1:25" x14ac:dyDescent="0.25">
      <c r="A1858" s="1096"/>
      <c r="B1858" s="1455">
        <v>1608</v>
      </c>
      <c r="C1858" s="1100">
        <v>1.0404779837385256</v>
      </c>
      <c r="D1858" s="1100">
        <v>0.99538397353588548</v>
      </c>
      <c r="E1858" s="1100">
        <v>1.02899032295635</v>
      </c>
      <c r="F1858" s="1100">
        <v>0.99828357189920081</v>
      </c>
      <c r="G1858" s="1100">
        <v>1.0015190483753049</v>
      </c>
      <c r="H1858" s="1100">
        <v>1.0005703896894333</v>
      </c>
      <c r="I1858" s="1100">
        <v>1.038004011119855</v>
      </c>
      <c r="K1858">
        <v>2.2030700275403241</v>
      </c>
      <c r="L1858">
        <v>0</v>
      </c>
      <c r="M1858">
        <v>1.4017838940753341E-3</v>
      </c>
      <c r="N1858">
        <v>0.13911956324391317</v>
      </c>
      <c r="O1858">
        <v>1.902057812571652E-2</v>
      </c>
      <c r="P1858">
        <v>2.6528451577852906E-2</v>
      </c>
      <c r="Q1858">
        <v>5.4600053424726505E-3</v>
      </c>
      <c r="R1858">
        <v>1.3820929111209184E-3</v>
      </c>
      <c r="S1858">
        <v>0.24176463168323387</v>
      </c>
      <c r="T1858">
        <v>1.3416121267218455</v>
      </c>
      <c r="U1858">
        <v>0.137282499391011</v>
      </c>
      <c r="V1858">
        <v>0.18261524602133461</v>
      </c>
      <c r="W1858">
        <v>8.9848421007121163E-2</v>
      </c>
      <c r="X1858">
        <v>1.6076594111512982E-2</v>
      </c>
      <c r="Y1858">
        <v>3.7616012972654361E-3</v>
      </c>
    </row>
    <row r="1859" spans="1:25" x14ac:dyDescent="0.25">
      <c r="A1859" s="1096"/>
      <c r="B1859" s="1455">
        <v>1609</v>
      </c>
      <c r="C1859" s="1100">
        <v>0.98625535877635218</v>
      </c>
      <c r="D1859" s="1100">
        <v>1.0054349977008101</v>
      </c>
      <c r="E1859" s="1100">
        <v>0.98688992211115845</v>
      </c>
      <c r="F1859" s="1100">
        <v>0.98870709095526321</v>
      </c>
      <c r="G1859" s="1100">
        <v>1.0342867316818447</v>
      </c>
      <c r="H1859" s="1100">
        <v>0.99563603162739089</v>
      </c>
      <c r="I1859" s="1100">
        <v>0.99528281527228735</v>
      </c>
      <c r="K1859">
        <v>2.208631832366299</v>
      </c>
      <c r="L1859">
        <v>0</v>
      </c>
      <c r="M1859">
        <v>1.6024707534415534E-3</v>
      </c>
      <c r="N1859">
        <v>0.14004219895047623</v>
      </c>
      <c r="O1859">
        <v>1.9995326767648629E-2</v>
      </c>
      <c r="P1859">
        <v>2.5743525214752191E-2</v>
      </c>
      <c r="Q1859">
        <v>5.5029944924635992E-3</v>
      </c>
      <c r="R1859">
        <v>1.5798491448516879E-3</v>
      </c>
      <c r="S1859">
        <v>0.24261456977485296</v>
      </c>
      <c r="T1859">
        <v>1.3286687426386183</v>
      </c>
      <c r="U1859">
        <v>0.14473165788882736</v>
      </c>
      <c r="V1859">
        <v>0.18941729250957295</v>
      </c>
      <c r="W1859">
        <v>9.2721601834887715E-2</v>
      </c>
      <c r="X1859">
        <v>1.4916715327633372E-2</v>
      </c>
      <c r="Y1859">
        <v>4.2998285751556613E-3</v>
      </c>
    </row>
    <row r="1860" spans="1:25" x14ac:dyDescent="0.25">
      <c r="A1860" s="1096"/>
      <c r="B1860" s="1455">
        <v>1610</v>
      </c>
      <c r="C1860" s="1100">
        <v>1.027737243181057</v>
      </c>
      <c r="D1860" s="1100">
        <v>1.0237362312181648</v>
      </c>
      <c r="E1860" s="1100">
        <v>1.0106293336895134</v>
      </c>
      <c r="F1860" s="1100">
        <v>0.98396521046250307</v>
      </c>
      <c r="G1860" s="1100">
        <v>0.99898479429923925</v>
      </c>
      <c r="H1860" s="1100">
        <v>0.982937816620441</v>
      </c>
      <c r="I1860" s="1100">
        <v>0.9958817656147062</v>
      </c>
      <c r="K1860">
        <v>2.1671630124182877</v>
      </c>
      <c r="L1860">
        <v>0</v>
      </c>
      <c r="M1860">
        <v>1.439519899038723E-3</v>
      </c>
      <c r="N1860">
        <v>0.1351317495927486</v>
      </c>
      <c r="O1860">
        <v>1.9126622743333471E-2</v>
      </c>
      <c r="P1860">
        <v>2.5776514184668121E-2</v>
      </c>
      <c r="Q1860">
        <v>5.3911248044073937E-3</v>
      </c>
      <c r="R1860">
        <v>1.4189360965697357E-3</v>
      </c>
      <c r="S1860">
        <v>0.23007410263994293</v>
      </c>
      <c r="T1860">
        <v>1.3223329420699492</v>
      </c>
      <c r="U1860">
        <v>0.13894311860349742</v>
      </c>
      <c r="V1860">
        <v>0.18301967178308431</v>
      </c>
      <c r="W1860">
        <v>8.8215652338883926E-2</v>
      </c>
      <c r="X1860">
        <v>1.5310221157537138E-2</v>
      </c>
      <c r="Y1860">
        <v>3.8618763027042972E-3</v>
      </c>
    </row>
    <row r="1861" spans="1:25" x14ac:dyDescent="0.25">
      <c r="A1861" s="1096"/>
      <c r="B1861" s="1455">
        <v>1611</v>
      </c>
      <c r="C1861" s="1100">
        <v>0.97380763971442663</v>
      </c>
      <c r="D1861" s="1100">
        <v>0.96047301146694886</v>
      </c>
      <c r="E1861" s="1100">
        <v>1.0368125431101269</v>
      </c>
      <c r="F1861" s="1100">
        <v>0.99854436396330781</v>
      </c>
      <c r="G1861" s="1100">
        <v>1.0293198706229518</v>
      </c>
      <c r="H1861" s="1100">
        <v>0.98971609273934547</v>
      </c>
      <c r="I1861" s="1100">
        <v>1.0178771963686375</v>
      </c>
      <c r="K1861">
        <v>2.2550851763823765</v>
      </c>
      <c r="L1861">
        <v>0</v>
      </c>
      <c r="M1861">
        <v>1.4690379793410638E-3</v>
      </c>
      <c r="N1861">
        <v>0.14924887632852202</v>
      </c>
      <c r="O1861">
        <v>2.0488137993718271E-2</v>
      </c>
      <c r="P1861">
        <v>2.7129286344197451E-2</v>
      </c>
      <c r="Q1861">
        <v>5.926867893119434E-3</v>
      </c>
      <c r="R1861">
        <v>1.4481759587940746E-3</v>
      </c>
      <c r="S1861">
        <v>0.25703014259381096</v>
      </c>
      <c r="T1861">
        <v>1.3419805518017462</v>
      </c>
      <c r="U1861">
        <v>0.14669993389011776</v>
      </c>
      <c r="V1861">
        <v>0.18967034959079695</v>
      </c>
      <c r="W1861">
        <v>9.5954607138813999E-2</v>
      </c>
      <c r="X1861">
        <v>1.7035827259318743E-2</v>
      </c>
      <c r="Y1861">
        <v>3.9414575687609565E-3</v>
      </c>
    </row>
    <row r="1862" spans="1:25" x14ac:dyDescent="0.25">
      <c r="A1862" s="1096"/>
      <c r="B1862" s="1455">
        <v>1612</v>
      </c>
      <c r="C1862" s="1100">
        <v>1.0310146097731236</v>
      </c>
      <c r="D1862" s="1100">
        <v>0.98111987434779557</v>
      </c>
      <c r="E1862" s="1100">
        <v>0.97390937167088809</v>
      </c>
      <c r="F1862" s="1100">
        <v>1.0004148611130323</v>
      </c>
      <c r="G1862" s="1100">
        <v>1.0206214251020826</v>
      </c>
      <c r="H1862" s="1100">
        <v>1.0191805684410493</v>
      </c>
      <c r="I1862" s="1100">
        <v>0.97598465592635997</v>
      </c>
      <c r="K1862">
        <v>2.1956664926393259</v>
      </c>
      <c r="L1862">
        <v>0</v>
      </c>
      <c r="M1862">
        <v>1.6205477933081162E-3</v>
      </c>
      <c r="N1862">
        <v>0.13621282121909961</v>
      </c>
      <c r="O1862">
        <v>1.9222694011326272E-2</v>
      </c>
      <c r="P1862">
        <v>2.5420296198007914E-2</v>
      </c>
      <c r="Q1862">
        <v>5.2210308343237626E-3</v>
      </c>
      <c r="R1862">
        <v>1.5981994833663806E-3</v>
      </c>
      <c r="S1862">
        <v>0.23208244549554308</v>
      </c>
      <c r="T1862">
        <v>1.3443870631296404</v>
      </c>
      <c r="U1862">
        <v>0.13841955357531721</v>
      </c>
      <c r="V1862">
        <v>0.18525127968750793</v>
      </c>
      <c r="W1862">
        <v>9.0895611486384614E-2</v>
      </c>
      <c r="X1862">
        <v>1.422627316470788E-2</v>
      </c>
      <c r="Y1862">
        <v>4.3497721474051888E-3</v>
      </c>
    </row>
    <row r="1863" spans="1:25" x14ac:dyDescent="0.25">
      <c r="A1863" s="1096"/>
      <c r="B1863" s="1455">
        <v>1613</v>
      </c>
      <c r="C1863" s="1100">
        <v>0.96439032494930932</v>
      </c>
      <c r="D1863" s="1100">
        <v>1.0135911276519933</v>
      </c>
      <c r="E1863" s="1100">
        <v>1.0362960370150989</v>
      </c>
      <c r="F1863" s="1100">
        <v>1.0130744311770743</v>
      </c>
      <c r="G1863" s="1100">
        <v>1.014930162531801</v>
      </c>
      <c r="H1863" s="1100">
        <v>1.0386251850021533</v>
      </c>
      <c r="I1863" s="1100">
        <v>0.95690047269153511</v>
      </c>
      <c r="K1863">
        <v>2.271272244357506</v>
      </c>
      <c r="L1863">
        <v>0</v>
      </c>
      <c r="M1863">
        <v>1.5400200401821296E-3</v>
      </c>
      <c r="N1863">
        <v>0.15632305684561493</v>
      </c>
      <c r="O1863">
        <v>2.044431759898889E-2</v>
      </c>
      <c r="P1863">
        <v>2.7178918943618034E-2</v>
      </c>
      <c r="Q1863">
        <v>5.91118282284522E-3</v>
      </c>
      <c r="R1863">
        <v>1.5191798585426981E-3</v>
      </c>
      <c r="S1863">
        <v>0.24137322372334213</v>
      </c>
      <c r="T1863">
        <v>1.3615068020304868</v>
      </c>
      <c r="U1863">
        <v>0.14813122551523536</v>
      </c>
      <c r="V1863">
        <v>0.18863865991465253</v>
      </c>
      <c r="W1863">
        <v>0.10053269915689725</v>
      </c>
      <c r="X1863">
        <v>1.7118291210014683E-2</v>
      </c>
      <c r="Y1863">
        <v>4.1347067774474486E-3</v>
      </c>
    </row>
    <row r="1864" spans="1:25" x14ac:dyDescent="0.25">
      <c r="A1864" s="1096"/>
      <c r="B1864" s="1455">
        <v>1614</v>
      </c>
      <c r="C1864" s="1100">
        <v>1.0389361289803472</v>
      </c>
      <c r="D1864" s="1100">
        <v>0.99989147986877991</v>
      </c>
      <c r="E1864" s="1100">
        <v>1.0052329974030876</v>
      </c>
      <c r="F1864" s="1100">
        <v>0.99576887061283947</v>
      </c>
      <c r="G1864" s="1100">
        <v>0.99704011371924983</v>
      </c>
      <c r="H1864" s="1100">
        <v>1.0121984897092637</v>
      </c>
      <c r="I1864" s="1100">
        <v>0.97309602922966021</v>
      </c>
      <c r="K1864">
        <v>2.1822047849657249</v>
      </c>
      <c r="L1864">
        <v>0</v>
      </c>
      <c r="M1864">
        <v>1.4906291147880571E-3</v>
      </c>
      <c r="N1864">
        <v>0.13772570890049932</v>
      </c>
      <c r="O1864">
        <v>1.9015558826446441E-2</v>
      </c>
      <c r="P1864">
        <v>2.581886437146716E-2</v>
      </c>
      <c r="Q1864">
        <v>5.3309517969788384E-3</v>
      </c>
      <c r="R1864">
        <v>1.46993066160018E-3</v>
      </c>
      <c r="S1864">
        <v>0.22717444653593716</v>
      </c>
      <c r="T1864">
        <v>1.3381861887901128</v>
      </c>
      <c r="U1864">
        <v>0.13743345171717022</v>
      </c>
      <c r="V1864">
        <v>0.18217291762593821</v>
      </c>
      <c r="W1864">
        <v>9.0196043490571698E-2</v>
      </c>
      <c r="X1864">
        <v>1.5170684665426398E-2</v>
      </c>
      <c r="Y1864">
        <v>4.000666698363322E-3</v>
      </c>
    </row>
    <row r="1865" spans="1:25" x14ac:dyDescent="0.25">
      <c r="A1865" s="1096"/>
      <c r="B1865" s="1455">
        <v>1615</v>
      </c>
      <c r="C1865" s="1100">
        <v>1.0079486288364248</v>
      </c>
      <c r="D1865" s="1100">
        <v>1.0118115113091792</v>
      </c>
      <c r="E1865" s="1100">
        <v>1.0376157300542617</v>
      </c>
      <c r="F1865" s="1100">
        <v>1.0283116511002564</v>
      </c>
      <c r="G1865" s="1100">
        <v>0.99323054425969426</v>
      </c>
      <c r="H1865" s="1100">
        <v>0.98823612557417206</v>
      </c>
      <c r="I1865" s="1100">
        <v>0.98930589340634523</v>
      </c>
      <c r="K1865">
        <v>2.249208800668677</v>
      </c>
      <c r="L1865">
        <v>0</v>
      </c>
      <c r="M1865">
        <v>1.3986694161816169E-3</v>
      </c>
      <c r="N1865">
        <v>0.14244091077880092</v>
      </c>
      <c r="O1865">
        <v>1.9569204439604915E-2</v>
      </c>
      <c r="P1865">
        <v>2.7241501574061199E-2</v>
      </c>
      <c r="Q1865">
        <v>5.6655156227525963E-3</v>
      </c>
      <c r="R1865">
        <v>1.3787769636822984E-3</v>
      </c>
      <c r="S1865">
        <v>0.23502263202520143</v>
      </c>
      <c r="T1865">
        <v>1.3819878778332793</v>
      </c>
      <c r="U1865">
        <v>0.14173279445868611</v>
      </c>
      <c r="V1865">
        <v>0.1835273520235515</v>
      </c>
      <c r="W1865">
        <v>9.1535206214206882E-2</v>
      </c>
      <c r="X1865">
        <v>1.6753121769592667E-2</v>
      </c>
      <c r="Y1865">
        <v>3.7525763814392913E-3</v>
      </c>
    </row>
    <row r="1866" spans="1:25" x14ac:dyDescent="0.25">
      <c r="A1866" s="1096"/>
      <c r="B1866" s="1455">
        <v>1616</v>
      </c>
      <c r="C1866" s="1100">
        <v>1.0079078676340445</v>
      </c>
      <c r="D1866" s="1100">
        <v>1.024190490950579</v>
      </c>
      <c r="E1866" s="1100">
        <v>1.0083268366603297</v>
      </c>
      <c r="F1866" s="1100">
        <v>1.0050593831920756</v>
      </c>
      <c r="G1866" s="1100">
        <v>0.99020118858203843</v>
      </c>
      <c r="H1866" s="1100">
        <v>0.99868858687188899</v>
      </c>
      <c r="I1866" s="1100">
        <v>0.97401480138484942</v>
      </c>
      <c r="K1866">
        <v>2.20782332619522</v>
      </c>
      <c r="L1866">
        <v>0</v>
      </c>
      <c r="M1866">
        <v>1.4983657875148023E-3</v>
      </c>
      <c r="N1866">
        <v>0.13971335682486211</v>
      </c>
      <c r="O1866">
        <v>1.9499591070368784E-2</v>
      </c>
      <c r="P1866">
        <v>2.6168334481917983E-2</v>
      </c>
      <c r="Q1866">
        <v>5.483611885999942E-3</v>
      </c>
      <c r="R1866">
        <v>1.4772784505300506E-3</v>
      </c>
      <c r="S1866">
        <v>0.23059565931814013</v>
      </c>
      <c r="T1866">
        <v>1.3506768582278061</v>
      </c>
      <c r="U1866">
        <v>0.14167139021655503</v>
      </c>
      <c r="V1866">
        <v>0.18316060638995182</v>
      </c>
      <c r="W1866">
        <v>9.1330550167934593E-2</v>
      </c>
      <c r="X1866">
        <v>1.5523789991035717E-2</v>
      </c>
      <c r="Y1866">
        <v>4.0206649576324605E-3</v>
      </c>
    </row>
    <row r="1867" spans="1:25" x14ac:dyDescent="0.25">
      <c r="A1867" s="1096"/>
      <c r="B1867" s="1455">
        <v>1617</v>
      </c>
      <c r="C1867" s="1100">
        <v>1.0291821073732217</v>
      </c>
      <c r="D1867" s="1100">
        <v>1.0048303653918054</v>
      </c>
      <c r="E1867" s="1100">
        <v>0.97193782259756423</v>
      </c>
      <c r="F1867" s="1100">
        <v>1.0091130035824096</v>
      </c>
      <c r="G1867" s="1100">
        <v>0.97349151617433394</v>
      </c>
      <c r="H1867" s="1100">
        <v>1.001793898260432</v>
      </c>
      <c r="I1867" s="1100">
        <v>0.97917990538217592</v>
      </c>
      <c r="K1867">
        <v>2.1942004795126082</v>
      </c>
      <c r="L1867">
        <v>0</v>
      </c>
      <c r="M1867">
        <v>1.5938543435458058E-3</v>
      </c>
      <c r="N1867">
        <v>0.13313962947688884</v>
      </c>
      <c r="O1867">
        <v>1.9154830487729292E-2</v>
      </c>
      <c r="P1867">
        <v>2.5432535338032743E-2</v>
      </c>
      <c r="Q1867">
        <v>5.1921425581175741E-3</v>
      </c>
      <c r="R1867">
        <v>1.5714926740134812E-3</v>
      </c>
      <c r="S1867">
        <v>0.22916291271464004</v>
      </c>
      <c r="T1867">
        <v>1.3560738987436509</v>
      </c>
      <c r="U1867">
        <v>0.13866162440136282</v>
      </c>
      <c r="V1867">
        <v>0.18002433667245413</v>
      </c>
      <c r="W1867">
        <v>8.8951278616569457E-2</v>
      </c>
      <c r="X1867">
        <v>1.415256715644996E-2</v>
      </c>
      <c r="Y1867">
        <v>4.2770850162439332E-3</v>
      </c>
    </row>
    <row r="1868" spans="1:25" x14ac:dyDescent="0.25">
      <c r="A1868" s="1096"/>
      <c r="B1868" s="1455">
        <v>1618</v>
      </c>
      <c r="C1868" s="1100">
        <v>1.0142977567049789</v>
      </c>
      <c r="D1868" s="1100">
        <v>1.0019142882200978</v>
      </c>
      <c r="E1868" s="1100">
        <v>0.99753037705404968</v>
      </c>
      <c r="F1868" s="1100">
        <v>1.0324917555021484</v>
      </c>
      <c r="G1868" s="1100">
        <v>1.0169243547608144</v>
      </c>
      <c r="H1868" s="1100">
        <v>0.96434559106944151</v>
      </c>
      <c r="I1868" s="1100">
        <v>1.0120268063320037</v>
      </c>
      <c r="K1868">
        <v>2.2436307152920447</v>
      </c>
      <c r="L1868">
        <v>0</v>
      </c>
      <c r="M1868">
        <v>1.4774315467952256E-3</v>
      </c>
      <c r="N1868">
        <v>0.1332734554796759</v>
      </c>
      <c r="O1868">
        <v>1.9464066096774261E-2</v>
      </c>
      <c r="P1868">
        <v>2.6583509665470254E-2</v>
      </c>
      <c r="Q1868">
        <v>5.4146360263197827E-3</v>
      </c>
      <c r="R1868">
        <v>1.4558983432479786E-3</v>
      </c>
      <c r="S1868">
        <v>0.23787584958348354</v>
      </c>
      <c r="T1868">
        <v>1.3875241562994538</v>
      </c>
      <c r="U1868">
        <v>0.14075436890996071</v>
      </c>
      <c r="V1868">
        <v>0.18580102935587151</v>
      </c>
      <c r="W1868">
        <v>8.7680329356967721E-2</v>
      </c>
      <c r="X1868">
        <v>1.5318372368052049E-2</v>
      </c>
      <c r="Y1868">
        <v>3.9624753535611309E-3</v>
      </c>
    </row>
    <row r="1869" spans="1:25" x14ac:dyDescent="0.25">
      <c r="A1869" s="1096"/>
      <c r="B1869" s="1455">
        <v>1619</v>
      </c>
      <c r="C1869" s="1100">
        <v>0.98002024570129842</v>
      </c>
      <c r="D1869" s="1100">
        <v>0.98581427788694131</v>
      </c>
      <c r="E1869" s="1100">
        <v>0.98697532245385344</v>
      </c>
      <c r="F1869" s="1100">
        <v>0.98048600195449298</v>
      </c>
      <c r="G1869" s="1100">
        <v>1.0171970702509698</v>
      </c>
      <c r="H1869" s="1100">
        <v>1.0006741121930507</v>
      </c>
      <c r="I1869" s="1100">
        <v>1.0110020217399818</v>
      </c>
      <c r="K1869">
        <v>2.209301242362844</v>
      </c>
      <c r="L1869">
        <v>0</v>
      </c>
      <c r="M1869">
        <v>1.6275812575527757E-3</v>
      </c>
      <c r="N1869">
        <v>0.14228363712144376</v>
      </c>
      <c r="O1869">
        <v>2.0210030173996765E-2</v>
      </c>
      <c r="P1869">
        <v>2.5699246459034663E-2</v>
      </c>
      <c r="Q1869">
        <v>5.5625648391518529E-3</v>
      </c>
      <c r="R1869">
        <v>1.6047208487512449E-3</v>
      </c>
      <c r="S1869">
        <v>0.25088693608401558</v>
      </c>
      <c r="T1869">
        <v>1.3176209855317749</v>
      </c>
      <c r="U1869">
        <v>0.14565267402679016</v>
      </c>
      <c r="V1869">
        <v>0.18786816611587015</v>
      </c>
      <c r="W1869">
        <v>9.4200821486756139E-2</v>
      </c>
      <c r="X1869">
        <v>1.4971519778594454E-2</v>
      </c>
      <c r="Y1869">
        <v>4.3675211542152674E-3</v>
      </c>
    </row>
    <row r="1870" spans="1:25" x14ac:dyDescent="0.25">
      <c r="A1870" s="1096"/>
      <c r="B1870" s="1455">
        <v>1620</v>
      </c>
      <c r="C1870" s="1100">
        <v>1.0055921748219885</v>
      </c>
      <c r="D1870" s="1100">
        <v>0.99489347011426532</v>
      </c>
      <c r="E1870" s="1100">
        <v>1.0158633047910395</v>
      </c>
      <c r="F1870" s="1100">
        <v>1.0145481224219006</v>
      </c>
      <c r="G1870" s="1100">
        <v>1.0229735691989401</v>
      </c>
      <c r="H1870" s="1100">
        <v>1.0096011349332796</v>
      </c>
      <c r="I1870" s="1100">
        <v>0.98449255374786249</v>
      </c>
      <c r="K1870">
        <v>2.2391894968511901</v>
      </c>
      <c r="L1870">
        <v>0</v>
      </c>
      <c r="M1870">
        <v>1.5042066777220071E-3</v>
      </c>
      <c r="N1870">
        <v>0.14350743271294089</v>
      </c>
      <c r="O1870">
        <v>1.967437902860622E-2</v>
      </c>
      <c r="P1870">
        <v>2.66494805329241E-2</v>
      </c>
      <c r="Q1870">
        <v>5.5745565658238249E-3</v>
      </c>
      <c r="R1870">
        <v>1.4832659553460016E-3</v>
      </c>
      <c r="S1870">
        <v>0.23792526522272472</v>
      </c>
      <c r="T1870">
        <v>1.3634427342012911</v>
      </c>
      <c r="U1870">
        <v>0.14201492025437501</v>
      </c>
      <c r="V1870">
        <v>0.18700724847405725</v>
      </c>
      <c r="W1870">
        <v>9.3395442325585318E-2</v>
      </c>
      <c r="X1870">
        <v>1.5982017283276258E-2</v>
      </c>
      <c r="Y1870">
        <v>4.0369609719610481E-3</v>
      </c>
    </row>
    <row r="1871" spans="1:25" x14ac:dyDescent="0.25">
      <c r="A1871" s="1096"/>
      <c r="B1871" s="1455">
        <v>1621</v>
      </c>
      <c r="C1871" s="1100">
        <v>0.96674669313939421</v>
      </c>
      <c r="D1871" s="1100">
        <v>1.0261623082940499</v>
      </c>
      <c r="E1871" s="1100">
        <v>1.0040111562702332</v>
      </c>
      <c r="F1871" s="1100">
        <v>0.98481697402233215</v>
      </c>
      <c r="G1871" s="1100">
        <v>1.033149756346299</v>
      </c>
      <c r="H1871" s="1100">
        <v>0.97867884559215534</v>
      </c>
      <c r="I1871" s="1100">
        <v>0.99965358445017771</v>
      </c>
      <c r="K1871">
        <v>2.2135009158032157</v>
      </c>
      <c r="L1871">
        <v>0</v>
      </c>
      <c r="M1871">
        <v>1.5439877928492298E-3</v>
      </c>
      <c r="N1871">
        <v>0.14206174549553535</v>
      </c>
      <c r="O1871">
        <v>2.0318449014453559E-2</v>
      </c>
      <c r="P1871">
        <v>2.6090269245758826E-2</v>
      </c>
      <c r="Q1871">
        <v>5.6892391629153414E-3</v>
      </c>
      <c r="R1871">
        <v>1.5218141198678084E-3</v>
      </c>
      <c r="S1871">
        <v>0.24482445605728306</v>
      </c>
      <c r="T1871">
        <v>1.3234662022084158</v>
      </c>
      <c r="U1871">
        <v>0.14769304538834352</v>
      </c>
      <c r="V1871">
        <v>0.1905176620125458</v>
      </c>
      <c r="W1871">
        <v>9.3103037869119887E-2</v>
      </c>
      <c r="X1871">
        <v>1.5617106653436217E-2</v>
      </c>
      <c r="Y1871">
        <v>4.1418763683903877E-3</v>
      </c>
    </row>
    <row r="1872" spans="1:25" x14ac:dyDescent="0.25">
      <c r="A1872" s="1096"/>
      <c r="B1872" s="1455">
        <v>1622</v>
      </c>
      <c r="C1872" s="1100">
        <v>1.0375864245609354</v>
      </c>
      <c r="D1872" s="1100">
        <v>0.96403765744964853</v>
      </c>
      <c r="E1872" s="1100">
        <v>0.99002595777638547</v>
      </c>
      <c r="F1872" s="1100">
        <v>0.99540331836910312</v>
      </c>
      <c r="G1872" s="1100">
        <v>0.99887591891450223</v>
      </c>
      <c r="H1872" s="1100">
        <v>0.98505048315191701</v>
      </c>
      <c r="I1872" s="1100">
        <v>1.0091584336322479</v>
      </c>
      <c r="K1872">
        <v>2.185996171855042</v>
      </c>
      <c r="L1872">
        <v>0</v>
      </c>
      <c r="M1872">
        <v>1.5111593401174774E-3</v>
      </c>
      <c r="N1872">
        <v>0.13330011151112667</v>
      </c>
      <c r="O1872">
        <v>1.9184646892862978E-2</v>
      </c>
      <c r="P1872">
        <v>2.5672427840406013E-2</v>
      </c>
      <c r="Q1872">
        <v>5.2966611078025926E-3</v>
      </c>
      <c r="R1872">
        <v>1.489597503628919E-3</v>
      </c>
      <c r="S1872">
        <v>0.23799801072226504</v>
      </c>
      <c r="T1872">
        <v>1.3376716160572129</v>
      </c>
      <c r="U1872">
        <v>0.13757849630140126</v>
      </c>
      <c r="V1872">
        <v>0.18244192223256259</v>
      </c>
      <c r="W1872">
        <v>8.8091827976409479E-2</v>
      </c>
      <c r="X1872">
        <v>1.4727819690288496E-2</v>
      </c>
      <c r="Y1872">
        <v>4.0541933591928172E-3</v>
      </c>
    </row>
    <row r="1873" spans="1:25" x14ac:dyDescent="0.25">
      <c r="A1873" s="1096"/>
      <c r="B1873" s="1455">
        <v>1623</v>
      </c>
      <c r="C1873" s="1100">
        <v>0.98950740997589881</v>
      </c>
      <c r="D1873" s="1100">
        <v>0.9955234562587072</v>
      </c>
      <c r="E1873" s="1100">
        <v>1.00711931856952</v>
      </c>
      <c r="F1873" s="1100">
        <v>1.0096972471132148</v>
      </c>
      <c r="G1873" s="1100">
        <v>1.0061229230177318</v>
      </c>
      <c r="H1873" s="1100">
        <v>0.99194596571159233</v>
      </c>
      <c r="I1873" s="1100">
        <v>0.99487373106695876</v>
      </c>
      <c r="K1873">
        <v>2.2369309563822459</v>
      </c>
      <c r="L1873">
        <v>0</v>
      </c>
      <c r="M1873">
        <v>1.5292521388233886E-3</v>
      </c>
      <c r="N1873">
        <v>0.1420605696731749</v>
      </c>
      <c r="O1873">
        <v>1.9985872879421974E-2</v>
      </c>
      <c r="P1873">
        <v>2.6473278472511099E-2</v>
      </c>
      <c r="Q1873">
        <v>5.6135738133319367E-3</v>
      </c>
      <c r="R1873">
        <v>1.5075838279370859E-3</v>
      </c>
      <c r="S1873">
        <v>0.24277353786960285</v>
      </c>
      <c r="T1873">
        <v>1.3569074350392847</v>
      </c>
      <c r="U1873">
        <v>0.1443030380148527</v>
      </c>
      <c r="V1873">
        <v>0.18605386910168237</v>
      </c>
      <c r="W1873">
        <v>9.2931188368153256E-2</v>
      </c>
      <c r="X1873">
        <v>1.5747115256342561E-2</v>
      </c>
      <c r="Y1873">
        <v>4.1031462047694334E-3</v>
      </c>
    </row>
    <row r="1874" spans="1:25" x14ac:dyDescent="0.25">
      <c r="A1874" s="1096"/>
      <c r="B1874" s="1455">
        <v>1624</v>
      </c>
      <c r="C1874" s="1100">
        <v>1.004051439566044</v>
      </c>
      <c r="D1874" s="1100">
        <v>0.97848874758425364</v>
      </c>
      <c r="E1874" s="1100">
        <v>1.0251197869463375</v>
      </c>
      <c r="F1874" s="1100">
        <v>1.0036686328865041</v>
      </c>
      <c r="G1874" s="1100">
        <v>1.0239667354549631</v>
      </c>
      <c r="H1874" s="1100">
        <v>0.99491305331460678</v>
      </c>
      <c r="I1874" s="1100">
        <v>0.9684318180410173</v>
      </c>
      <c r="K1874">
        <v>2.22194917127909</v>
      </c>
      <c r="L1874">
        <v>0</v>
      </c>
      <c r="M1874">
        <v>1.4616127965294513E-3</v>
      </c>
      <c r="N1874">
        <v>0.14336259176781307</v>
      </c>
      <c r="O1874">
        <v>1.9782581791322758E-2</v>
      </c>
      <c r="P1874">
        <v>2.6597308103117615E-2</v>
      </c>
      <c r="Q1874">
        <v>5.6570196317384993E-3</v>
      </c>
      <c r="R1874">
        <v>1.4409646447154333E-3</v>
      </c>
      <c r="S1874">
        <v>0.23528563090211782</v>
      </c>
      <c r="T1874">
        <v>1.3488407695996953</v>
      </c>
      <c r="U1874">
        <v>0.14225413645071525</v>
      </c>
      <c r="V1874">
        <v>0.18721842566104618</v>
      </c>
      <c r="W1874">
        <v>9.2797461874498818E-2</v>
      </c>
      <c r="X1874">
        <v>1.6252062899788332E-2</v>
      </c>
      <c r="Y1874">
        <v>3.921830749047942E-3</v>
      </c>
    </row>
    <row r="1875" spans="1:25" x14ac:dyDescent="0.25">
      <c r="A1875" s="1096"/>
      <c r="B1875" s="1455">
        <v>1625</v>
      </c>
      <c r="C1875" s="1100">
        <v>1.0261680588765576</v>
      </c>
      <c r="D1875" s="1100">
        <v>0.999784205401682</v>
      </c>
      <c r="E1875" s="1100">
        <v>0.99675460932037474</v>
      </c>
      <c r="F1875" s="1100">
        <v>1.0119726270460072</v>
      </c>
      <c r="G1875" s="1100">
        <v>0.99071826601964086</v>
      </c>
      <c r="H1875" s="1100">
        <v>1.0188880559859692</v>
      </c>
      <c r="I1875" s="1100">
        <v>1.0202587138925203</v>
      </c>
      <c r="K1875">
        <v>2.2238101247038218</v>
      </c>
      <c r="L1875">
        <v>0</v>
      </c>
      <c r="M1875">
        <v>1.5461442360107348E-3</v>
      </c>
      <c r="N1875">
        <v>0.13925535808668946</v>
      </c>
      <c r="O1875">
        <v>1.9247451670046462E-2</v>
      </c>
      <c r="P1875">
        <v>2.6172170592370276E-2</v>
      </c>
      <c r="Q1875">
        <v>5.3501966215907925E-3</v>
      </c>
      <c r="R1875">
        <v>1.5248158736109743E-3</v>
      </c>
      <c r="S1875">
        <v>0.24162959997110578</v>
      </c>
      <c r="T1875">
        <v>1.3599481234811375</v>
      </c>
      <c r="U1875">
        <v>0.13912443886387424</v>
      </c>
      <c r="V1875">
        <v>0.18216157976030464</v>
      </c>
      <c r="W1875">
        <v>9.1658157518979086E-2</v>
      </c>
      <c r="X1875">
        <v>1.5134330347571957E-2</v>
      </c>
      <c r="Y1875">
        <v>4.1500461525514273E-3</v>
      </c>
    </row>
    <row r="1876" spans="1:25" x14ac:dyDescent="0.25">
      <c r="A1876" s="1096"/>
      <c r="B1876" s="1455">
        <v>1626</v>
      </c>
      <c r="C1876" s="1100">
        <v>1.0040265686058973</v>
      </c>
      <c r="D1876" s="1100">
        <v>0.973167935527252</v>
      </c>
      <c r="E1876" s="1100">
        <v>1.0073972782921297</v>
      </c>
      <c r="F1876" s="1100">
        <v>1.0022420323480092</v>
      </c>
      <c r="G1876" s="1100">
        <v>0.98591748217308295</v>
      </c>
      <c r="H1876" s="1100">
        <v>0.98381348099908328</v>
      </c>
      <c r="I1876" s="1100">
        <v>1.0022119731482997</v>
      </c>
      <c r="K1876">
        <v>2.2172611605102035</v>
      </c>
      <c r="L1876">
        <v>0</v>
      </c>
      <c r="M1876">
        <v>1.5014021303596599E-3</v>
      </c>
      <c r="N1876">
        <v>0.13957395893528826</v>
      </c>
      <c r="O1876">
        <v>1.9795697228011618E-2</v>
      </c>
      <c r="P1876">
        <v>2.6274417527184221E-2</v>
      </c>
      <c r="Q1876">
        <v>5.5617053273793755E-3</v>
      </c>
      <c r="R1876">
        <v>1.4799525778909162E-3</v>
      </c>
      <c r="S1876">
        <v>0.24313607630558284</v>
      </c>
      <c r="T1876">
        <v>1.3468890415610058</v>
      </c>
      <c r="U1876">
        <v>0.14221691988529839</v>
      </c>
      <c r="V1876">
        <v>0.182903135057599</v>
      </c>
      <c r="W1876">
        <v>9.1289535757897819E-2</v>
      </c>
      <c r="X1876">
        <v>1.5614179426639825E-2</v>
      </c>
      <c r="Y1876">
        <v>4.0279430507828892E-3</v>
      </c>
    </row>
    <row r="1877" spans="1:25" x14ac:dyDescent="0.25">
      <c r="A1877" s="1096"/>
      <c r="B1877" s="1455">
        <v>1627</v>
      </c>
      <c r="C1877" s="1100">
        <v>0.97612563217924331</v>
      </c>
      <c r="D1877" s="1100">
        <v>1.0034122742122495</v>
      </c>
      <c r="E1877" s="1100">
        <v>1.0103724753319665</v>
      </c>
      <c r="F1877" s="1100">
        <v>1.0306451702284061</v>
      </c>
      <c r="G1877" s="1100">
        <v>0.98546105916190674</v>
      </c>
      <c r="H1877" s="1100">
        <v>0.97931087673524286</v>
      </c>
      <c r="I1877" s="1100">
        <v>1.0217375532611255</v>
      </c>
      <c r="K1877">
        <v>2.2750040192590428</v>
      </c>
      <c r="L1877">
        <v>0</v>
      </c>
      <c r="M1877">
        <v>1.5175264118991252E-3</v>
      </c>
      <c r="N1877">
        <v>0.14233637096685034</v>
      </c>
      <c r="O1877">
        <v>2.022679362223876E-2</v>
      </c>
      <c r="P1877">
        <v>2.7040005821169708E-2</v>
      </c>
      <c r="Q1877">
        <v>5.6997611423486002E-3</v>
      </c>
      <c r="R1877">
        <v>1.4957468240321709E-3</v>
      </c>
      <c r="S1877">
        <v>0.25071904939967299</v>
      </c>
      <c r="T1877">
        <v>1.3850648090305924</v>
      </c>
      <c r="U1877">
        <v>0.14628898231514653</v>
      </c>
      <c r="V1877">
        <v>0.18454336510491179</v>
      </c>
      <c r="W1877">
        <v>9.2932986252338604E-2</v>
      </c>
      <c r="X1877">
        <v>1.6102745409433034E-2</v>
      </c>
      <c r="Y1877">
        <v>4.0709297822075418E-3</v>
      </c>
    </row>
    <row r="1878" spans="1:25" x14ac:dyDescent="0.25">
      <c r="A1878" s="1096"/>
      <c r="B1878" s="1455">
        <v>1628</v>
      </c>
      <c r="C1878" s="1100">
        <v>0.98439263717029746</v>
      </c>
      <c r="D1878" s="1100">
        <v>1.0043077063045334</v>
      </c>
      <c r="E1878" s="1100">
        <v>1.0080328391270845</v>
      </c>
      <c r="F1878" s="1100">
        <v>1.0265026489585434</v>
      </c>
      <c r="G1878" s="1100">
        <v>0.9965815346665855</v>
      </c>
      <c r="H1878" s="1100">
        <v>0.98322109896622623</v>
      </c>
      <c r="I1878" s="1100">
        <v>1.010482181319635</v>
      </c>
      <c r="K1878">
        <v>2.2622085598285913</v>
      </c>
      <c r="L1878">
        <v>0</v>
      </c>
      <c r="M1878">
        <v>1.5178528913461602E-3</v>
      </c>
      <c r="N1878">
        <v>0.14137307506642666</v>
      </c>
      <c r="O1878">
        <v>2.0051506528957371E-2</v>
      </c>
      <c r="P1878">
        <v>2.6846222915830865E-2</v>
      </c>
      <c r="Q1878">
        <v>5.6371611424183002E-3</v>
      </c>
      <c r="R1878">
        <v>1.4961552528261804E-3</v>
      </c>
      <c r="S1878">
        <v>0.2460683495606559</v>
      </c>
      <c r="T1878">
        <v>1.3794934502825194</v>
      </c>
      <c r="U1878">
        <v>0.1450549564190533</v>
      </c>
      <c r="V1878">
        <v>0.18528773978250682</v>
      </c>
      <c r="W1878">
        <v>9.2431552986025164E-2</v>
      </c>
      <c r="X1878">
        <v>1.5914201391968964E-2</v>
      </c>
      <c r="Y1878">
        <v>4.0720413907463218E-3</v>
      </c>
    </row>
    <row r="1879" spans="1:25" x14ac:dyDescent="0.25">
      <c r="A1879" s="1096"/>
      <c r="B1879" s="1455">
        <v>1629</v>
      </c>
      <c r="C1879" s="1100">
        <v>0.97561949642842127</v>
      </c>
      <c r="D1879" s="1100">
        <v>0.98973554418699583</v>
      </c>
      <c r="E1879" s="1100">
        <v>0.99934234671129341</v>
      </c>
      <c r="F1879" s="1100">
        <v>0.9865924188882117</v>
      </c>
      <c r="G1879" s="1100">
        <v>1.0414716811275289</v>
      </c>
      <c r="H1879" s="1100">
        <v>0.96688286399043311</v>
      </c>
      <c r="I1879" s="1100">
        <v>0.99073277528496106</v>
      </c>
      <c r="K1879">
        <v>2.209628273902474</v>
      </c>
      <c r="L1879">
        <v>0</v>
      </c>
      <c r="M1879">
        <v>1.5384029394625263E-3</v>
      </c>
      <c r="N1879">
        <v>0.13954073307233961</v>
      </c>
      <c r="O1879">
        <v>2.0291397373641693E-2</v>
      </c>
      <c r="P1879">
        <v>2.6005115067013064E-2</v>
      </c>
      <c r="Q1879">
        <v>5.6550876791661717E-3</v>
      </c>
      <c r="R1879">
        <v>1.5160399316962755E-3</v>
      </c>
      <c r="S1879">
        <v>0.2438163833869732</v>
      </c>
      <c r="T1879">
        <v>1.3258446687120331</v>
      </c>
      <c r="U1879">
        <v>0.1463388255959264</v>
      </c>
      <c r="V1879">
        <v>0.19089603540779607</v>
      </c>
      <c r="W1879">
        <v>9.1704622942088698E-2</v>
      </c>
      <c r="X1879">
        <v>1.5431606741613152E-2</v>
      </c>
      <c r="Y1879">
        <v>4.1261609316480923E-3</v>
      </c>
    </row>
    <row r="1880" spans="1:25" x14ac:dyDescent="0.25">
      <c r="A1880" s="1096"/>
      <c r="B1880" s="1455">
        <v>1630</v>
      </c>
      <c r="C1880" s="1100">
        <v>0.97150648082339874</v>
      </c>
      <c r="D1880" s="1100">
        <v>0.97952486960734286</v>
      </c>
      <c r="E1880" s="1100">
        <v>0.97628210924092684</v>
      </c>
      <c r="F1880" s="1100">
        <v>0.9935287748818219</v>
      </c>
      <c r="G1880" s="1100">
        <v>0.95629910340012847</v>
      </c>
      <c r="H1880" s="1100">
        <v>1.0098145952923685</v>
      </c>
      <c r="I1880" s="1100">
        <v>0.99846907222484838</v>
      </c>
      <c r="K1880">
        <v>2.2251041998334431</v>
      </c>
      <c r="L1880">
        <v>0</v>
      </c>
      <c r="M1880">
        <v>1.6962810595359413E-3</v>
      </c>
      <c r="N1880">
        <v>0.14358748706595131</v>
      </c>
      <c r="O1880">
        <v>2.0408980317184227E-2</v>
      </c>
      <c r="P1880">
        <v>2.5665163158774769E-2</v>
      </c>
      <c r="Q1880">
        <v>5.5566563705065639E-3</v>
      </c>
      <c r="R1880">
        <v>1.672671377063436E-3</v>
      </c>
      <c r="S1880">
        <v>0.25142183741078872</v>
      </c>
      <c r="T1880">
        <v>1.3351358027998206</v>
      </c>
      <c r="U1880">
        <v>0.14690382990195705</v>
      </c>
      <c r="V1880">
        <v>0.18150513205707278</v>
      </c>
      <c r="W1880">
        <v>9.5679055130370866E-2</v>
      </c>
      <c r="X1880">
        <v>1.4711405211094127E-2</v>
      </c>
      <c r="Y1880">
        <v>4.5524600923954137E-3</v>
      </c>
    </row>
    <row r="1881" spans="1:25" x14ac:dyDescent="0.25">
      <c r="A1881" s="1096"/>
      <c r="B1881" s="1455">
        <v>1631</v>
      </c>
      <c r="C1881" s="1100">
        <v>0.99879317667502376</v>
      </c>
      <c r="D1881" s="1100">
        <v>0.99895465029758868</v>
      </c>
      <c r="E1881" s="1100">
        <v>1.0276824902656756</v>
      </c>
      <c r="F1881" s="1100">
        <v>0.98546554207926207</v>
      </c>
      <c r="G1881" s="1100">
        <v>1.0363255176826964</v>
      </c>
      <c r="H1881" s="1100">
        <v>1.0265371645300323</v>
      </c>
      <c r="I1881" s="1100">
        <v>1.004294436737188</v>
      </c>
      <c r="K1881">
        <v>2.2183404123504444</v>
      </c>
      <c r="L1881">
        <v>0</v>
      </c>
      <c r="M1881">
        <v>1.5010894001032248E-3</v>
      </c>
      <c r="N1881">
        <v>0.14844232431048468</v>
      </c>
      <c r="O1881">
        <v>1.9797980379702772E-2</v>
      </c>
      <c r="P1881">
        <v>2.6480612780342094E-2</v>
      </c>
      <c r="Q1881">
        <v>5.6758141678498212E-3</v>
      </c>
      <c r="R1881">
        <v>1.4805368432609161E-3</v>
      </c>
      <c r="S1881">
        <v>0.24532515422367784</v>
      </c>
      <c r="T1881">
        <v>1.3243828987052755</v>
      </c>
      <c r="U1881">
        <v>0.14300898080757654</v>
      </c>
      <c r="V1881">
        <v>0.18892886576346932</v>
      </c>
      <c r="W1881">
        <v>9.5942299125364464E-2</v>
      </c>
      <c r="X1881">
        <v>1.6346501415026939E-2</v>
      </c>
      <c r="Y1881">
        <v>4.0295332285170005E-3</v>
      </c>
    </row>
    <row r="1882" spans="1:25" x14ac:dyDescent="0.25">
      <c r="A1882" s="1096"/>
      <c r="B1882" s="1455">
        <v>1632</v>
      </c>
      <c r="C1882" s="1100">
        <v>0.9868437722382315</v>
      </c>
      <c r="D1882" s="1100">
        <v>1.0163518188960641</v>
      </c>
      <c r="E1882" s="1100">
        <v>1.004321469214847</v>
      </c>
      <c r="F1882" s="1100">
        <v>1.0015971888940416</v>
      </c>
      <c r="G1882" s="1100">
        <v>0.99284067489717476</v>
      </c>
      <c r="H1882" s="1100">
        <v>0.96829859275055208</v>
      </c>
      <c r="I1882" s="1100">
        <v>1.0095893431618936</v>
      </c>
      <c r="K1882">
        <v>2.2177179769369424</v>
      </c>
      <c r="L1882">
        <v>0</v>
      </c>
      <c r="M1882">
        <v>1.4987022576949511E-3</v>
      </c>
      <c r="N1882">
        <v>0.13800278177858066</v>
      </c>
      <c r="O1882">
        <v>1.9946970530332994E-2</v>
      </c>
      <c r="P1882">
        <v>2.6252992409785427E-2</v>
      </c>
      <c r="Q1882">
        <v>5.5869622485313309E-3</v>
      </c>
      <c r="R1882">
        <v>1.4769482119343464E-3</v>
      </c>
      <c r="S1882">
        <v>0.24253815859672054</v>
      </c>
      <c r="T1882">
        <v>1.3460171561391723</v>
      </c>
      <c r="U1882">
        <v>0.14468600010278046</v>
      </c>
      <c r="V1882">
        <v>0.18471183382211029</v>
      </c>
      <c r="W1882">
        <v>9.0426289533890078E-2</v>
      </c>
      <c r="X1882">
        <v>1.5550819663762429E-2</v>
      </c>
      <c r="Y1882">
        <v>4.019766157038078E-3</v>
      </c>
    </row>
    <row r="1883" spans="1:25" x14ac:dyDescent="0.25">
      <c r="A1883" s="1096"/>
      <c r="B1883" s="1455">
        <v>1633</v>
      </c>
      <c r="C1883" s="1100">
        <v>1.0158100873801703</v>
      </c>
      <c r="D1883" s="1100">
        <v>0.99156557011543378</v>
      </c>
      <c r="E1883" s="1100">
        <v>0.96597765257298285</v>
      </c>
      <c r="F1883" s="1100">
        <v>0.95725758288445717</v>
      </c>
      <c r="G1883" s="1100">
        <v>1.0057979698113715</v>
      </c>
      <c r="H1883" s="1100">
        <v>0.99630946975327972</v>
      </c>
      <c r="I1883" s="1100">
        <v>1.0052044812638834</v>
      </c>
      <c r="K1883">
        <v>2.1416555785978861</v>
      </c>
      <c r="L1883">
        <v>0</v>
      </c>
      <c r="M1883">
        <v>1.6306351284836105E-3</v>
      </c>
      <c r="N1883">
        <v>0.13376524645433985</v>
      </c>
      <c r="O1883">
        <v>1.9460149866808715E-2</v>
      </c>
      <c r="P1883">
        <v>2.4609542858256582E-2</v>
      </c>
      <c r="Q1883">
        <v>5.2428486551333335E-3</v>
      </c>
      <c r="R1883">
        <v>1.6076314911173074E-3</v>
      </c>
      <c r="S1883">
        <v>0.23945519948601571</v>
      </c>
      <c r="T1883">
        <v>1.2863839626800517</v>
      </c>
      <c r="U1883">
        <v>0.14047351154703058</v>
      </c>
      <c r="V1883">
        <v>0.18443002657104321</v>
      </c>
      <c r="W1883">
        <v>8.9694307269417906E-2</v>
      </c>
      <c r="X1883">
        <v>1.3788343883908842E-2</v>
      </c>
      <c r="Y1883">
        <v>4.3754429632426916E-3</v>
      </c>
    </row>
    <row r="1884" spans="1:25" x14ac:dyDescent="0.25">
      <c r="A1884" s="1096"/>
      <c r="B1884" s="1455">
        <v>1634</v>
      </c>
      <c r="C1884" s="1100">
        <v>1.0236604160261764</v>
      </c>
      <c r="D1884" s="1100">
        <v>1.0069230044140736</v>
      </c>
      <c r="E1884" s="1100">
        <v>0.98735639655100682</v>
      </c>
      <c r="F1884" s="1100">
        <v>0.97221887528271855</v>
      </c>
      <c r="G1884" s="1100">
        <v>0.99775153645243464</v>
      </c>
      <c r="H1884" s="1100">
        <v>1.0055655263057131</v>
      </c>
      <c r="I1884" s="1100">
        <v>0.96695229852958942</v>
      </c>
      <c r="K1884">
        <v>2.1515602275503509</v>
      </c>
      <c r="L1884">
        <v>0</v>
      </c>
      <c r="M1884">
        <v>1.5573013834342868E-3</v>
      </c>
      <c r="N1884">
        <v>0.13630617143170112</v>
      </c>
      <c r="O1884">
        <v>1.9258704525229774E-2</v>
      </c>
      <c r="P1884">
        <v>2.509427823645231E-2</v>
      </c>
      <c r="Q1884">
        <v>5.3027693565456746E-3</v>
      </c>
      <c r="R1884">
        <v>1.5355344990628807E-3</v>
      </c>
      <c r="S1884">
        <v>0.22768192152379846</v>
      </c>
      <c r="T1884">
        <v>1.3065117366746064</v>
      </c>
      <c r="U1884">
        <v>0.1394441386147926</v>
      </c>
      <c r="V1884">
        <v>0.1830902753153168</v>
      </c>
      <c r="W1884">
        <v>9.0222713607544483E-2</v>
      </c>
      <c r="X1884">
        <v>1.4490066431094442E-2</v>
      </c>
      <c r="Y1884">
        <v>4.1792187176375867E-3</v>
      </c>
    </row>
    <row r="1885" spans="1:25" x14ac:dyDescent="0.25">
      <c r="A1885" s="1096"/>
      <c r="B1885" s="1455">
        <v>1635</v>
      </c>
      <c r="C1885" s="1100">
        <v>1.03422100497751</v>
      </c>
      <c r="D1885" s="1100">
        <v>1.0172428667497104</v>
      </c>
      <c r="E1885" s="1100">
        <v>0.96221134074224446</v>
      </c>
      <c r="F1885" s="1100">
        <v>0.99003823582375572</v>
      </c>
      <c r="G1885" s="1100">
        <v>1.0241806234181741</v>
      </c>
      <c r="H1885" s="1100">
        <v>1.0455049531651577</v>
      </c>
      <c r="I1885" s="1100">
        <v>0.98384766297332893</v>
      </c>
      <c r="K1885">
        <v>2.1807019013212399</v>
      </c>
      <c r="L1885">
        <v>0</v>
      </c>
      <c r="M1885">
        <v>1.6842969636264222E-3</v>
      </c>
      <c r="N1885">
        <v>0.13669185706536591</v>
      </c>
      <c r="O1885">
        <v>1.9004268485988653E-2</v>
      </c>
      <c r="P1885">
        <v>2.4990345457604445E-2</v>
      </c>
      <c r="Q1885">
        <v>5.1002912530278355E-3</v>
      </c>
      <c r="R1885">
        <v>1.6616543504101773E-3</v>
      </c>
      <c r="S1885">
        <v>0.23098529725777492</v>
      </c>
      <c r="T1885">
        <v>1.3304323423484401</v>
      </c>
      <c r="U1885">
        <v>0.13796450580700695</v>
      </c>
      <c r="V1885">
        <v>0.18546612370938173</v>
      </c>
      <c r="W1885">
        <v>9.1868039281192734E-2</v>
      </c>
      <c r="X1885">
        <v>1.369899789106533E-2</v>
      </c>
      <c r="Y1885">
        <v>4.5224753776071042E-3</v>
      </c>
    </row>
    <row r="1886" spans="1:25" x14ac:dyDescent="0.25">
      <c r="A1886" s="1096"/>
      <c r="B1886" s="1455">
        <v>1636</v>
      </c>
      <c r="C1886" s="1100">
        <v>1.0141745703089384</v>
      </c>
      <c r="D1886" s="1100">
        <v>1.015649405403652</v>
      </c>
      <c r="E1886" s="1100">
        <v>0.95877220366825888</v>
      </c>
      <c r="F1886" s="1100">
        <v>1.0281180489740331</v>
      </c>
      <c r="G1886" s="1100">
        <v>1.0254424883457478</v>
      </c>
      <c r="H1886" s="1100">
        <v>1.013313904484866</v>
      </c>
      <c r="I1886" s="1100">
        <v>0.99199638741330487</v>
      </c>
      <c r="K1886">
        <v>2.2382032100969034</v>
      </c>
      <c r="L1886">
        <v>0</v>
      </c>
      <c r="M1886">
        <v>1.6771260104801618E-3</v>
      </c>
      <c r="N1886">
        <v>0.1346405928807628</v>
      </c>
      <c r="O1886">
        <v>1.9384499463468947E-2</v>
      </c>
      <c r="P1886">
        <v>2.5708457723844176E-2</v>
      </c>
      <c r="Q1886">
        <v>5.183984683729226E-3</v>
      </c>
      <c r="R1886">
        <v>1.6538635488740332E-3</v>
      </c>
      <c r="S1886">
        <v>0.23514832483473105</v>
      </c>
      <c r="T1886">
        <v>1.3816021754294749</v>
      </c>
      <c r="U1886">
        <v>0.14068379110057994</v>
      </c>
      <c r="V1886">
        <v>0.18673918306497453</v>
      </c>
      <c r="W1886">
        <v>9.0680471549611938E-2</v>
      </c>
      <c r="X1886">
        <v>1.3953720443269056E-2</v>
      </c>
      <c r="Y1886">
        <v>4.5012713840627584E-3</v>
      </c>
    </row>
    <row r="1887" spans="1:25" x14ac:dyDescent="0.25">
      <c r="A1887" s="1096"/>
      <c r="B1887" s="1455">
        <v>1637</v>
      </c>
      <c r="C1887" s="1100">
        <v>0.95932059992679675</v>
      </c>
      <c r="D1887" s="1100">
        <v>0.96950402901917521</v>
      </c>
      <c r="E1887" s="1100">
        <v>1.0045865029846186</v>
      </c>
      <c r="F1887" s="1100">
        <v>0.98292821193574587</v>
      </c>
      <c r="G1887" s="1100">
        <v>1.0019478571144615</v>
      </c>
      <c r="H1887" s="1100">
        <v>0.9900964447577516</v>
      </c>
      <c r="I1887" s="1100">
        <v>0.99183841038528131</v>
      </c>
      <c r="K1887">
        <v>2.2256945337190155</v>
      </c>
      <c r="L1887">
        <v>0</v>
      </c>
      <c r="M1887">
        <v>1.5919816316267309E-3</v>
      </c>
      <c r="N1887">
        <v>0.14675705065548045</v>
      </c>
      <c r="O1887">
        <v>2.0733565911845914E-2</v>
      </c>
      <c r="P1887">
        <v>2.6149995845601976E-2</v>
      </c>
      <c r="Q1887">
        <v>5.8088238463477604E-3</v>
      </c>
      <c r="R1887">
        <v>1.5693823555104148E-3</v>
      </c>
      <c r="S1887">
        <v>0.2528136220299203</v>
      </c>
      <c r="T1887">
        <v>1.3209289041461898</v>
      </c>
      <c r="U1887">
        <v>0.14883771781561925</v>
      </c>
      <c r="V1887">
        <v>0.18746634194770914</v>
      </c>
      <c r="W1887">
        <v>9.614742876968152E-2</v>
      </c>
      <c r="X1887">
        <v>1.5802340601786938E-2</v>
      </c>
      <c r="Y1887">
        <v>4.2713414249448958E-3</v>
      </c>
    </row>
    <row r="1888" spans="1:25" x14ac:dyDescent="0.25">
      <c r="A1888" s="1096"/>
      <c r="B1888" s="1455">
        <v>1638</v>
      </c>
      <c r="C1888" s="1100">
        <v>0.98951306523974913</v>
      </c>
      <c r="D1888" s="1100">
        <v>0.98341248739313314</v>
      </c>
      <c r="E1888" s="1100">
        <v>1.0045161676932883</v>
      </c>
      <c r="F1888" s="1100">
        <v>0.99926969076509553</v>
      </c>
      <c r="G1888" s="1100">
        <v>0.99144916187688648</v>
      </c>
      <c r="H1888" s="1100">
        <v>0.9829771583962813</v>
      </c>
      <c r="I1888" s="1100">
        <v>0.97434378474866146</v>
      </c>
      <c r="K1888">
        <v>2.2145477293985985</v>
      </c>
      <c r="L1888">
        <v>0</v>
      </c>
      <c r="M1888">
        <v>1.5277372921590089E-3</v>
      </c>
      <c r="N1888">
        <v>0.1407900781923257</v>
      </c>
      <c r="O1888">
        <v>2.0037998073137952E-2</v>
      </c>
      <c r="P1888">
        <v>2.6148889023463868E-2</v>
      </c>
      <c r="Q1888">
        <v>5.6135540448237434E-3</v>
      </c>
      <c r="R1888">
        <v>1.5058929369154766E-3</v>
      </c>
      <c r="S1888">
        <v>0.23849418499838912</v>
      </c>
      <c r="T1888">
        <v>1.342889627887766</v>
      </c>
      <c r="U1888">
        <v>0.14429615101957846</v>
      </c>
      <c r="V1888">
        <v>0.18439254317985035</v>
      </c>
      <c r="W1888">
        <v>9.224202730762622E-2</v>
      </c>
      <c r="X1888">
        <v>1.556597587006874E-2</v>
      </c>
      <c r="Y1888">
        <v>4.0985441568106885E-3</v>
      </c>
    </row>
    <row r="1889" spans="1:25" x14ac:dyDescent="0.25">
      <c r="A1889" s="1096"/>
      <c r="B1889" s="1455">
        <v>1639</v>
      </c>
      <c r="C1889" s="1100">
        <v>1.036790795119779</v>
      </c>
      <c r="D1889" s="1100">
        <v>0.99997018064453358</v>
      </c>
      <c r="E1889" s="1100">
        <v>0.98419406738975346</v>
      </c>
      <c r="F1889" s="1100">
        <v>0.99827958047281651</v>
      </c>
      <c r="G1889" s="1100">
        <v>1.0115227388883616</v>
      </c>
      <c r="H1889" s="1100">
        <v>0.99643487040438095</v>
      </c>
      <c r="I1889" s="1100">
        <v>1.0200369239372422</v>
      </c>
      <c r="K1889">
        <v>2.190269985744195</v>
      </c>
      <c r="L1889">
        <v>0</v>
      </c>
      <c r="M1889">
        <v>1.5359620427975974E-3</v>
      </c>
      <c r="N1889">
        <v>0.13314145373570782</v>
      </c>
      <c r="O1889">
        <v>1.9041910492511187E-2</v>
      </c>
      <c r="P1889">
        <v>2.5622254776537748E-2</v>
      </c>
      <c r="Q1889">
        <v>5.2263051018085691E-3</v>
      </c>
      <c r="R1889">
        <v>1.5142967010998772E-3</v>
      </c>
      <c r="S1889">
        <v>0.23721564730002986</v>
      </c>
      <c r="T1889">
        <v>1.3415292465741031</v>
      </c>
      <c r="U1889">
        <v>0.13767114972390376</v>
      </c>
      <c r="V1889">
        <v>0.183910591187879</v>
      </c>
      <c r="W1889">
        <v>8.8295618958231056E-2</v>
      </c>
      <c r="X1889">
        <v>1.4516056802557707E-2</v>
      </c>
      <c r="Y1889">
        <v>4.1214164326205073E-3</v>
      </c>
    </row>
    <row r="1890" spans="1:25" x14ac:dyDescent="0.25">
      <c r="A1890" s="1096"/>
      <c r="B1890" s="1455">
        <v>1640</v>
      </c>
      <c r="C1890" s="1100">
        <v>0.97415160624265007</v>
      </c>
      <c r="D1890" s="1100">
        <v>0.96588436035384984</v>
      </c>
      <c r="E1890" s="1100">
        <v>0.9881815511379104</v>
      </c>
      <c r="F1890" s="1100">
        <v>1.0132997978007128</v>
      </c>
      <c r="G1890" s="1100">
        <v>1.0324370687554572</v>
      </c>
      <c r="H1890" s="1100">
        <v>1.005671933002636</v>
      </c>
      <c r="I1890" s="1100">
        <v>1.0191294009250542</v>
      </c>
      <c r="K1890">
        <v>2.2683239692633901</v>
      </c>
      <c r="L1890">
        <v>0</v>
      </c>
      <c r="M1890">
        <v>1.6488521078509503E-3</v>
      </c>
      <c r="N1890">
        <v>0.14468012049268364</v>
      </c>
      <c r="O1890">
        <v>2.0424121858955351E-2</v>
      </c>
      <c r="P1890">
        <v>2.6448292656609296E-2</v>
      </c>
      <c r="Q1890">
        <v>5.628358183236655E-3</v>
      </c>
      <c r="R1890">
        <v>1.6258080290864725E-3</v>
      </c>
      <c r="S1890">
        <v>0.25748001582039998</v>
      </c>
      <c r="T1890">
        <v>1.3617192481388092</v>
      </c>
      <c r="U1890">
        <v>0.14653298326629741</v>
      </c>
      <c r="V1890">
        <v>0.18995654587406829</v>
      </c>
      <c r="W1890">
        <v>9.5718121886931962E-2</v>
      </c>
      <c r="X1890">
        <v>1.5334291656460403E-2</v>
      </c>
      <c r="Y1890">
        <v>4.4249135077006289E-3</v>
      </c>
    </row>
    <row r="1891" spans="1:25" x14ac:dyDescent="0.25">
      <c r="A1891" s="1096"/>
      <c r="B1891" s="1455">
        <v>1641</v>
      </c>
      <c r="C1891" s="1100">
        <v>1.025603992701287</v>
      </c>
      <c r="D1891" s="1100">
        <v>1.0042719794270938</v>
      </c>
      <c r="E1891" s="1100">
        <v>1.0431522830626669</v>
      </c>
      <c r="F1891" s="1100">
        <v>1.01097000282265</v>
      </c>
      <c r="G1891" s="1100">
        <v>0.97876796852162706</v>
      </c>
      <c r="H1891" s="1100">
        <v>0.95940229263118459</v>
      </c>
      <c r="I1891" s="1100">
        <v>1.0092674653975715</v>
      </c>
      <c r="K1891">
        <v>2.2095255331671351</v>
      </c>
      <c r="L1891">
        <v>0</v>
      </c>
      <c r="M1891">
        <v>1.3213269823064218E-3</v>
      </c>
      <c r="N1891">
        <v>0.13676804057086508</v>
      </c>
      <c r="O1891">
        <v>1.9267389966112256E-2</v>
      </c>
      <c r="P1891">
        <v>2.6940448866497907E-2</v>
      </c>
      <c r="Q1891">
        <v>5.6085807731534303E-3</v>
      </c>
      <c r="R1891">
        <v>1.3019697381203611E-3</v>
      </c>
      <c r="S1891">
        <v>0.23428480347231548</v>
      </c>
      <c r="T1891">
        <v>1.3586955045796478</v>
      </c>
      <c r="U1891">
        <v>0.13930542422444708</v>
      </c>
      <c r="V1891">
        <v>0.18088402514387814</v>
      </c>
      <c r="W1891">
        <v>8.7609985706860405E-2</v>
      </c>
      <c r="X1891">
        <v>1.6637154674586999E-2</v>
      </c>
      <c r="Y1891">
        <v>3.5435324329548008E-3</v>
      </c>
    </row>
    <row r="1892" spans="1:25" x14ac:dyDescent="0.25">
      <c r="A1892" s="1096"/>
      <c r="B1892" s="1455">
        <v>1642</v>
      </c>
      <c r="C1892" s="1100">
        <v>0.98829896115614757</v>
      </c>
      <c r="D1892" s="1100">
        <v>1.031367996278798</v>
      </c>
      <c r="E1892" s="1100">
        <v>1.0386089089052499</v>
      </c>
      <c r="F1892" s="1100">
        <v>1.0397760822385678</v>
      </c>
      <c r="G1892" s="1100">
        <v>1.031983814846881</v>
      </c>
      <c r="H1892" s="1100">
        <v>1.0259791262294358</v>
      </c>
      <c r="I1892" s="1100">
        <v>0.98443486313312489</v>
      </c>
      <c r="K1892">
        <v>2.2916287126330257</v>
      </c>
      <c r="L1892">
        <v>0</v>
      </c>
      <c r="M1892">
        <v>1.4716819746868181E-3</v>
      </c>
      <c r="N1892">
        <v>0.15040545412182316</v>
      </c>
      <c r="O1892">
        <v>1.9875032352232858E-2</v>
      </c>
      <c r="P1892">
        <v>2.765429444275291E-2</v>
      </c>
      <c r="Q1892">
        <v>5.7596842872040541E-3</v>
      </c>
      <c r="R1892">
        <v>1.451521097573673E-3</v>
      </c>
      <c r="S1892">
        <v>0.23926000235421427</v>
      </c>
      <c r="T1892">
        <v>1.3973978567812551</v>
      </c>
      <c r="U1892">
        <v>0.14455309684911777</v>
      </c>
      <c r="V1892">
        <v>0.18907935750855928</v>
      </c>
      <c r="W1892">
        <v>9.6598018342354888E-2</v>
      </c>
      <c r="X1892">
        <v>1.7115514536830783E-2</v>
      </c>
      <c r="Y1892">
        <v>3.9505619337943205E-3</v>
      </c>
    </row>
    <row r="1893" spans="1:25" x14ac:dyDescent="0.25">
      <c r="A1893" s="1096"/>
      <c r="B1893" s="1455">
        <v>1643</v>
      </c>
      <c r="C1893" s="1100">
        <v>1.0193773803806527</v>
      </c>
      <c r="D1893" s="1100">
        <v>1.0017926345895212</v>
      </c>
      <c r="E1893" s="1100">
        <v>0.99948030719782377</v>
      </c>
      <c r="F1893" s="1100">
        <v>1.0113633303112628</v>
      </c>
      <c r="G1893" s="1100">
        <v>0.98852221095738835</v>
      </c>
      <c r="H1893" s="1100">
        <v>1.023901243716091</v>
      </c>
      <c r="I1893" s="1100">
        <v>1.0262062840936677</v>
      </c>
      <c r="K1893">
        <v>2.2307744476266715</v>
      </c>
      <c r="L1893">
        <v>0</v>
      </c>
      <c r="M1893">
        <v>1.5545998010518878E-3</v>
      </c>
      <c r="N1893">
        <v>0.14118453675303369</v>
      </c>
      <c r="O1893">
        <v>1.9368786939228527E-2</v>
      </c>
      <c r="P1893">
        <v>2.6272799812414663E-2</v>
      </c>
      <c r="Q1893">
        <v>5.3987106824023951E-3</v>
      </c>
      <c r="R1893">
        <v>1.5332597961839481E-3</v>
      </c>
      <c r="S1893">
        <v>0.24483868666674952</v>
      </c>
      <c r="T1893">
        <v>1.3591335908875437</v>
      </c>
      <c r="U1893">
        <v>0.14005738373550125</v>
      </c>
      <c r="V1893">
        <v>0.18230078610862557</v>
      </c>
      <c r="W1893">
        <v>9.2777301268315265E-2</v>
      </c>
      <c r="X1893">
        <v>1.5290177051470111E-2</v>
      </c>
      <c r="Y1893">
        <v>4.1730277262567355E-3</v>
      </c>
    </row>
    <row r="1894" spans="1:25" x14ac:dyDescent="0.25">
      <c r="A1894" s="1096"/>
      <c r="B1894" s="1455">
        <v>1644</v>
      </c>
      <c r="C1894" s="1100">
        <v>1.0067685121925578</v>
      </c>
      <c r="D1894" s="1100">
        <v>1.0187403619339541</v>
      </c>
      <c r="E1894" s="1100">
        <v>0.97763071316002559</v>
      </c>
      <c r="F1894" s="1100">
        <v>0.98356531169792127</v>
      </c>
      <c r="G1894" s="1100">
        <v>1.003402163797801</v>
      </c>
      <c r="H1894" s="1100">
        <v>0.98932628882819518</v>
      </c>
      <c r="I1894" s="1100">
        <v>1.00678414278021</v>
      </c>
      <c r="K1894">
        <v>2.1796433785531351</v>
      </c>
      <c r="L1894">
        <v>0</v>
      </c>
      <c r="M1894">
        <v>1.5854433648315352E-3</v>
      </c>
      <c r="N1894">
        <v>0.13471471804685939</v>
      </c>
      <c r="O1894">
        <v>1.9525640190934425E-2</v>
      </c>
      <c r="P1894">
        <v>2.5309284503208358E-2</v>
      </c>
      <c r="Q1894">
        <v>5.3234578580319001E-3</v>
      </c>
      <c r="R1894">
        <v>1.5629193834241525E-3</v>
      </c>
      <c r="S1894">
        <v>0.23827727544028085</v>
      </c>
      <c r="T1894">
        <v>1.3217480238228514</v>
      </c>
      <c r="U1894">
        <v>0.14176160105288249</v>
      </c>
      <c r="V1894">
        <v>0.18469298475278478</v>
      </c>
      <c r="W1894">
        <v>8.9693468924038289E-2</v>
      </c>
      <c r="X1894">
        <v>1.4365696597225057E-2</v>
      </c>
      <c r="Y1894">
        <v>4.2537513454442644E-3</v>
      </c>
    </row>
    <row r="1895" spans="1:25" x14ac:dyDescent="0.25">
      <c r="A1895" s="1096"/>
      <c r="B1895" s="1455">
        <v>1645</v>
      </c>
      <c r="C1895" s="1100">
        <v>0.97292987310460965</v>
      </c>
      <c r="D1895" s="1100">
        <v>1.0094371758179419</v>
      </c>
      <c r="E1895" s="1100">
        <v>0.96129212686766663</v>
      </c>
      <c r="F1895" s="1100">
        <v>0.99410210448048053</v>
      </c>
      <c r="G1895" s="1100">
        <v>0.99195088416056398</v>
      </c>
      <c r="H1895" s="1100">
        <v>0.99803727020409572</v>
      </c>
      <c r="I1895" s="1100">
        <v>1.0044737823611365</v>
      </c>
      <c r="K1895">
        <v>2.2174659772078509</v>
      </c>
      <c r="L1895">
        <v>0</v>
      </c>
      <c r="M1895">
        <v>1.7152608360102913E-3</v>
      </c>
      <c r="N1895">
        <v>0.13872767235425282</v>
      </c>
      <c r="O1895">
        <v>2.0235148269143553E-2</v>
      </c>
      <c r="P1895">
        <v>2.5381418812609167E-2</v>
      </c>
      <c r="Q1895">
        <v>5.4255067010954101E-3</v>
      </c>
      <c r="R1895">
        <v>1.6911052605125198E-3</v>
      </c>
      <c r="S1895">
        <v>0.24771612325721618</v>
      </c>
      <c r="T1895">
        <v>1.3358927623250056</v>
      </c>
      <c r="U1895">
        <v>0.14665361890998022</v>
      </c>
      <c r="V1895">
        <v>0.18543320039447916</v>
      </c>
      <c r="W1895">
        <v>9.3288792875734161E-2</v>
      </c>
      <c r="X1895">
        <v>1.4133257837415094E-2</v>
      </c>
      <c r="Y1895">
        <v>4.6026310464157743E-3</v>
      </c>
    </row>
    <row r="1896" spans="1:25" x14ac:dyDescent="0.25">
      <c r="A1896" s="1096"/>
      <c r="B1896" s="1455">
        <v>1646</v>
      </c>
      <c r="C1896" s="1100">
        <v>1.0081289929109811</v>
      </c>
      <c r="D1896" s="1100">
        <v>1.019021588502665</v>
      </c>
      <c r="E1896" s="1100">
        <v>0.97434597230645537</v>
      </c>
      <c r="F1896" s="1100">
        <v>0.98003069143654797</v>
      </c>
      <c r="G1896" s="1100">
        <v>0.99590984290050233</v>
      </c>
      <c r="H1896" s="1100">
        <v>1.0205681922883654</v>
      </c>
      <c r="I1896" s="1100">
        <v>0.99836672464312626</v>
      </c>
      <c r="K1896">
        <v>2.1800055902200639</v>
      </c>
      <c r="L1896">
        <v>0</v>
      </c>
      <c r="M1896">
        <v>1.6443272466487499E-3</v>
      </c>
      <c r="N1896">
        <v>0.1383969781645232</v>
      </c>
      <c r="O1896">
        <v>1.9496087046028135E-2</v>
      </c>
      <c r="P1896">
        <v>2.5168645956289509E-2</v>
      </c>
      <c r="Q1896">
        <v>5.2976445330217854E-3</v>
      </c>
      <c r="R1896">
        <v>1.6216818359570701E-3</v>
      </c>
      <c r="S1896">
        <v>0.23837650126460208</v>
      </c>
      <c r="T1896">
        <v>1.3169946517598956</v>
      </c>
      <c r="U1896">
        <v>0.14156281983783986</v>
      </c>
      <c r="V1896">
        <v>0.18376380853512905</v>
      </c>
      <c r="W1896">
        <v>9.2328654740793423E-2</v>
      </c>
      <c r="X1896">
        <v>1.4228760422430686E-2</v>
      </c>
      <c r="Y1896">
        <v>4.4136833702015949E-3</v>
      </c>
    </row>
    <row r="1897" spans="1:25" x14ac:dyDescent="0.25">
      <c r="A1897" s="1096"/>
      <c r="B1897" s="1455">
        <v>1647</v>
      </c>
      <c r="C1897" s="1100">
        <v>1.0014072461936434</v>
      </c>
      <c r="D1897" s="1100">
        <v>1.0168730963809538</v>
      </c>
      <c r="E1897" s="1100">
        <v>1.0366417945198143</v>
      </c>
      <c r="F1897" s="1100">
        <v>1.001545036306001</v>
      </c>
      <c r="G1897" s="1100">
        <v>1.0203065271164504</v>
      </c>
      <c r="H1897" s="1100">
        <v>1.0448920316176942</v>
      </c>
      <c r="I1897" s="1100">
        <v>1.0427441718323853</v>
      </c>
      <c r="K1897">
        <v>2.2510085987196753</v>
      </c>
      <c r="L1897">
        <v>0</v>
      </c>
      <c r="M1897">
        <v>1.4899063930397698E-3</v>
      </c>
      <c r="N1897">
        <v>0.15140626150618469</v>
      </c>
      <c r="O1897">
        <v>1.9674813888639054E-2</v>
      </c>
      <c r="P1897">
        <v>2.7037395908803118E-2</v>
      </c>
      <c r="Q1897">
        <v>5.6906299156114521E-3</v>
      </c>
      <c r="R1897">
        <v>1.4698652935815249E-3</v>
      </c>
      <c r="S1897">
        <v>0.25342491866243766</v>
      </c>
      <c r="T1897">
        <v>1.3460128592549316</v>
      </c>
      <c r="U1897">
        <v>0.1426563684613365</v>
      </c>
      <c r="V1897">
        <v>0.18697144493378606</v>
      </c>
      <c r="W1897">
        <v>9.7351224042150519E-2</v>
      </c>
      <c r="X1897">
        <v>1.6802234457083277E-2</v>
      </c>
      <c r="Y1897">
        <v>4.0004887881651043E-3</v>
      </c>
    </row>
    <row r="1898" spans="1:25" x14ac:dyDescent="0.25">
      <c r="A1898" s="1096"/>
      <c r="B1898" s="1455">
        <v>1648</v>
      </c>
      <c r="C1898" s="1100">
        <v>1.0017797878506272</v>
      </c>
      <c r="D1898" s="1100">
        <v>1.0245690440441944</v>
      </c>
      <c r="E1898" s="1100">
        <v>1.0163536696147464</v>
      </c>
      <c r="F1898" s="1100">
        <v>1.028203735853692</v>
      </c>
      <c r="G1898" s="1100">
        <v>0.98807116440693354</v>
      </c>
      <c r="H1898" s="1100">
        <v>1.012874404696237</v>
      </c>
      <c r="I1898" s="1100">
        <v>0.96575955997535556</v>
      </c>
      <c r="K1898">
        <v>2.247917480349479</v>
      </c>
      <c r="L1898">
        <v>0</v>
      </c>
      <c r="M1898">
        <v>1.503529082857509E-3</v>
      </c>
      <c r="N1898">
        <v>0.14366175776934162</v>
      </c>
      <c r="O1898">
        <v>1.9622266930612812E-2</v>
      </c>
      <c r="P1898">
        <v>2.677499190874872E-2</v>
      </c>
      <c r="Q1898">
        <v>5.5625079153907332E-3</v>
      </c>
      <c r="R1898">
        <v>1.4826654364717717E-3</v>
      </c>
      <c r="S1898">
        <v>0.23114687584403576</v>
      </c>
      <c r="T1898">
        <v>1.3817953767865259</v>
      </c>
      <c r="U1898">
        <v>0.14255650394836886</v>
      </c>
      <c r="V1898">
        <v>0.18328717483111789</v>
      </c>
      <c r="W1898">
        <v>9.3468976596223871E-2</v>
      </c>
      <c r="X1898">
        <v>1.6026584907948511E-2</v>
      </c>
      <c r="Y1898">
        <v>4.0353265575463881E-3</v>
      </c>
    </row>
    <row r="1899" spans="1:25" x14ac:dyDescent="0.25">
      <c r="A1899" s="1096"/>
      <c r="B1899" s="1455">
        <v>1649</v>
      </c>
      <c r="C1899" s="1100">
        <v>1.043569101904807</v>
      </c>
      <c r="D1899" s="1100">
        <v>1.0020546943883899</v>
      </c>
      <c r="E1899" s="1100">
        <v>1.0273692963605343</v>
      </c>
      <c r="F1899" s="1100">
        <v>0.9752644786848037</v>
      </c>
      <c r="G1899" s="1100">
        <v>1.0389801220176524</v>
      </c>
      <c r="H1899" s="1100">
        <v>0.98664155664295106</v>
      </c>
      <c r="I1899" s="1100">
        <v>0.9792924193195347</v>
      </c>
      <c r="K1899">
        <v>2.1539984063984674</v>
      </c>
      <c r="L1899">
        <v>0</v>
      </c>
      <c r="M1899">
        <v>1.3808068209603768E-3</v>
      </c>
      <c r="N1899">
        <v>0.13634215437078392</v>
      </c>
      <c r="O1899">
        <v>1.8935417477416186E-2</v>
      </c>
      <c r="P1899">
        <v>2.5892235909429899E-2</v>
      </c>
      <c r="Q1899">
        <v>5.4268460230637366E-3</v>
      </c>
      <c r="R1899">
        <v>1.3611366788789439E-3</v>
      </c>
      <c r="S1899">
        <v>0.22559837531010624</v>
      </c>
      <c r="T1899">
        <v>1.3106728596585553</v>
      </c>
      <c r="U1899">
        <v>0.13687226835277083</v>
      </c>
      <c r="V1899">
        <v>0.18667903624469567</v>
      </c>
      <c r="W1899">
        <v>8.8137684445230915E-2</v>
      </c>
      <c r="X1899">
        <v>1.5756633407172316E-2</v>
      </c>
      <c r="Y1899">
        <v>3.704565341322884E-3</v>
      </c>
    </row>
    <row r="1900" spans="1:25" x14ac:dyDescent="0.25">
      <c r="A1900" s="1096"/>
      <c r="B1900" s="1455">
        <v>1650</v>
      </c>
      <c r="C1900" s="1100">
        <v>0.99117693735655354</v>
      </c>
      <c r="D1900" s="1100">
        <v>1.0240084604119157</v>
      </c>
      <c r="E1900" s="1100">
        <v>0.98960934276908363</v>
      </c>
      <c r="F1900" s="1100">
        <v>1.0036582895007551</v>
      </c>
      <c r="G1900" s="1100">
        <v>1.0434823775665907</v>
      </c>
      <c r="H1900" s="1100">
        <v>1.0081975690357823</v>
      </c>
      <c r="I1900" s="1100">
        <v>1.0056739561806292</v>
      </c>
      <c r="K1900">
        <v>2.2304746778341187</v>
      </c>
      <c r="L1900">
        <v>0</v>
      </c>
      <c r="M1900">
        <v>1.5991128920358607E-3</v>
      </c>
      <c r="N1900">
        <v>0.14092778739671477</v>
      </c>
      <c r="O1900">
        <v>1.9817783875593398E-2</v>
      </c>
      <c r="P1900">
        <v>2.6070708968904586E-2</v>
      </c>
      <c r="Q1900">
        <v>5.469159190045883E-3</v>
      </c>
      <c r="R1900">
        <v>1.5768199464725487E-3</v>
      </c>
      <c r="S1900">
        <v>0.2427567673486776</v>
      </c>
      <c r="T1900">
        <v>1.3487644767188438</v>
      </c>
      <c r="U1900">
        <v>0.14401931387246059</v>
      </c>
      <c r="V1900">
        <v>0.19016048347014114</v>
      </c>
      <c r="W1900">
        <v>9.3155853373286676E-2</v>
      </c>
      <c r="X1900">
        <v>1.5063052469273554E-2</v>
      </c>
      <c r="Y1900">
        <v>4.2915840957426224E-3</v>
      </c>
    </row>
    <row r="1901" spans="1:25" x14ac:dyDescent="0.25">
      <c r="A1901" s="1096"/>
      <c r="B1901" s="1455">
        <v>1651</v>
      </c>
      <c r="C1901" s="1100">
        <v>1.0239817560517182</v>
      </c>
      <c r="D1901" s="1100">
        <v>0.97375059602779457</v>
      </c>
      <c r="E1901" s="1100">
        <v>1.0468359099641384</v>
      </c>
      <c r="F1901" s="1100">
        <v>0.99909829588613963</v>
      </c>
      <c r="G1901" s="1100">
        <v>0.99827864446397663</v>
      </c>
      <c r="H1901" s="1100">
        <v>0.9841755048928702</v>
      </c>
      <c r="I1901" s="1100">
        <v>0.99426519141914649</v>
      </c>
      <c r="K1901">
        <v>2.2074369277307042</v>
      </c>
      <c r="L1901">
        <v>0</v>
      </c>
      <c r="M1901">
        <v>1.3563676980753755E-3</v>
      </c>
      <c r="N1901">
        <v>0.14201414940064336</v>
      </c>
      <c r="O1901">
        <v>1.94316653712652E-2</v>
      </c>
      <c r="P1901">
        <v>2.6857211257230666E-2</v>
      </c>
      <c r="Q1901">
        <v>5.6768689758198024E-3</v>
      </c>
      <c r="R1901">
        <v>1.3369972858241947E-3</v>
      </c>
      <c r="S1901">
        <v>0.23676068802510933</v>
      </c>
      <c r="T1901">
        <v>1.3427498862247429</v>
      </c>
      <c r="U1901">
        <v>0.13953445530864728</v>
      </c>
      <c r="V1901">
        <v>0.18318436406637992</v>
      </c>
      <c r="W1901">
        <v>9.0778460435175887E-2</v>
      </c>
      <c r="X1901">
        <v>1.6829683206960912E-2</v>
      </c>
      <c r="Y1901">
        <v>3.6388658709766378E-3</v>
      </c>
    </row>
    <row r="1902" spans="1:25" x14ac:dyDescent="0.25">
      <c r="A1902" s="1096"/>
      <c r="B1902" s="1455">
        <v>1652</v>
      </c>
      <c r="C1902" s="1100">
        <v>0.99128969270753875</v>
      </c>
      <c r="D1902" s="1100">
        <v>0.98485542644177426</v>
      </c>
      <c r="E1902" s="1100">
        <v>1.0177278307935556</v>
      </c>
      <c r="F1902" s="1100">
        <v>0.98024852405017682</v>
      </c>
      <c r="G1902" s="1100">
        <v>0.9998039813945665</v>
      </c>
      <c r="H1902" s="1100">
        <v>0.98348417727372139</v>
      </c>
      <c r="I1902" s="1100">
        <v>0.99464476232322196</v>
      </c>
      <c r="K1902">
        <v>2.1961957880370084</v>
      </c>
      <c r="L1902">
        <v>0</v>
      </c>
      <c r="M1902">
        <v>1.4839909340602121E-3</v>
      </c>
      <c r="N1902">
        <v>0.14232418431147426</v>
      </c>
      <c r="O1902">
        <v>2.0004002092158715E-2</v>
      </c>
      <c r="P1902">
        <v>2.6122903180012137E-2</v>
      </c>
      <c r="Q1902">
        <v>5.6784867579483759E-3</v>
      </c>
      <c r="R1902">
        <v>1.4627830252436111E-3</v>
      </c>
      <c r="S1902">
        <v>0.24299062085220283</v>
      </c>
      <c r="T1902">
        <v>1.3173513627955789</v>
      </c>
      <c r="U1902">
        <v>0.14406827524947324</v>
      </c>
      <c r="V1902">
        <v>0.18524144795857417</v>
      </c>
      <c r="W1902">
        <v>9.2524137916854654E-2</v>
      </c>
      <c r="X1902">
        <v>1.5930361643126126E-2</v>
      </c>
      <c r="Y1902">
        <v>3.9812131884184327E-3</v>
      </c>
    </row>
    <row r="1903" spans="1:25" x14ac:dyDescent="0.25">
      <c r="A1903" s="1096"/>
      <c r="B1903" s="1455">
        <v>1653</v>
      </c>
      <c r="C1903" s="1100">
        <v>0.96901336954270667</v>
      </c>
      <c r="D1903" s="1100">
        <v>0.96727978626084754</v>
      </c>
      <c r="E1903" s="1100">
        <v>1.0095023439935824</v>
      </c>
      <c r="F1903" s="1100">
        <v>0.996929582784296</v>
      </c>
      <c r="G1903" s="1100">
        <v>0.99393687907048822</v>
      </c>
      <c r="H1903" s="1100">
        <v>1.0313540320223167</v>
      </c>
      <c r="I1903" s="1100">
        <v>1.0129743608190631</v>
      </c>
      <c r="K1903">
        <v>2.2574376934819766</v>
      </c>
      <c r="L1903">
        <v>0</v>
      </c>
      <c r="M1903">
        <v>1.6258799379825022E-3</v>
      </c>
      <c r="N1903">
        <v>0.15221106504771301</v>
      </c>
      <c r="O1903">
        <v>2.0539744217575845E-2</v>
      </c>
      <c r="P1903">
        <v>2.6553897992891862E-2</v>
      </c>
      <c r="Q1903">
        <v>5.7829158691702224E-3</v>
      </c>
      <c r="R1903">
        <v>1.6037227481586508E-3</v>
      </c>
      <c r="S1903">
        <v>0.25943668321117164</v>
      </c>
      <c r="T1903">
        <v>1.3397534928129204</v>
      </c>
      <c r="U1903">
        <v>0.14736062827786653</v>
      </c>
      <c r="V1903">
        <v>0.18594675172926109</v>
      </c>
      <c r="W1903">
        <v>9.9431290107022938E-2</v>
      </c>
      <c r="X1903">
        <v>1.6078576752776748E-2</v>
      </c>
      <c r="Y1903">
        <v>4.3648046534260007E-3</v>
      </c>
    </row>
    <row r="1904" spans="1:25" x14ac:dyDescent="0.25">
      <c r="A1904" s="1096"/>
      <c r="B1904" s="1455">
        <v>1654</v>
      </c>
      <c r="C1904" s="1100">
        <v>0.97840245772273859</v>
      </c>
      <c r="D1904" s="1100">
        <v>1.0015067574709988</v>
      </c>
      <c r="E1904" s="1100">
        <v>0.97987274095447963</v>
      </c>
      <c r="F1904" s="1100">
        <v>0.98700818313151184</v>
      </c>
      <c r="G1904" s="1100">
        <v>1.0019569121718344</v>
      </c>
      <c r="H1904" s="1100">
        <v>0.99232180999314623</v>
      </c>
      <c r="I1904" s="1100">
        <v>1.0311597235828229</v>
      </c>
      <c r="K1904">
        <v>2.2153872254384845</v>
      </c>
      <c r="L1904">
        <v>0</v>
      </c>
      <c r="M1904">
        <v>1.6349065206970942E-3</v>
      </c>
      <c r="N1904">
        <v>0.13986932836883387</v>
      </c>
      <c r="O1904">
        <v>2.0168713581934054E-2</v>
      </c>
      <c r="P1904">
        <v>2.5695889084184884E-2</v>
      </c>
      <c r="Q1904">
        <v>5.5113385759952968E-3</v>
      </c>
      <c r="R1904">
        <v>1.6117499435008408E-3</v>
      </c>
      <c r="S1904">
        <v>0.25353680340687529</v>
      </c>
      <c r="T1904">
        <v>1.3263771634410406</v>
      </c>
      <c r="U1904">
        <v>0.14587684163574921</v>
      </c>
      <c r="V1904">
        <v>0.18623930171433767</v>
      </c>
      <c r="W1904">
        <v>9.299931262918823E-2</v>
      </c>
      <c r="X1904">
        <v>1.4749037544556342E-2</v>
      </c>
      <c r="Y1904">
        <v>4.386652032983206E-3</v>
      </c>
    </row>
    <row r="1905" spans="1:25" x14ac:dyDescent="0.25">
      <c r="A1905" s="1096"/>
      <c r="B1905" s="1455">
        <v>1655</v>
      </c>
      <c r="C1905" s="1100">
        <v>1.0119219186039698</v>
      </c>
      <c r="D1905" s="1100">
        <v>1.0217851058119378</v>
      </c>
      <c r="E1905" s="1100">
        <v>1.0292212008518298</v>
      </c>
      <c r="F1905" s="1100">
        <v>0.99708029002697218</v>
      </c>
      <c r="G1905" s="1100">
        <v>1.0117691833318805</v>
      </c>
      <c r="H1905" s="1100">
        <v>0.97659432880526131</v>
      </c>
      <c r="I1905" s="1100">
        <v>1.0083049396341086</v>
      </c>
      <c r="K1905">
        <v>2.2028897177581901</v>
      </c>
      <c r="L1905">
        <v>0</v>
      </c>
      <c r="M1905">
        <v>1.3980523549492971E-3</v>
      </c>
      <c r="N1905">
        <v>0.13879727172050543</v>
      </c>
      <c r="O1905">
        <v>1.9445164610504405E-2</v>
      </c>
      <c r="P1905">
        <v>2.6528803962874974E-2</v>
      </c>
      <c r="Q1905">
        <v>5.583161141004378E-3</v>
      </c>
      <c r="R1905">
        <v>1.3779316489934592E-3</v>
      </c>
      <c r="S1905">
        <v>0.23644446172759381</v>
      </c>
      <c r="T1905">
        <v>1.3399955238054653</v>
      </c>
      <c r="U1905">
        <v>0.14115708873570718</v>
      </c>
      <c r="V1905">
        <v>0.18538374389834919</v>
      </c>
      <c r="W1905">
        <v>8.9628252415000539E-2</v>
      </c>
      <c r="X1905">
        <v>1.6196090733625459E-2</v>
      </c>
      <c r="Y1905">
        <v>3.7502757135141835E-3</v>
      </c>
    </row>
    <row r="1906" spans="1:25" x14ac:dyDescent="0.25">
      <c r="A1906" s="1096"/>
      <c r="B1906" s="1455">
        <v>1656</v>
      </c>
      <c r="C1906" s="1100">
        <v>0.96269741760987204</v>
      </c>
      <c r="D1906" s="1100">
        <v>0.98034263386226217</v>
      </c>
      <c r="E1906" s="1100">
        <v>1.0132118743318739</v>
      </c>
      <c r="F1906" s="1100">
        <v>1.0018586837719832</v>
      </c>
      <c r="G1906" s="1100">
        <v>0.99360884741402156</v>
      </c>
      <c r="H1906" s="1100">
        <v>1.0353065462933653</v>
      </c>
      <c r="I1906" s="1100">
        <v>1.0142219592168018</v>
      </c>
      <c r="K1906">
        <v>2.2691326463027086</v>
      </c>
      <c r="L1906">
        <v>0</v>
      </c>
      <c r="M1906">
        <v>1.6254003117185656E-3</v>
      </c>
      <c r="N1906">
        <v>0.15388780515309566</v>
      </c>
      <c r="O1906">
        <v>2.0615997015399914E-2</v>
      </c>
      <c r="P1906">
        <v>2.6745452148294182E-2</v>
      </c>
      <c r="Q1906">
        <v>5.8259322140157598E-3</v>
      </c>
      <c r="R1906">
        <v>1.6033342232260053E-3</v>
      </c>
      <c r="S1906">
        <v>0.26008114328472748</v>
      </c>
      <c r="T1906">
        <v>1.3463844410046046</v>
      </c>
      <c r="U1906">
        <v>0.14833630154551949</v>
      </c>
      <c r="V1906">
        <v>0.18631486314949985</v>
      </c>
      <c r="W1906">
        <v>0.1003071947101888</v>
      </c>
      <c r="X1906">
        <v>1.6291834949216343E-2</v>
      </c>
      <c r="Y1906">
        <v>4.3637472166365493E-3</v>
      </c>
    </row>
    <row r="1907" spans="1:25" x14ac:dyDescent="0.25">
      <c r="A1907" s="1096"/>
      <c r="B1907" s="1455">
        <v>1657</v>
      </c>
      <c r="C1907" s="1100">
        <v>0.98789897141927641</v>
      </c>
      <c r="D1907" s="1100">
        <v>0.99645948211761315</v>
      </c>
      <c r="E1907" s="1100">
        <v>1.0128188552918551</v>
      </c>
      <c r="F1907" s="1100">
        <v>1.003318577516108</v>
      </c>
      <c r="G1907" s="1100">
        <v>1.0354303168775285</v>
      </c>
      <c r="H1907" s="1100">
        <v>0.98198327584176259</v>
      </c>
      <c r="I1907" s="1100">
        <v>0.99776208146540246</v>
      </c>
      <c r="K1907">
        <v>2.2313526169893998</v>
      </c>
      <c r="L1907">
        <v>0</v>
      </c>
      <c r="M1907">
        <v>1.4981990659170433E-3</v>
      </c>
      <c r="N1907">
        <v>0.14157074526159444</v>
      </c>
      <c r="O1907">
        <v>2.0017886555631106E-2</v>
      </c>
      <c r="P1907">
        <v>2.652062875695247E-2</v>
      </c>
      <c r="Q1907">
        <v>5.6546921665809376E-3</v>
      </c>
      <c r="R1907">
        <v>1.4767553814844202E-3</v>
      </c>
      <c r="S1907">
        <v>0.24299692980989876</v>
      </c>
      <c r="T1907">
        <v>1.3483456339641555</v>
      </c>
      <c r="U1907">
        <v>0.14455128702223161</v>
      </c>
      <c r="V1907">
        <v>0.18946935050360916</v>
      </c>
      <c r="W1907">
        <v>9.2300022768622397E-2</v>
      </c>
      <c r="X1907">
        <v>1.5927642528434226E-2</v>
      </c>
      <c r="Y1907">
        <v>4.0192413361199181E-3</v>
      </c>
    </row>
    <row r="1908" spans="1:25" x14ac:dyDescent="0.25">
      <c r="A1908" s="1096"/>
      <c r="B1908" s="1455">
        <v>1658</v>
      </c>
      <c r="C1908" s="1100">
        <v>0.99919302883000971</v>
      </c>
      <c r="D1908" s="1100">
        <v>1.0152121366513336</v>
      </c>
      <c r="E1908" s="1100">
        <v>1.016421971208799</v>
      </c>
      <c r="F1908" s="1100">
        <v>0.99181816623171637</v>
      </c>
      <c r="G1908" s="1100">
        <v>0.99930614699315357</v>
      </c>
      <c r="H1908" s="1100">
        <v>1.016449771458134</v>
      </c>
      <c r="I1908" s="1100">
        <v>1.0228564697675857</v>
      </c>
      <c r="K1908">
        <v>2.2180853078858873</v>
      </c>
      <c r="L1908">
        <v>0</v>
      </c>
      <c r="M1908">
        <v>1.5155836726969119E-3</v>
      </c>
      <c r="N1908">
        <v>0.14485058959822025</v>
      </c>
      <c r="O1908">
        <v>1.9712856629586412E-2</v>
      </c>
      <c r="P1908">
        <v>2.6342840604780877E-2</v>
      </c>
      <c r="Q1908">
        <v>5.5885684419303668E-3</v>
      </c>
      <c r="R1908">
        <v>1.4946267277587732E-3</v>
      </c>
      <c r="S1908">
        <v>0.24685647739998462</v>
      </c>
      <c r="T1908">
        <v>1.3328972113589668</v>
      </c>
      <c r="U1908">
        <v>0.14292571886398125</v>
      </c>
      <c r="V1908">
        <v>0.18471049528359174</v>
      </c>
      <c r="W1908">
        <v>9.423867583252056E-2</v>
      </c>
      <c r="X1908">
        <v>1.5914949567869163E-2</v>
      </c>
      <c r="Y1908">
        <v>4.067881249390992E-3</v>
      </c>
    </row>
    <row r="1909" spans="1:25" x14ac:dyDescent="0.25">
      <c r="A1909" s="1096"/>
      <c r="B1909" s="1455">
        <v>1659</v>
      </c>
      <c r="C1909" s="1100">
        <v>1.0272410066615529</v>
      </c>
      <c r="D1909" s="1100">
        <v>0.98421399413305688</v>
      </c>
      <c r="E1909" s="1100">
        <v>0.99548924305546604</v>
      </c>
      <c r="F1909" s="1100">
        <v>1.0095310718791539</v>
      </c>
      <c r="G1909" s="1100">
        <v>1.0080008837500214</v>
      </c>
      <c r="H1909" s="1100">
        <v>1.0005750548640271</v>
      </c>
      <c r="I1909" s="1100">
        <v>1.0081360014658642</v>
      </c>
      <c r="K1909">
        <v>2.2155492851570266</v>
      </c>
      <c r="L1909">
        <v>0</v>
      </c>
      <c r="M1909">
        <v>1.5260131015688684E-3</v>
      </c>
      <c r="N1909">
        <v>0.13688259130399366</v>
      </c>
      <c r="O1909">
        <v>1.9293085692264511E-2</v>
      </c>
      <c r="P1909">
        <v>2.6089706300274219E-2</v>
      </c>
      <c r="Q1909">
        <v>5.356050004176334E-3</v>
      </c>
      <c r="R1909">
        <v>1.5045771598403664E-3</v>
      </c>
      <c r="S1909">
        <v>0.23892612163582524</v>
      </c>
      <c r="T1909">
        <v>1.3566650925220674</v>
      </c>
      <c r="U1909">
        <v>0.13897628983882968</v>
      </c>
      <c r="V1909">
        <v>0.18405370533908061</v>
      </c>
      <c r="W1909">
        <v>9.0164389430867159E-2</v>
      </c>
      <c r="X1909">
        <v>1.5068725986016425E-2</v>
      </c>
      <c r="Y1909">
        <v>4.0949630453580342E-3</v>
      </c>
    </row>
    <row r="1910" spans="1:25" x14ac:dyDescent="0.25">
      <c r="A1910" s="1096"/>
      <c r="B1910" s="1455">
        <v>1660</v>
      </c>
      <c r="C1910" s="1100">
        <v>0.95726720683585087</v>
      </c>
      <c r="D1910" s="1100">
        <v>0.98703589906450617</v>
      </c>
      <c r="E1910" s="1100">
        <v>0.97612966179475869</v>
      </c>
      <c r="F1910" s="1100">
        <v>1.0016167986441289</v>
      </c>
      <c r="G1910" s="1100">
        <v>0.99143711064153106</v>
      </c>
      <c r="H1910" s="1100">
        <v>1.0033876903296299</v>
      </c>
      <c r="I1910" s="1100">
        <v>0.95635747035618768</v>
      </c>
      <c r="K1910">
        <v>2.2367363971855463</v>
      </c>
      <c r="L1910">
        <v>0</v>
      </c>
      <c r="M1910">
        <v>1.7082224753976025E-3</v>
      </c>
      <c r="N1910">
        <v>0.14451854208950188</v>
      </c>
      <c r="O1910">
        <v>2.0677684001946015E-2</v>
      </c>
      <c r="P1910">
        <v>2.5788960516766303E-2</v>
      </c>
      <c r="Q1910">
        <v>5.6289409485328406E-3</v>
      </c>
      <c r="R1910">
        <v>1.6842942968971842E-3</v>
      </c>
      <c r="S1910">
        <v>0.24295159077960476</v>
      </c>
      <c r="T1910">
        <v>1.3460045848171565</v>
      </c>
      <c r="U1910">
        <v>0.14908864751101281</v>
      </c>
      <c r="V1910">
        <v>0.18638508045694274</v>
      </c>
      <c r="W1910">
        <v>9.6308352230650832E-2</v>
      </c>
      <c r="X1910">
        <v>1.482384816324357E-2</v>
      </c>
      <c r="Y1910">
        <v>4.5840938486883843E-3</v>
      </c>
    </row>
    <row r="1911" spans="1:25" x14ac:dyDescent="0.25">
      <c r="A1911" s="1096"/>
      <c r="B1911" s="1455">
        <v>1661</v>
      </c>
      <c r="C1911" s="1100">
        <v>0.99151068494267491</v>
      </c>
      <c r="D1911" s="1100">
        <v>1.0156972022466029</v>
      </c>
      <c r="E1911" s="1100">
        <v>1.015193321803449</v>
      </c>
      <c r="F1911" s="1100">
        <v>0.99551212860123206</v>
      </c>
      <c r="G1911" s="1100">
        <v>0.99608767429167921</v>
      </c>
      <c r="H1911" s="1100">
        <v>0.99338468775922828</v>
      </c>
      <c r="I1911" s="1100">
        <v>1.0168487422246535</v>
      </c>
      <c r="K1911">
        <v>2.2189896831562201</v>
      </c>
      <c r="L1911">
        <v>0</v>
      </c>
      <c r="M1911">
        <v>1.4963298591185513E-3</v>
      </c>
      <c r="N1911">
        <v>0.14243477743232616</v>
      </c>
      <c r="O1911">
        <v>1.9862733339396237E-2</v>
      </c>
      <c r="P1911">
        <v>2.638328542401211E-2</v>
      </c>
      <c r="Q1911">
        <v>5.6241685260986036E-3</v>
      </c>
      <c r="R1911">
        <v>1.4751587379469608E-3</v>
      </c>
      <c r="S1911">
        <v>0.24534990859563871</v>
      </c>
      <c r="T1911">
        <v>1.3378591359889558</v>
      </c>
      <c r="U1911">
        <v>0.14403026461784083</v>
      </c>
      <c r="V1911">
        <v>0.18480572405353021</v>
      </c>
      <c r="W1911">
        <v>9.2733822562417773E-2</v>
      </c>
      <c r="X1911">
        <v>1.5912137938428925E-2</v>
      </c>
      <c r="Y1911">
        <v>4.0148957987443555E-3</v>
      </c>
    </row>
    <row r="1912" spans="1:25" x14ac:dyDescent="0.25">
      <c r="A1912" s="1096"/>
      <c r="B1912" s="1455">
        <v>1662</v>
      </c>
      <c r="C1912" s="1100">
        <v>0.9863474758931281</v>
      </c>
      <c r="D1912" s="1100">
        <v>1.0060663392413522</v>
      </c>
      <c r="E1912" s="1100">
        <v>1.0431561076183067</v>
      </c>
      <c r="F1912" s="1100">
        <v>0.9977976919356587</v>
      </c>
      <c r="G1912" s="1100">
        <v>1.0296500439914171</v>
      </c>
      <c r="H1912" s="1100">
        <v>0.9806008063129753</v>
      </c>
      <c r="I1912" s="1100">
        <v>0.95226061382867899</v>
      </c>
      <c r="K1912">
        <v>2.2178891897145494</v>
      </c>
      <c r="L1912">
        <v>0</v>
      </c>
      <c r="M1912">
        <v>1.4037104566954704E-3</v>
      </c>
      <c r="N1912">
        <v>0.14534377028589437</v>
      </c>
      <c r="O1912">
        <v>2.0026365837093787E-2</v>
      </c>
      <c r="P1912">
        <v>2.6840499808332464E-2</v>
      </c>
      <c r="Q1912">
        <v>5.8295343715056448E-3</v>
      </c>
      <c r="R1912">
        <v>1.3835908602259973E-3</v>
      </c>
      <c r="S1912">
        <v>0.23128374541614372</v>
      </c>
      <c r="T1912">
        <v>1.3409925560822906</v>
      </c>
      <c r="U1912">
        <v>0.14484977317128489</v>
      </c>
      <c r="V1912">
        <v>0.18893875490578593</v>
      </c>
      <c r="W1912">
        <v>9.3103166535087156E-2</v>
      </c>
      <c r="X1912">
        <v>1.6935464676669891E-2</v>
      </c>
      <c r="Y1912">
        <v>3.7656782209306706E-3</v>
      </c>
    </row>
    <row r="1913" spans="1:25" x14ac:dyDescent="0.25">
      <c r="A1913" s="1096"/>
      <c r="B1913" s="1455">
        <v>1663</v>
      </c>
      <c r="C1913" s="1100">
        <v>1.0311013780155067</v>
      </c>
      <c r="D1913" s="1100">
        <v>0.99380283136865832</v>
      </c>
      <c r="E1913" s="1100">
        <v>1.0122031165725889</v>
      </c>
      <c r="F1913" s="1100">
        <v>1.0008980561166303</v>
      </c>
      <c r="G1913" s="1100">
        <v>0.991758629054598</v>
      </c>
      <c r="H1913" s="1100">
        <v>1.023638941605417</v>
      </c>
      <c r="I1913" s="1100">
        <v>1.0065134701374923</v>
      </c>
      <c r="K1913">
        <v>2.2081866588497774</v>
      </c>
      <c r="L1913">
        <v>0</v>
      </c>
      <c r="M1913">
        <v>1.4991125142352266E-3</v>
      </c>
      <c r="N1913">
        <v>0.14147757587299581</v>
      </c>
      <c r="O1913">
        <v>1.9190044900204737E-2</v>
      </c>
      <c r="P1913">
        <v>2.6214870582284999E-2</v>
      </c>
      <c r="Q1913">
        <v>5.4175108461334302E-3</v>
      </c>
      <c r="R1913">
        <v>1.4785289107424075E-3</v>
      </c>
      <c r="S1913">
        <v>0.23843150924273243</v>
      </c>
      <c r="T1913">
        <v>1.3450915817522788</v>
      </c>
      <c r="U1913">
        <v>0.13849331448001498</v>
      </c>
      <c r="V1913">
        <v>0.18201588418714748</v>
      </c>
      <c r="W1913">
        <v>9.2272709738595179E-2</v>
      </c>
      <c r="X1913">
        <v>1.5578172552766244E-2</v>
      </c>
      <c r="Y1913">
        <v>4.0240682981163975E-3</v>
      </c>
    </row>
    <row r="1914" spans="1:25" x14ac:dyDescent="0.25">
      <c r="A1914" s="1096"/>
      <c r="B1914" s="1455">
        <v>1664</v>
      </c>
      <c r="C1914" s="1100">
        <v>0.97834593341708631</v>
      </c>
      <c r="D1914" s="1100">
        <v>1.0036607611303723</v>
      </c>
      <c r="E1914" s="1100">
        <v>1.0292596110658963</v>
      </c>
      <c r="F1914" s="1100">
        <v>1.0235558229470969</v>
      </c>
      <c r="G1914" s="1100">
        <v>1.0259609024799075</v>
      </c>
      <c r="H1914" s="1100">
        <v>0.99213929216266039</v>
      </c>
      <c r="I1914" s="1100">
        <v>0.98750360423085659</v>
      </c>
      <c r="K1914">
        <v>2.2684318839519899</v>
      </c>
      <c r="L1914">
        <v>0</v>
      </c>
      <c r="M1914">
        <v>1.4747271182281268E-3</v>
      </c>
      <c r="N1914">
        <v>0.14645992259039456</v>
      </c>
      <c r="O1914">
        <v>2.0191876863929471E-2</v>
      </c>
      <c r="P1914">
        <v>2.7233841149186106E-2</v>
      </c>
      <c r="Q1914">
        <v>5.7977799415755843E-3</v>
      </c>
      <c r="R1914">
        <v>1.4538354560906304E-3</v>
      </c>
      <c r="S1914">
        <v>0.24292122367465113</v>
      </c>
      <c r="T1914">
        <v>1.375576592818057</v>
      </c>
      <c r="U1914">
        <v>0.14600156856763316</v>
      </c>
      <c r="V1914">
        <v>0.18900076310668629</v>
      </c>
      <c r="W1914">
        <v>9.4574294549883101E-2</v>
      </c>
      <c r="X1914">
        <v>1.6738051497378847E-2</v>
      </c>
      <c r="Y1914">
        <v>3.9568608547493984E-3</v>
      </c>
    </row>
    <row r="1915" spans="1:25" x14ac:dyDescent="0.25">
      <c r="A1915" s="1096"/>
      <c r="B1915" s="1455">
        <v>1665</v>
      </c>
      <c r="C1915" s="1100">
        <v>0.99392287949770763</v>
      </c>
      <c r="D1915" s="1100">
        <v>0.99660314058449806</v>
      </c>
      <c r="E1915" s="1100">
        <v>0.98913272743299663</v>
      </c>
      <c r="F1915" s="1100">
        <v>1.0349774049401192</v>
      </c>
      <c r="G1915" s="1100">
        <v>1.0075674155017103</v>
      </c>
      <c r="H1915" s="1100">
        <v>0.97194977017299233</v>
      </c>
      <c r="I1915" s="1100">
        <v>1.0010724550665839</v>
      </c>
      <c r="K1915">
        <v>2.2591711297276755</v>
      </c>
      <c r="L1915">
        <v>0</v>
      </c>
      <c r="M1915">
        <v>1.5480904643386919E-3</v>
      </c>
      <c r="N1915">
        <v>0.13616294769321929</v>
      </c>
      <c r="O1915">
        <v>1.9881032511162029E-2</v>
      </c>
      <c r="P1915">
        <v>2.6548814567257783E-2</v>
      </c>
      <c r="Q1915">
        <v>5.4839706187524897E-3</v>
      </c>
      <c r="R1915">
        <v>1.5257039493080994E-3</v>
      </c>
      <c r="S1915">
        <v>0.24131641266049289</v>
      </c>
      <c r="T1915">
        <v>1.3908519454346491</v>
      </c>
      <c r="U1915">
        <v>0.14362032499868008</v>
      </c>
      <c r="V1915">
        <v>0.18593495036043331</v>
      </c>
      <c r="W1915">
        <v>9.003192207641382E-2</v>
      </c>
      <c r="X1915">
        <v>1.5208732119802658E-2</v>
      </c>
      <c r="Y1915">
        <v>4.1524632018449283E-3</v>
      </c>
    </row>
    <row r="1916" spans="1:25" x14ac:dyDescent="0.25">
      <c r="A1916" s="1096"/>
      <c r="B1916" s="1455">
        <v>1666</v>
      </c>
      <c r="C1916" s="1100">
        <v>0.98078497028594824</v>
      </c>
      <c r="D1916" s="1100">
        <v>0.99952726258508262</v>
      </c>
      <c r="E1916" s="1100">
        <v>0.98357616862598218</v>
      </c>
      <c r="F1916" s="1100">
        <v>0.97886598039722961</v>
      </c>
      <c r="G1916" s="1100">
        <v>0.9857210437533499</v>
      </c>
      <c r="H1916" s="1100">
        <v>1.0242579104395533</v>
      </c>
      <c r="I1916" s="1100">
        <v>0.96831039442751499</v>
      </c>
      <c r="K1916">
        <v>2.1964427832332767</v>
      </c>
      <c r="L1916">
        <v>0</v>
      </c>
      <c r="M1916">
        <v>1.6713052844078797E-3</v>
      </c>
      <c r="N1916">
        <v>0.14465906238711826</v>
      </c>
      <c r="O1916">
        <v>2.0130831335781273E-2</v>
      </c>
      <c r="P1916">
        <v>2.5410866716798153E-2</v>
      </c>
      <c r="Q1916">
        <v>5.5217124754499717E-3</v>
      </c>
      <c r="R1916">
        <v>1.6483712512267582E-3</v>
      </c>
      <c r="S1916">
        <v>0.24029349071989897</v>
      </c>
      <c r="T1916">
        <v>1.3154397006408027</v>
      </c>
      <c r="U1916">
        <v>0.14553114717203933</v>
      </c>
      <c r="V1916">
        <v>0.18425995108325921</v>
      </c>
      <c r="W1916">
        <v>9.5969458560419191E-2</v>
      </c>
      <c r="X1916">
        <v>1.4763173014487095E-2</v>
      </c>
      <c r="Y1916">
        <v>4.4863231604023073E-3</v>
      </c>
    </row>
    <row r="1917" spans="1:25" x14ac:dyDescent="0.25">
      <c r="A1917" s="1096"/>
      <c r="B1917" s="1455">
        <v>1667</v>
      </c>
      <c r="C1917" s="1100">
        <v>0.99210843958674544</v>
      </c>
      <c r="D1917" s="1100">
        <v>1.0441763854161159</v>
      </c>
      <c r="E1917" s="1100">
        <v>0.99620856436124228</v>
      </c>
      <c r="F1917" s="1100">
        <v>0.99599512882587204</v>
      </c>
      <c r="G1917" s="1100">
        <v>1.0030509704745159</v>
      </c>
      <c r="H1917" s="1100">
        <v>0.98565239291747031</v>
      </c>
      <c r="I1917" s="1100">
        <v>1.0330861427743472</v>
      </c>
      <c r="K1917">
        <v>2.2120137683365222</v>
      </c>
      <c r="L1917">
        <v>0</v>
      </c>
      <c r="M1917">
        <v>1.5340779695185974E-3</v>
      </c>
      <c r="N1917">
        <v>0.13787572492118993</v>
      </c>
      <c r="O1917">
        <v>1.971851561113171E-2</v>
      </c>
      <c r="P1917">
        <v>2.60253758222832E-2</v>
      </c>
      <c r="Q1917">
        <v>5.4781243495258397E-3</v>
      </c>
      <c r="R1917">
        <v>1.5122024875929526E-3</v>
      </c>
      <c r="S1917">
        <v>0.24494086619799404</v>
      </c>
      <c r="T1917">
        <v>1.3384758007412574</v>
      </c>
      <c r="U1917">
        <v>0.14389938962552085</v>
      </c>
      <c r="V1917">
        <v>0.18553973688512027</v>
      </c>
      <c r="W1917">
        <v>9.0779618906441359E-2</v>
      </c>
      <c r="X1917">
        <v>1.5186774084171281E-2</v>
      </c>
      <c r="Y1917">
        <v>4.1157166738119569E-3</v>
      </c>
    </row>
    <row r="1918" spans="1:25" x14ac:dyDescent="0.25">
      <c r="A1918" s="1096"/>
      <c r="B1918" s="1455">
        <v>1668</v>
      </c>
      <c r="C1918" s="1100">
        <v>0.97188380478723957</v>
      </c>
      <c r="D1918" s="1100">
        <v>1.0103327200418466</v>
      </c>
      <c r="E1918" s="1100">
        <v>1.0410591474468498</v>
      </c>
      <c r="F1918" s="1100">
        <v>1.0366206951916628</v>
      </c>
      <c r="G1918" s="1100">
        <v>1.0416718420023798</v>
      </c>
      <c r="H1918" s="1100">
        <v>0.99849644166249263</v>
      </c>
      <c r="I1918" s="1100">
        <v>1.0250749318143859</v>
      </c>
      <c r="K1918">
        <v>2.3062591759282283</v>
      </c>
      <c r="L1918">
        <v>0</v>
      </c>
      <c r="M1918">
        <v>1.4556071143693497E-3</v>
      </c>
      <c r="N1918">
        <v>0.14980741018646435</v>
      </c>
      <c r="O1918">
        <v>2.03041343954121E-2</v>
      </c>
      <c r="P1918">
        <v>2.7909856350596583E-2</v>
      </c>
      <c r="Q1918">
        <v>5.898230663424456E-3</v>
      </c>
      <c r="R1918">
        <v>1.4351176018959706E-3</v>
      </c>
      <c r="S1918">
        <v>0.25363480684170642</v>
      </c>
      <c r="T1918">
        <v>1.3931634079646957</v>
      </c>
      <c r="U1918">
        <v>0.147000443277334</v>
      </c>
      <c r="V1918">
        <v>0.19119120554588651</v>
      </c>
      <c r="W1918">
        <v>9.6078225300451015E-2</v>
      </c>
      <c r="X1918">
        <v>1.7386027888760272E-2</v>
      </c>
      <c r="Y1918">
        <v>3.9059170259705114E-3</v>
      </c>
    </row>
    <row r="1919" spans="1:25" x14ac:dyDescent="0.25">
      <c r="A1919" s="1096"/>
      <c r="B1919" s="1455">
        <v>1669</v>
      </c>
      <c r="C1919" s="1100">
        <v>1.0408539063216404</v>
      </c>
      <c r="D1919" s="1100">
        <v>1.0222212940068387</v>
      </c>
      <c r="E1919" s="1100">
        <v>1.019098647882771</v>
      </c>
      <c r="F1919" s="1100">
        <v>1.0142739918352779</v>
      </c>
      <c r="G1919" s="1100">
        <v>1.0343600241167552</v>
      </c>
      <c r="H1919" s="1100">
        <v>0.97989809661855376</v>
      </c>
      <c r="I1919" s="1100">
        <v>1.0197742768187052</v>
      </c>
      <c r="K1919">
        <v>2.2107207255548382</v>
      </c>
      <c r="L1919">
        <v>0</v>
      </c>
      <c r="M1919">
        <v>1.3927054014308696E-3</v>
      </c>
      <c r="N1919">
        <v>0.13411578250622311</v>
      </c>
      <c r="O1919">
        <v>1.8896816164436385E-2</v>
      </c>
      <c r="P1919">
        <v>2.6558106246449473E-2</v>
      </c>
      <c r="Q1919">
        <v>5.3715142652346832E-3</v>
      </c>
      <c r="R1919">
        <v>1.3727292269462179E-3</v>
      </c>
      <c r="S1919">
        <v>0.23262118723941835</v>
      </c>
      <c r="T1919">
        <v>1.3630807936879412</v>
      </c>
      <c r="U1919">
        <v>0.13721095763910648</v>
      </c>
      <c r="V1919">
        <v>0.18629797534282178</v>
      </c>
      <c r="W1919">
        <v>8.7117918893292443E-2</v>
      </c>
      <c r="X1919">
        <v>1.5733533308718853E-2</v>
      </c>
      <c r="Y1919">
        <v>3.7361164356795604E-3</v>
      </c>
    </row>
    <row r="1920" spans="1:25" x14ac:dyDescent="0.25">
      <c r="A1920" s="1096"/>
      <c r="B1920" s="1455">
        <v>1670</v>
      </c>
      <c r="C1920" s="1100">
        <v>0.99462409396965645</v>
      </c>
      <c r="D1920" s="1100">
        <v>1.0160167421538469</v>
      </c>
      <c r="E1920" s="1100">
        <v>0.97390887350584665</v>
      </c>
      <c r="F1920" s="1100">
        <v>0.96012975164739844</v>
      </c>
      <c r="G1920" s="1100">
        <v>1.0054361478474367</v>
      </c>
      <c r="H1920" s="1100">
        <v>0.97152886854722087</v>
      </c>
      <c r="I1920" s="1100">
        <v>0.99202751708827908</v>
      </c>
      <c r="K1920">
        <v>2.1468094256053587</v>
      </c>
      <c r="L1920">
        <v>0</v>
      </c>
      <c r="M1920">
        <v>1.5890346804974219E-3</v>
      </c>
      <c r="N1920">
        <v>0.13347222401601963</v>
      </c>
      <c r="O1920">
        <v>1.9773372866224669E-2</v>
      </c>
      <c r="P1920">
        <v>2.4828501566308021E-2</v>
      </c>
      <c r="Q1920">
        <v>5.3705966979514424E-3</v>
      </c>
      <c r="R1920">
        <v>1.5660461271321329E-3</v>
      </c>
      <c r="S1920">
        <v>0.23652396991706576</v>
      </c>
      <c r="T1920">
        <v>1.2902507416938884</v>
      </c>
      <c r="U1920">
        <v>0.14348393703470008</v>
      </c>
      <c r="V1920">
        <v>0.18563900068994399</v>
      </c>
      <c r="W1920">
        <v>8.9066821880914554E-2</v>
      </c>
      <c r="X1920">
        <v>1.4160986484621827E-2</v>
      </c>
      <c r="Y1920">
        <v>4.2622613110865999E-3</v>
      </c>
    </row>
    <row r="1921" spans="1:25" x14ac:dyDescent="0.25">
      <c r="A1921" s="1096"/>
      <c r="B1921" s="1455">
        <v>1671</v>
      </c>
      <c r="C1921" s="1100">
        <v>1.02215121518286</v>
      </c>
      <c r="D1921" s="1100">
        <v>0.98655760199195675</v>
      </c>
      <c r="E1921" s="1100">
        <v>0.98114080984824203</v>
      </c>
      <c r="F1921" s="1100">
        <v>0.97535960522697052</v>
      </c>
      <c r="G1921" s="1100">
        <v>0.99151628283807003</v>
      </c>
      <c r="H1921" s="1100">
        <v>1.0183481826163476</v>
      </c>
      <c r="I1921" s="1100">
        <v>0.99831759074828264</v>
      </c>
      <c r="K1921">
        <v>2.1699306346321547</v>
      </c>
      <c r="L1921">
        <v>0</v>
      </c>
      <c r="M1921">
        <v>1.6070786460718825E-3</v>
      </c>
      <c r="N1921">
        <v>0.13806778250087731</v>
      </c>
      <c r="O1921">
        <v>1.9370234262076604E-2</v>
      </c>
      <c r="P1921">
        <v>2.5176803347166286E-2</v>
      </c>
      <c r="Q1921">
        <v>5.29996930444204E-3</v>
      </c>
      <c r="R1921">
        <v>1.5848979681974092E-3</v>
      </c>
      <c r="S1921">
        <v>0.23878120424718641</v>
      </c>
      <c r="T1921">
        <v>1.3107248263067688</v>
      </c>
      <c r="U1921">
        <v>0.13963606227454053</v>
      </c>
      <c r="V1921">
        <v>0.18246580730295767</v>
      </c>
      <c r="W1921">
        <v>9.1731225934402069E-2</v>
      </c>
      <c r="X1921">
        <v>1.4385330021651061E-2</v>
      </c>
      <c r="Y1921">
        <v>4.313569807958547E-3</v>
      </c>
    </row>
    <row r="1922" spans="1:25" x14ac:dyDescent="0.25">
      <c r="A1922" s="1096"/>
      <c r="B1922" s="1455">
        <v>1672</v>
      </c>
      <c r="C1922" s="1100">
        <v>1.0122790898793279</v>
      </c>
      <c r="D1922" s="1100">
        <v>1.0304456581371073</v>
      </c>
      <c r="E1922" s="1100">
        <v>1.0145546746852616</v>
      </c>
      <c r="F1922" s="1100">
        <v>0.99997253614741077</v>
      </c>
      <c r="G1922" s="1100">
        <v>1.0039738064987707</v>
      </c>
      <c r="H1922" s="1100">
        <v>0.99975052632578376</v>
      </c>
      <c r="I1922" s="1100">
        <v>0.95326438189110874</v>
      </c>
      <c r="K1922">
        <v>2.1951293655737292</v>
      </c>
      <c r="L1922">
        <v>0</v>
      </c>
      <c r="M1922">
        <v>1.472305443947302E-3</v>
      </c>
      <c r="N1922">
        <v>0.13989083096288302</v>
      </c>
      <c r="O1922">
        <v>1.9393222183578203E-2</v>
      </c>
      <c r="P1922">
        <v>2.6115715650573048E-2</v>
      </c>
      <c r="Q1922">
        <v>5.4877304375816833E-3</v>
      </c>
      <c r="R1922">
        <v>1.4516068781919383E-3</v>
      </c>
      <c r="S1922">
        <v>0.22415565937516418</v>
      </c>
      <c r="T1922">
        <v>1.3438522128392738</v>
      </c>
      <c r="U1922">
        <v>0.14107381454533649</v>
      </c>
      <c r="V1922">
        <v>0.184468698549279</v>
      </c>
      <c r="W1922">
        <v>9.1111730912709493E-2</v>
      </c>
      <c r="X1922">
        <v>1.5649653282741701E-2</v>
      </c>
      <c r="Y1922">
        <v>3.9507954003596647E-3</v>
      </c>
    </row>
    <row r="1923" spans="1:25" x14ac:dyDescent="0.25">
      <c r="A1923" s="1096"/>
      <c r="B1923" s="1455">
        <v>1673</v>
      </c>
      <c r="C1923" s="1100">
        <v>1.0190820173962782</v>
      </c>
      <c r="D1923" s="1100">
        <v>0.97044722183589172</v>
      </c>
      <c r="E1923" s="1100">
        <v>0.97710016235694985</v>
      </c>
      <c r="F1923" s="1100">
        <v>1.0278629156820098</v>
      </c>
      <c r="G1923" s="1100">
        <v>0.9899713972988966</v>
      </c>
      <c r="H1923" s="1100">
        <v>1.0013950081564265</v>
      </c>
      <c r="I1923" s="1100">
        <v>1.0140565851268319</v>
      </c>
      <c r="K1923">
        <v>2.2442858180511647</v>
      </c>
      <c r="L1923">
        <v>0</v>
      </c>
      <c r="M1923">
        <v>1.6041814502955661E-3</v>
      </c>
      <c r="N1923">
        <v>0.13611184929615947</v>
      </c>
      <c r="O1923">
        <v>1.9496589719296433E-2</v>
      </c>
      <c r="P1923">
        <v>2.6119773207588882E-2</v>
      </c>
      <c r="Q1923">
        <v>5.3126677172327203E-3</v>
      </c>
      <c r="R1923">
        <v>1.5816659270113513E-3</v>
      </c>
      <c r="S1923">
        <v>0.24389528192089005</v>
      </c>
      <c r="T1923">
        <v>1.3812760305939551</v>
      </c>
      <c r="U1923">
        <v>0.14004751011582331</v>
      </c>
      <c r="V1923">
        <v>0.18246256407767092</v>
      </c>
      <c r="W1923">
        <v>9.0652780644153289E-2</v>
      </c>
      <c r="X1923">
        <v>1.4628513024383647E-2</v>
      </c>
      <c r="Y1923">
        <v>4.3047732572921863E-3</v>
      </c>
    </row>
    <row r="1924" spans="1:25" x14ac:dyDescent="0.25">
      <c r="A1924" s="1096"/>
      <c r="B1924" s="1455">
        <v>1674</v>
      </c>
      <c r="C1924" s="1100">
        <v>0.95809259083805853</v>
      </c>
      <c r="D1924" s="1100">
        <v>1.0215290164146447</v>
      </c>
      <c r="E1924" s="1100">
        <v>0.98630982679831125</v>
      </c>
      <c r="F1924" s="1100">
        <v>0.96207335527551008</v>
      </c>
      <c r="G1924" s="1100">
        <v>1.0120399838103273</v>
      </c>
      <c r="H1924" s="1100">
        <v>0.96878868871485446</v>
      </c>
      <c r="I1924" s="1100">
        <v>0.97529227974642296</v>
      </c>
      <c r="K1924">
        <v>2.1738615430312587</v>
      </c>
      <c r="L1924">
        <v>0</v>
      </c>
      <c r="M1924">
        <v>1.6014178797385068E-3</v>
      </c>
      <c r="N1924">
        <v>0.13964944872499613</v>
      </c>
      <c r="O1924">
        <v>2.0510921398806902E-2</v>
      </c>
      <c r="P1924">
        <v>2.5269365240845616E-2</v>
      </c>
      <c r="Q1924">
        <v>5.6415782606094277E-3</v>
      </c>
      <c r="R1924">
        <v>1.5781846498079885E-3</v>
      </c>
      <c r="S1924">
        <v>0.24062125702067044</v>
      </c>
      <c r="T1924">
        <v>1.2928764139261102</v>
      </c>
      <c r="U1924">
        <v>0.14898459901630065</v>
      </c>
      <c r="V1924">
        <v>0.18866973944822948</v>
      </c>
      <c r="W1924">
        <v>9.2493786581911833E-2</v>
      </c>
      <c r="X1924">
        <v>1.4872368274360743E-2</v>
      </c>
      <c r="Y1924">
        <v>4.2952983683473547E-3</v>
      </c>
    </row>
    <row r="1925" spans="1:25" x14ac:dyDescent="0.25">
      <c r="A1925" s="1096"/>
      <c r="B1925" s="1455">
        <v>1675</v>
      </c>
      <c r="C1925" s="1100">
        <v>1.011914259244332</v>
      </c>
      <c r="D1925" s="1100">
        <v>1.0124063848928284</v>
      </c>
      <c r="E1925" s="1100">
        <v>0.99957160070457096</v>
      </c>
      <c r="F1925" s="1100">
        <v>1.004597903440974</v>
      </c>
      <c r="G1925" s="1100">
        <v>1.0093143046076538</v>
      </c>
      <c r="H1925" s="1100">
        <v>0.99782174271427282</v>
      </c>
      <c r="I1925" s="1100">
        <v>0.97880394272337556</v>
      </c>
      <c r="K1925">
        <v>2.2075055570074187</v>
      </c>
      <c r="L1925">
        <v>0</v>
      </c>
      <c r="M1925">
        <v>1.5223537853691067E-3</v>
      </c>
      <c r="N1925">
        <v>0.13824387401914082</v>
      </c>
      <c r="O1925">
        <v>1.9466505795438589E-2</v>
      </c>
      <c r="P1925">
        <v>2.6027578306242621E-2</v>
      </c>
      <c r="Q1925">
        <v>5.4264461777786517E-3</v>
      </c>
      <c r="R1925">
        <v>1.5009102392970859E-3</v>
      </c>
      <c r="S1925">
        <v>0.23201062137700748</v>
      </c>
      <c r="T1925">
        <v>1.3500419302338227</v>
      </c>
      <c r="U1925">
        <v>0.14109054971993573</v>
      </c>
      <c r="V1925">
        <v>0.18508033391682832</v>
      </c>
      <c r="W1925">
        <v>9.0839957905574947E-2</v>
      </c>
      <c r="X1925">
        <v>1.521422020528003E-2</v>
      </c>
      <c r="Y1925">
        <v>4.084982896439257E-3</v>
      </c>
    </row>
    <row r="1926" spans="1:25" x14ac:dyDescent="0.25">
      <c r="A1926" s="1096"/>
      <c r="B1926" s="1455">
        <v>1676</v>
      </c>
      <c r="C1926" s="1100">
        <v>1.0144786461993331</v>
      </c>
      <c r="D1926" s="1100">
        <v>1.007254813672114</v>
      </c>
      <c r="E1926" s="1100">
        <v>0.96771315098637889</v>
      </c>
      <c r="F1926" s="1100">
        <v>1.0260052100081767</v>
      </c>
      <c r="G1926" s="1100">
        <v>0.97513632267585004</v>
      </c>
      <c r="H1926" s="1100">
        <v>1.0403530266744687</v>
      </c>
      <c r="I1926" s="1100">
        <v>0.99084891990383506</v>
      </c>
      <c r="K1926">
        <v>2.2409375478943447</v>
      </c>
      <c r="L1926">
        <v>0</v>
      </c>
      <c r="M1926">
        <v>1.6930029562869503E-3</v>
      </c>
      <c r="N1926">
        <v>0.13969791465424194</v>
      </c>
      <c r="O1926">
        <v>1.9419568836697255E-2</v>
      </c>
      <c r="P1926">
        <v>2.5809752531718667E-2</v>
      </c>
      <c r="Q1926">
        <v>5.2412205889444553E-3</v>
      </c>
      <c r="R1926">
        <v>1.6701305973203819E-3</v>
      </c>
      <c r="S1926">
        <v>0.23795166898853395</v>
      </c>
      <c r="T1926">
        <v>1.3787700845372741</v>
      </c>
      <c r="U1926">
        <v>0.14066179174381763</v>
      </c>
      <c r="V1926">
        <v>0.18104186156275431</v>
      </c>
      <c r="W1926">
        <v>9.3573229942758698E-2</v>
      </c>
      <c r="X1926">
        <v>1.4247781939064983E-2</v>
      </c>
      <c r="Y1926">
        <v>4.5455449275026392E-3</v>
      </c>
    </row>
    <row r="1927" spans="1:25" x14ac:dyDescent="0.25">
      <c r="A1927" s="1096"/>
      <c r="B1927" s="1455">
        <v>1677</v>
      </c>
      <c r="C1927" s="1100">
        <v>0.99787501990949601</v>
      </c>
      <c r="D1927" s="1100">
        <v>0.99607683860477692</v>
      </c>
      <c r="E1927" s="1100">
        <v>1.0004555779227622</v>
      </c>
      <c r="F1927" s="1100">
        <v>0.96248929872774547</v>
      </c>
      <c r="G1927" s="1100">
        <v>1.0373020819705188</v>
      </c>
      <c r="H1927" s="1100">
        <v>0.98048527514044548</v>
      </c>
      <c r="I1927" s="1100">
        <v>0.97302808939436913</v>
      </c>
      <c r="K1927">
        <v>2.159109005723479</v>
      </c>
      <c r="L1927">
        <v>0</v>
      </c>
      <c r="M1927">
        <v>1.5195975168460789E-3</v>
      </c>
      <c r="N1927">
        <v>0.13832765621843252</v>
      </c>
      <c r="O1927">
        <v>1.9811682383838812E-2</v>
      </c>
      <c r="P1927">
        <v>2.5387207847026073E-2</v>
      </c>
      <c r="Q1927">
        <v>5.5275762879953968E-3</v>
      </c>
      <c r="R1927">
        <v>1.4978143270113517E-3</v>
      </c>
      <c r="S1927">
        <v>0.23444024911453673</v>
      </c>
      <c r="T1927">
        <v>1.2934550901263897</v>
      </c>
      <c r="U1927">
        <v>0.14307761138178615</v>
      </c>
      <c r="V1927">
        <v>0.18906954108238919</v>
      </c>
      <c r="W1927">
        <v>9.0847269071425138E-2</v>
      </c>
      <c r="X1927">
        <v>1.5110348555728121E-2</v>
      </c>
      <c r="Y1927">
        <v>4.0765568437646999E-3</v>
      </c>
    </row>
    <row r="1928" spans="1:25" x14ac:dyDescent="0.25">
      <c r="A1928" s="1096"/>
      <c r="B1928" s="1455">
        <v>1678</v>
      </c>
      <c r="C1928" s="1100">
        <v>0.99597669952785961</v>
      </c>
      <c r="D1928" s="1100">
        <v>1.0104766178816167</v>
      </c>
      <c r="E1928" s="1100">
        <v>1.0118561223966323</v>
      </c>
      <c r="F1928" s="1100">
        <v>1.0007899028086333</v>
      </c>
      <c r="G1928" s="1100">
        <v>1.0406524424254791</v>
      </c>
      <c r="H1928" s="1100">
        <v>0.98435124054471757</v>
      </c>
      <c r="I1928" s="1100">
        <v>0.95973519841775623</v>
      </c>
      <c r="K1928">
        <v>2.2113236225303554</v>
      </c>
      <c r="L1928">
        <v>0</v>
      </c>
      <c r="M1928">
        <v>1.4880350330320909E-3</v>
      </c>
      <c r="N1928">
        <v>0.14020718410651015</v>
      </c>
      <c r="O1928">
        <v>1.9794005121905218E-2</v>
      </c>
      <c r="P1928">
        <v>2.626683816007681E-2</v>
      </c>
      <c r="Q1928">
        <v>5.5860780862838268E-3</v>
      </c>
      <c r="R1928">
        <v>1.4667880613079332E-3</v>
      </c>
      <c r="S1928">
        <v>0.23040219048739971</v>
      </c>
      <c r="T1928">
        <v>1.3449455930267566</v>
      </c>
      <c r="U1928">
        <v>0.14337669455590607</v>
      </c>
      <c r="V1928">
        <v>0.18957162786935661</v>
      </c>
      <c r="W1928">
        <v>9.1462833724329798E-2</v>
      </c>
      <c r="X1928">
        <v>1.5739710787229761E-2</v>
      </c>
      <c r="Y1928">
        <v>3.9921135763257357E-3</v>
      </c>
    </row>
    <row r="1929" spans="1:25" x14ac:dyDescent="0.25">
      <c r="A1929" s="1096"/>
      <c r="B1929" s="1455">
        <v>1679</v>
      </c>
      <c r="C1929" s="1100">
        <v>1.0046509189491368</v>
      </c>
      <c r="D1929" s="1100">
        <v>1.0120326374093871</v>
      </c>
      <c r="E1929" s="1100">
        <v>0.98637429947602884</v>
      </c>
      <c r="F1929" s="1100">
        <v>0.98563677279980677</v>
      </c>
      <c r="G1929" s="1100">
        <v>1.0101853342064704</v>
      </c>
      <c r="H1929" s="1100">
        <v>1.0169746612232653</v>
      </c>
      <c r="I1929" s="1100">
        <v>1.020115695394219</v>
      </c>
      <c r="K1929">
        <v>2.1999693245081851</v>
      </c>
      <c r="L1929">
        <v>0</v>
      </c>
      <c r="M1929">
        <v>1.6062474328209029E-3</v>
      </c>
      <c r="N1929">
        <v>0.14019563946685487</v>
      </c>
      <c r="O1929">
        <v>1.9600660738952419E-2</v>
      </c>
      <c r="P1929">
        <v>2.5623168904255752E-2</v>
      </c>
      <c r="Q1929">
        <v>5.3915609302576861E-3</v>
      </c>
      <c r="R1929">
        <v>1.5840482856079793E-3</v>
      </c>
      <c r="S1929">
        <v>0.24504796464417</v>
      </c>
      <c r="T1929">
        <v>1.3245420511543984</v>
      </c>
      <c r="U1929">
        <v>0.14208038422851105</v>
      </c>
      <c r="V1929">
        <v>0.1855912844553555</v>
      </c>
      <c r="W1929">
        <v>9.2851947493629072E-2</v>
      </c>
      <c r="X1929">
        <v>1.4755604386961715E-2</v>
      </c>
      <c r="Y1929">
        <v>4.3112572520479092E-3</v>
      </c>
    </row>
    <row r="1930" spans="1:25" x14ac:dyDescent="0.25">
      <c r="A1930" s="1096"/>
      <c r="B1930" s="1455">
        <v>1680</v>
      </c>
      <c r="C1930" s="1100">
        <v>0.97976464751953296</v>
      </c>
      <c r="D1930" s="1100">
        <v>0.9865088352266721</v>
      </c>
      <c r="E1930" s="1100">
        <v>0.97776679343013972</v>
      </c>
      <c r="F1930" s="1100">
        <v>0.993528769499889</v>
      </c>
      <c r="G1930" s="1100">
        <v>1.0183391042621728</v>
      </c>
      <c r="H1930" s="1100">
        <v>1.0254026136697443</v>
      </c>
      <c r="I1930" s="1100">
        <v>1.0044540909256168</v>
      </c>
      <c r="K1930">
        <v>2.2316135564206627</v>
      </c>
      <c r="L1930">
        <v>0</v>
      </c>
      <c r="M1930">
        <v>1.7000553491656628E-3</v>
      </c>
      <c r="N1930">
        <v>0.14458604032850869</v>
      </c>
      <c r="O1930">
        <v>2.0206298402609318E-2</v>
      </c>
      <c r="P1930">
        <v>2.5761908163619774E-2</v>
      </c>
      <c r="Q1930">
        <v>5.5097950637551804E-3</v>
      </c>
      <c r="R1930">
        <v>1.6767528437350067E-3</v>
      </c>
      <c r="S1930">
        <v>0.25120298842346811</v>
      </c>
      <c r="T1930">
        <v>1.3351374014863884</v>
      </c>
      <c r="U1930">
        <v>0.14566909381055576</v>
      </c>
      <c r="V1930">
        <v>0.18800509878694455</v>
      </c>
      <c r="W1930">
        <v>9.6257901184578845E-2</v>
      </c>
      <c r="X1930">
        <v>1.4736764776444762E-2</v>
      </c>
      <c r="Y1930">
        <v>4.5635684992203036E-3</v>
      </c>
    </row>
    <row r="1931" spans="1:25" x14ac:dyDescent="0.25">
      <c r="A1931" s="1096"/>
      <c r="B1931" s="1455">
        <v>1681</v>
      </c>
      <c r="C1931" s="1100">
        <v>1.0191984698870946</v>
      </c>
      <c r="D1931" s="1100">
        <v>0.96167087462194512</v>
      </c>
      <c r="E1931" s="1100">
        <v>0.99531031575391704</v>
      </c>
      <c r="F1931" s="1100">
        <v>0.98633232301883256</v>
      </c>
      <c r="G1931" s="1100">
        <v>1.0151250112101409</v>
      </c>
      <c r="H1931" s="1100">
        <v>1.0306213090799923</v>
      </c>
      <c r="I1931" s="1100">
        <v>0.95714984445581008</v>
      </c>
      <c r="K1931">
        <v>2.1912981050255014</v>
      </c>
      <c r="L1931">
        <v>0</v>
      </c>
      <c r="M1931">
        <v>1.5929283525113979E-3</v>
      </c>
      <c r="N1931">
        <v>0.14286692516071614</v>
      </c>
      <c r="O1931">
        <v>1.9544596010841422E-2</v>
      </c>
      <c r="P1931">
        <v>2.5621809574476268E-2</v>
      </c>
      <c r="Q1931">
        <v>5.4248947754113796E-3</v>
      </c>
      <c r="R1931">
        <v>1.5712047873207187E-3</v>
      </c>
      <c r="S1931">
        <v>0.233587398626149</v>
      </c>
      <c r="T1931">
        <v>1.3254890351731692</v>
      </c>
      <c r="U1931">
        <v>0.14007255352655515</v>
      </c>
      <c r="V1931">
        <v>0.18531452683066466</v>
      </c>
      <c r="W1931">
        <v>9.4116307215606237E-2</v>
      </c>
      <c r="X1931">
        <v>1.5005480213534345E-2</v>
      </c>
      <c r="Y1931">
        <v>4.2763014835680586E-3</v>
      </c>
    </row>
    <row r="1932" spans="1:25" x14ac:dyDescent="0.25">
      <c r="A1932" s="1096"/>
      <c r="B1932" s="1455">
        <v>1682</v>
      </c>
      <c r="C1932" s="1100">
        <v>1.0316299523585937</v>
      </c>
      <c r="D1932" s="1100">
        <v>1.0202734715367181</v>
      </c>
      <c r="E1932" s="1100">
        <v>1.0300899639198957</v>
      </c>
      <c r="F1932" s="1100">
        <v>1.0384605485442673</v>
      </c>
      <c r="G1932" s="1100">
        <v>1.0068170129628671</v>
      </c>
      <c r="H1932" s="1100">
        <v>0.97404436770547131</v>
      </c>
      <c r="I1932" s="1100">
        <v>0.98066606833286518</v>
      </c>
      <c r="K1932">
        <v>2.238603859840548</v>
      </c>
      <c r="L1932">
        <v>0</v>
      </c>
      <c r="M1932">
        <v>1.3657346346566074E-3</v>
      </c>
      <c r="N1932">
        <v>0.13593917789999871</v>
      </c>
      <c r="O1932">
        <v>1.9080428008218242E-2</v>
      </c>
      <c r="P1932">
        <v>2.7108217526064925E-2</v>
      </c>
      <c r="Q1932">
        <v>5.4831453071453968E-3</v>
      </c>
      <c r="R1932">
        <v>1.3460275872825066E-3</v>
      </c>
      <c r="S1932">
        <v>0.22554914019577865</v>
      </c>
      <c r="T1932">
        <v>1.3956092654936798</v>
      </c>
      <c r="U1932">
        <v>0.1384624019931141</v>
      </c>
      <c r="V1932">
        <v>0.1837042971270873</v>
      </c>
      <c r="W1932">
        <v>8.7738370879483329E-2</v>
      </c>
      <c r="X1932">
        <v>1.6285679082642175E-2</v>
      </c>
      <c r="Y1932">
        <v>3.6634433747080881E-3</v>
      </c>
    </row>
    <row r="1933" spans="1:25" x14ac:dyDescent="0.25">
      <c r="A1933" s="1096"/>
      <c r="B1933" s="1455">
        <v>1683</v>
      </c>
      <c r="C1933" s="1100">
        <v>1.0316388196194428</v>
      </c>
      <c r="D1933" s="1100">
        <v>0.96354021100751786</v>
      </c>
      <c r="E1933" s="1100">
        <v>0.96181342905047829</v>
      </c>
      <c r="F1933" s="1100">
        <v>1.0160888408527036</v>
      </c>
      <c r="G1933" s="1100">
        <v>0.99521913035683296</v>
      </c>
      <c r="H1933" s="1100">
        <v>1.0108783137642869</v>
      </c>
      <c r="I1933" s="1100">
        <v>0.97793807294735713</v>
      </c>
      <c r="K1933">
        <v>2.2121445025195663</v>
      </c>
      <c r="L1933">
        <v>0</v>
      </c>
      <c r="M1933">
        <v>1.6535429681653747E-3</v>
      </c>
      <c r="N1933">
        <v>0.13397172299820015</v>
      </c>
      <c r="O1933">
        <v>1.9280285295980963E-2</v>
      </c>
      <c r="P1933">
        <v>2.5446949208200228E-2</v>
      </c>
      <c r="Q1933">
        <v>5.1722541925298083E-3</v>
      </c>
      <c r="R1933">
        <v>1.6305523535332181E-3</v>
      </c>
      <c r="S1933">
        <v>0.23379458118286978</v>
      </c>
      <c r="T1933">
        <v>1.3654393390607431</v>
      </c>
      <c r="U1933">
        <v>0.13830894760413456</v>
      </c>
      <c r="V1933">
        <v>0.18233526938999028</v>
      </c>
      <c r="W1933">
        <v>9.0061835694039014E-2</v>
      </c>
      <c r="X1933">
        <v>1.3918482512632025E-2</v>
      </c>
      <c r="Y1933">
        <v>4.4378259948785366E-3</v>
      </c>
    </row>
    <row r="1934" spans="1:25" x14ac:dyDescent="0.25">
      <c r="A1934" s="1096"/>
      <c r="B1934" s="1455">
        <v>1684</v>
      </c>
      <c r="C1934" s="1100">
        <v>0.96641061278812868</v>
      </c>
      <c r="D1934" s="1100">
        <v>0.99860562118729967</v>
      </c>
      <c r="E1934" s="1100">
        <v>0.95792381776006841</v>
      </c>
      <c r="F1934" s="1100">
        <v>1.0220504109539816</v>
      </c>
      <c r="G1934" s="1100">
        <v>1.0102490612389436</v>
      </c>
      <c r="H1934" s="1100">
        <v>0.99270033051780937</v>
      </c>
      <c r="I1934" s="1100">
        <v>1.0213439853141146</v>
      </c>
      <c r="K1934">
        <v>2.2664870878716004</v>
      </c>
      <c r="L1934">
        <v>0</v>
      </c>
      <c r="M1934">
        <v>1.7336724491499994E-3</v>
      </c>
      <c r="N1934">
        <v>0.13878224981033388</v>
      </c>
      <c r="O1934">
        <v>2.0417896065093671E-2</v>
      </c>
      <c r="P1934">
        <v>2.5946513248673392E-2</v>
      </c>
      <c r="Q1934">
        <v>5.4555817008994159E-3</v>
      </c>
      <c r="R1934">
        <v>1.7091263288689876E-3</v>
      </c>
      <c r="S1934">
        <v>0.25446412551606734</v>
      </c>
      <c r="T1934">
        <v>1.3734477988060845</v>
      </c>
      <c r="U1934">
        <v>0.14763495111032757</v>
      </c>
      <c r="V1934">
        <v>0.18791001323111109</v>
      </c>
      <c r="W1934">
        <v>9.3518604109925019E-2</v>
      </c>
      <c r="X1934">
        <v>1.4282221939528512E-2</v>
      </c>
      <c r="Y1934">
        <v>4.6516784538384922E-3</v>
      </c>
    </row>
    <row r="1935" spans="1:25" x14ac:dyDescent="0.25">
      <c r="A1935" s="1096"/>
      <c r="B1935" s="1455">
        <v>1685</v>
      </c>
      <c r="C1935" s="1100">
        <v>1.0288281743767691</v>
      </c>
      <c r="D1935" s="1100">
        <v>1.0066888807148338</v>
      </c>
      <c r="E1935" s="1100">
        <v>1.0211412316553885</v>
      </c>
      <c r="F1935" s="1100">
        <v>1.0138775214620135</v>
      </c>
      <c r="G1935" s="1100">
        <v>0.98129098107834523</v>
      </c>
      <c r="H1935" s="1100">
        <v>1.0063833540612417</v>
      </c>
      <c r="I1935" s="1100">
        <v>0.97542571458448801</v>
      </c>
      <c r="K1935">
        <v>2.2131601040392046</v>
      </c>
      <c r="L1935">
        <v>0</v>
      </c>
      <c r="M1935">
        <v>1.4457922349464191E-3</v>
      </c>
      <c r="N1935">
        <v>0.14014219670662051</v>
      </c>
      <c r="O1935">
        <v>1.9183445463953772E-2</v>
      </c>
      <c r="P1935">
        <v>2.6486776358555932E-2</v>
      </c>
      <c r="Q1935">
        <v>5.4640735555209095E-3</v>
      </c>
      <c r="R1935">
        <v>1.425600370593203E-3</v>
      </c>
      <c r="S1935">
        <v>0.22885640917095226</v>
      </c>
      <c r="T1935">
        <v>1.3625521724758809</v>
      </c>
      <c r="U1935">
        <v>0.13881936938290121</v>
      </c>
      <c r="V1935">
        <v>0.1809677560057695</v>
      </c>
      <c r="W1935">
        <v>9.0923801139581609E-2</v>
      </c>
      <c r="X1935">
        <v>1.5904281384100154E-2</v>
      </c>
      <c r="Y1935">
        <v>3.8800142597188352E-3</v>
      </c>
    </row>
    <row r="1936" spans="1:25" x14ac:dyDescent="0.25">
      <c r="A1936" s="1096"/>
      <c r="B1936" s="1455">
        <v>1686</v>
      </c>
      <c r="C1936" s="1100">
        <v>1.0272028292568716</v>
      </c>
      <c r="D1936" s="1100">
        <v>1.0291333589215954</v>
      </c>
      <c r="E1936" s="1100">
        <v>1.0320102674475489</v>
      </c>
      <c r="F1936" s="1100">
        <v>0.97322192604330382</v>
      </c>
      <c r="G1936" s="1100">
        <v>0.99917704562717946</v>
      </c>
      <c r="H1936" s="1100">
        <v>1.0072490762738397</v>
      </c>
      <c r="I1936" s="1100">
        <v>1.0218946688984183</v>
      </c>
      <c r="K1936">
        <v>2.1706047515522693</v>
      </c>
      <c r="L1936">
        <v>0</v>
      </c>
      <c r="M1936">
        <v>1.4100288152983482E-3</v>
      </c>
      <c r="N1936">
        <v>0.14123090966580223</v>
      </c>
      <c r="O1936">
        <v>1.9127411762676634E-2</v>
      </c>
      <c r="P1936">
        <v>2.6090715204526039E-2</v>
      </c>
      <c r="Q1936">
        <v>5.5070868238347136E-3</v>
      </c>
      <c r="R1936">
        <v>1.3903533465815781E-3</v>
      </c>
      <c r="S1936">
        <v>0.23767786986775111</v>
      </c>
      <c r="T1936">
        <v>1.3079379099359689</v>
      </c>
      <c r="U1936">
        <v>0.13906348280601655</v>
      </c>
      <c r="V1936">
        <v>0.18309046392060505</v>
      </c>
      <c r="W1936">
        <v>9.105231214713698E-2</v>
      </c>
      <c r="X1936">
        <v>1.6062181407128055E-2</v>
      </c>
      <c r="Y1936">
        <v>3.7840834795375335E-3</v>
      </c>
    </row>
    <row r="1937" spans="1:25" x14ac:dyDescent="0.25">
      <c r="A1937" s="1096"/>
      <c r="B1937" s="1455">
        <v>1687</v>
      </c>
      <c r="C1937" s="1100">
        <v>0.98112429753589603</v>
      </c>
      <c r="D1937" s="1100">
        <v>1.0450048251006649</v>
      </c>
      <c r="E1937" s="1100">
        <v>0.98197430319780754</v>
      </c>
      <c r="F1937" s="1100">
        <v>1.0245938716328264</v>
      </c>
      <c r="G1937" s="1100">
        <v>0.9825363662704365</v>
      </c>
      <c r="H1937" s="1100">
        <v>0.96821503502621908</v>
      </c>
      <c r="I1937" s="1100">
        <v>0.98666876652251312</v>
      </c>
      <c r="K1937">
        <v>2.23651252386763</v>
      </c>
      <c r="L1937">
        <v>0</v>
      </c>
      <c r="M1937">
        <v>1.5691194491935473E-3</v>
      </c>
      <c r="N1937">
        <v>0.13504904209135563</v>
      </c>
      <c r="O1937">
        <v>1.9926835021900142E-2</v>
      </c>
      <c r="P1937">
        <v>2.6129500553282937E-2</v>
      </c>
      <c r="Q1937">
        <v>5.4568800202808047E-3</v>
      </c>
      <c r="R1937">
        <v>1.5463413143254243E-3</v>
      </c>
      <c r="S1937">
        <v>0.23496459417400931</v>
      </c>
      <c r="T1937">
        <v>1.3768886956034763</v>
      </c>
      <c r="U1937">
        <v>0.14547706583667341</v>
      </c>
      <c r="V1937">
        <v>0.1838776389974586</v>
      </c>
      <c r="W1937">
        <v>8.9680506556226308E-2</v>
      </c>
      <c r="X1937">
        <v>1.4875911841516549E-2</v>
      </c>
      <c r="Y1937">
        <v>4.2086313063165372E-3</v>
      </c>
    </row>
    <row r="1938" spans="1:25" x14ac:dyDescent="0.25">
      <c r="A1938" s="1096"/>
      <c r="B1938" s="1455">
        <v>1688</v>
      </c>
      <c r="C1938" s="1100">
        <v>1.0357713695913791</v>
      </c>
      <c r="D1938" s="1100">
        <v>1.042823035277195</v>
      </c>
      <c r="E1938" s="1100">
        <v>0.9681395703795489</v>
      </c>
      <c r="F1938" s="1100">
        <v>0.97429175404154611</v>
      </c>
      <c r="G1938" s="1100">
        <v>1.0042341132133465</v>
      </c>
      <c r="H1938" s="1100">
        <v>0.98482242757392568</v>
      </c>
      <c r="I1938" s="1100">
        <v>0.96674444298897833</v>
      </c>
      <c r="K1938">
        <v>2.1306032222548605</v>
      </c>
      <c r="L1938">
        <v>0</v>
      </c>
      <c r="M1938">
        <v>1.5563814604272819E-3</v>
      </c>
      <c r="N1938">
        <v>0.12849125907684308</v>
      </c>
      <c r="O1938">
        <v>1.8875946808857954E-2</v>
      </c>
      <c r="P1938">
        <v>2.4635269740380633E-2</v>
      </c>
      <c r="Q1938">
        <v>5.0967238008498379E-3</v>
      </c>
      <c r="R1938">
        <v>1.5341692338212128E-3</v>
      </c>
      <c r="S1938">
        <v>0.21943400322459919</v>
      </c>
      <c r="T1938">
        <v>1.3092766869291832</v>
      </c>
      <c r="U1938">
        <v>0.13777109974661786</v>
      </c>
      <c r="V1938">
        <v>0.18313006704954285</v>
      </c>
      <c r="W1938">
        <v>8.6044354840009302E-2</v>
      </c>
      <c r="X1938">
        <v>1.3694520348872656E-2</v>
      </c>
      <c r="Y1938">
        <v>4.1755029157093324E-3</v>
      </c>
    </row>
    <row r="1939" spans="1:25" x14ac:dyDescent="0.25">
      <c r="A1939" s="1096"/>
      <c r="B1939" s="1455">
        <v>1689</v>
      </c>
      <c r="C1939" s="1100">
        <v>0.98670300324990967</v>
      </c>
      <c r="D1939" s="1100">
        <v>0.97627587755582879</v>
      </c>
      <c r="E1939" s="1100">
        <v>0.99341304232188843</v>
      </c>
      <c r="F1939" s="1100">
        <v>0.97071486601753831</v>
      </c>
      <c r="G1939" s="1100">
        <v>0.9555501978616231</v>
      </c>
      <c r="H1939" s="1100">
        <v>1.0372013373970204</v>
      </c>
      <c r="I1939" s="1100">
        <v>0.98444056071331598</v>
      </c>
      <c r="K1939">
        <v>2.1923928537481849</v>
      </c>
      <c r="L1939">
        <v>0</v>
      </c>
      <c r="M1939">
        <v>1.6569142805519306E-3</v>
      </c>
      <c r="N1939">
        <v>0.14776893711673117</v>
      </c>
      <c r="O1939">
        <v>2.0120224849451168E-2</v>
      </c>
      <c r="P1939">
        <v>2.5477195043698223E-2</v>
      </c>
      <c r="Q1939">
        <v>5.5739955413138444E-3</v>
      </c>
      <c r="R1939">
        <v>1.6344614577017749E-3</v>
      </c>
      <c r="S1939">
        <v>0.24681082941972948</v>
      </c>
      <c r="T1939">
        <v>1.3044987089701183</v>
      </c>
      <c r="U1939">
        <v>0.14468119334748647</v>
      </c>
      <c r="V1939">
        <v>0.18049543829298162</v>
      </c>
      <c r="W1939">
        <v>9.7455923753635931E-2</v>
      </c>
      <c r="X1939">
        <v>1.5084394948098148E-2</v>
      </c>
      <c r="Y1939">
        <v>4.4484652877895062E-3</v>
      </c>
    </row>
    <row r="1940" spans="1:25" x14ac:dyDescent="0.25">
      <c r="A1940" s="1096"/>
      <c r="B1940" s="1455">
        <v>1690</v>
      </c>
      <c r="C1940" s="1100">
        <v>1.0282038821559194</v>
      </c>
      <c r="D1940" s="1100">
        <v>0.98740590419973018</v>
      </c>
      <c r="E1940" s="1100">
        <v>0.98802810935009544</v>
      </c>
      <c r="F1940" s="1100">
        <v>0.96236095972882796</v>
      </c>
      <c r="G1940" s="1100">
        <v>1.0373208547543871</v>
      </c>
      <c r="H1940" s="1100">
        <v>1.0171215098794049</v>
      </c>
      <c r="I1940" s="1100">
        <v>1.0335874668260909</v>
      </c>
      <c r="K1940">
        <v>2.1628046722436203</v>
      </c>
      <c r="L1940">
        <v>0</v>
      </c>
      <c r="M1940">
        <v>1.5728161794929534E-3</v>
      </c>
      <c r="N1940">
        <v>0.13796626497333384</v>
      </c>
      <c r="O1940">
        <v>1.9256753515009061E-2</v>
      </c>
      <c r="P1940">
        <v>2.5219101660057745E-2</v>
      </c>
      <c r="Q1940">
        <v>5.3058379171918154E-3</v>
      </c>
      <c r="R1940">
        <v>1.5510822073441877E-3</v>
      </c>
      <c r="S1940">
        <v>0.24561094105610148</v>
      </c>
      <c r="T1940">
        <v>1.2932650790695803</v>
      </c>
      <c r="U1940">
        <v>0.13882945871972138</v>
      </c>
      <c r="V1940">
        <v>0.18730769953668336</v>
      </c>
      <c r="W1940">
        <v>9.1284742479235112E-2</v>
      </c>
      <c r="X1940">
        <v>1.4558992834576271E-2</v>
      </c>
      <c r="Y1940">
        <v>4.2215344542786476E-3</v>
      </c>
    </row>
    <row r="1941" spans="1:25" x14ac:dyDescent="0.25">
      <c r="A1941" s="1096"/>
      <c r="B1941" s="1455">
        <v>1691</v>
      </c>
      <c r="C1941" s="1100">
        <v>0.98595081558204423</v>
      </c>
      <c r="D1941" s="1100">
        <v>0.9757090149535036</v>
      </c>
      <c r="E1941" s="1100">
        <v>0.97479901688674875</v>
      </c>
      <c r="F1941" s="1100">
        <v>0.99030470879574484</v>
      </c>
      <c r="G1941" s="1100">
        <v>0.98375033050063176</v>
      </c>
      <c r="H1941" s="1100">
        <v>1.0020265918877171</v>
      </c>
      <c r="I1941" s="1100">
        <v>1.0106152801302168</v>
      </c>
      <c r="K1941">
        <v>2.2138819725683172</v>
      </c>
      <c r="L1941">
        <v>0</v>
      </c>
      <c r="M1941">
        <v>1.6650593096903868E-3</v>
      </c>
      <c r="N1941">
        <v>0.14029796748550821</v>
      </c>
      <c r="O1941">
        <v>2.0126320584072658E-2</v>
      </c>
      <c r="P1941">
        <v>2.5567672373207728E-2</v>
      </c>
      <c r="Q1941">
        <v>5.4714235011949679E-3</v>
      </c>
      <c r="R1941">
        <v>1.6417040641442298E-3</v>
      </c>
      <c r="S1941">
        <v>0.25058827819467627</v>
      </c>
      <c r="T1941">
        <v>1.3308016486976999</v>
      </c>
      <c r="U1941">
        <v>0.14474821613992436</v>
      </c>
      <c r="V1941">
        <v>0.1837127789133903</v>
      </c>
      <c r="W1941">
        <v>9.3571148911021779E-2</v>
      </c>
      <c r="X1941">
        <v>1.4551695738166056E-2</v>
      </c>
      <c r="Y1941">
        <v>4.4681772750012963E-3</v>
      </c>
    </row>
    <row r="1942" spans="1:25" x14ac:dyDescent="0.25">
      <c r="A1942" s="1096"/>
      <c r="B1942" s="1455">
        <v>1692</v>
      </c>
      <c r="C1942" s="1100">
        <v>1.012594518943962</v>
      </c>
      <c r="D1942" s="1100">
        <v>0.99549408149704599</v>
      </c>
      <c r="E1942" s="1100">
        <v>0.99588770692039286</v>
      </c>
      <c r="F1942" s="1100">
        <v>0.9826238036793562</v>
      </c>
      <c r="G1942" s="1100">
        <v>1.0168600086593875</v>
      </c>
      <c r="H1942" s="1100">
        <v>0.99916993764174977</v>
      </c>
      <c r="I1942" s="1100">
        <v>0.97012555928509581</v>
      </c>
      <c r="K1942">
        <v>2.178276839434989</v>
      </c>
      <c r="L1942">
        <v>0</v>
      </c>
      <c r="M1942">
        <v>1.5407678000255943E-3</v>
      </c>
      <c r="N1942">
        <v>0.13836983948180587</v>
      </c>
      <c r="O1942">
        <v>1.9523385347650378E-2</v>
      </c>
      <c r="P1942">
        <v>2.5561257484908961E-2</v>
      </c>
      <c r="Q1942">
        <v>5.4221611229984213E-3</v>
      </c>
      <c r="R1942">
        <v>1.5190941622036684E-3</v>
      </c>
      <c r="S1942">
        <v>0.23181317854172998</v>
      </c>
      <c r="T1942">
        <v>1.3205061665810907</v>
      </c>
      <c r="U1942">
        <v>0.14098739226038354</v>
      </c>
      <c r="V1942">
        <v>0.18589072354346484</v>
      </c>
      <c r="W1942">
        <v>9.1122381667516988E-2</v>
      </c>
      <c r="X1942">
        <v>1.4967553500997639E-2</v>
      </c>
      <c r="Y1942">
        <v>4.1344735402623987E-3</v>
      </c>
    </row>
    <row r="1943" spans="1:25" x14ac:dyDescent="0.25">
      <c r="A1943" s="1096"/>
      <c r="B1943" s="1455">
        <v>1693</v>
      </c>
      <c r="C1943" s="1100">
        <v>1.0177361023190148</v>
      </c>
      <c r="D1943" s="1100">
        <v>0.97412305019412049</v>
      </c>
      <c r="E1943" s="1100">
        <v>1.0000880112812995</v>
      </c>
      <c r="F1943" s="1100">
        <v>1.0249048547059689</v>
      </c>
      <c r="G1943" s="1100">
        <v>1.0072968489174778</v>
      </c>
      <c r="H1943" s="1100">
        <v>1.0430440492469211</v>
      </c>
      <c r="I1943" s="1100">
        <v>1.0091398472699866</v>
      </c>
      <c r="K1943">
        <v>2.2598616255346915</v>
      </c>
      <c r="L1943">
        <v>0</v>
      </c>
      <c r="M1943">
        <v>1.5940122116673448E-3</v>
      </c>
      <c r="N1943">
        <v>0.1450669463280326</v>
      </c>
      <c r="O1943">
        <v>1.9520307888368154E-2</v>
      </c>
      <c r="P1943">
        <v>2.6583265817962744E-2</v>
      </c>
      <c r="Q1943">
        <v>5.4442695193320286E-3</v>
      </c>
      <c r="R1943">
        <v>1.5725327708316498E-3</v>
      </c>
      <c r="S1943">
        <v>0.24607742656924397</v>
      </c>
      <c r="T1943">
        <v>1.3773325309228219</v>
      </c>
      <c r="U1943">
        <v>0.14028462554288304</v>
      </c>
      <c r="V1943">
        <v>0.1845173743620285</v>
      </c>
      <c r="W1943">
        <v>9.529413750869993E-2</v>
      </c>
      <c r="X1943">
        <v>1.5482304699238416E-2</v>
      </c>
      <c r="Y1943">
        <v>4.2799158169151653E-3</v>
      </c>
    </row>
    <row r="1944" spans="1:25" x14ac:dyDescent="0.25">
      <c r="A1944" s="1096"/>
      <c r="B1944" s="1455">
        <v>1694</v>
      </c>
      <c r="C1944" s="1100">
        <v>1.013127955192465</v>
      </c>
      <c r="D1944" s="1100">
        <v>1.0251039478196267</v>
      </c>
      <c r="E1944" s="1100">
        <v>0.98828567604138973</v>
      </c>
      <c r="F1944" s="1100">
        <v>0.98271921455482403</v>
      </c>
      <c r="G1944" s="1100">
        <v>1.0049528422225362</v>
      </c>
      <c r="H1944" s="1100">
        <v>1.0334135633071349</v>
      </c>
      <c r="I1944" s="1100">
        <v>0.97735075712013753</v>
      </c>
      <c r="K1944">
        <v>2.182293469336734</v>
      </c>
      <c r="L1944">
        <v>0</v>
      </c>
      <c r="M1944">
        <v>1.6076175701798961E-3</v>
      </c>
      <c r="N1944">
        <v>0.14116006748461901</v>
      </c>
      <c r="O1944">
        <v>1.9383029783755557E-2</v>
      </c>
      <c r="P1944">
        <v>2.5408249593409874E-2</v>
      </c>
      <c r="Q1944">
        <v>5.3420229608980496E-3</v>
      </c>
      <c r="R1944">
        <v>1.5857529184684996E-3</v>
      </c>
      <c r="S1944">
        <v>0.23261462110570058</v>
      </c>
      <c r="T1944">
        <v>1.3206237792052824</v>
      </c>
      <c r="U1944">
        <v>0.14089590516646425</v>
      </c>
      <c r="V1944">
        <v>0.18450744768203733</v>
      </c>
      <c r="W1944">
        <v>9.3383476133635027E-2</v>
      </c>
      <c r="X1944">
        <v>1.4680838171877045E-2</v>
      </c>
      <c r="Y1944">
        <v>4.3158967007621745E-3</v>
      </c>
    </row>
    <row r="1945" spans="1:25" x14ac:dyDescent="0.25">
      <c r="A1945" s="1096"/>
      <c r="B1945" s="1455">
        <v>1695</v>
      </c>
      <c r="C1945" s="1100">
        <v>1.0038816764311844</v>
      </c>
      <c r="D1945" s="1100">
        <v>0.99397942445552867</v>
      </c>
      <c r="E1945" s="1100">
        <v>1.0119129211416744</v>
      </c>
      <c r="F1945" s="1100">
        <v>1.0261513826386077</v>
      </c>
      <c r="G1945" s="1100">
        <v>1.0036058520801308</v>
      </c>
      <c r="H1945" s="1100">
        <v>0.99766082537500811</v>
      </c>
      <c r="I1945" s="1100">
        <v>0.99286823743519292</v>
      </c>
      <c r="K1945">
        <v>2.2515063730532443</v>
      </c>
      <c r="L1945">
        <v>0</v>
      </c>
      <c r="M1945">
        <v>1.5015303829942186E-3</v>
      </c>
      <c r="N1945">
        <v>0.14153036077786374</v>
      </c>
      <c r="O1945">
        <v>1.9709420850841992E-2</v>
      </c>
      <c r="P1945">
        <v>2.6782554314100905E-2</v>
      </c>
      <c r="Q1945">
        <v>5.5625230012818572E-3</v>
      </c>
      <c r="R1945">
        <v>1.4803767394440952E-3</v>
      </c>
      <c r="S1945">
        <v>0.23949040361519275</v>
      </c>
      <c r="T1945">
        <v>1.3790285891493002</v>
      </c>
      <c r="U1945">
        <v>0.14224781803886763</v>
      </c>
      <c r="V1945">
        <v>0.18491507597844242</v>
      </c>
      <c r="W1945">
        <v>9.232290791875801E-2</v>
      </c>
      <c r="X1945">
        <v>1.5908775573438415E-2</v>
      </c>
      <c r="Y1945">
        <v>4.0290974787058247E-3</v>
      </c>
    </row>
    <row r="1946" spans="1:25" x14ac:dyDescent="0.25">
      <c r="A1946" s="1096"/>
      <c r="B1946" s="1455">
        <v>1696</v>
      </c>
      <c r="C1946" s="1100">
        <v>0.99213843658876089</v>
      </c>
      <c r="D1946" s="1100">
        <v>1.0268166213100625</v>
      </c>
      <c r="E1946" s="1100">
        <v>1.0293675728553735</v>
      </c>
      <c r="F1946" s="1100">
        <v>0.99995140449912423</v>
      </c>
      <c r="G1946" s="1100">
        <v>1.006746190021178</v>
      </c>
      <c r="H1946" s="1100">
        <v>0.99623545062300467</v>
      </c>
      <c r="I1946" s="1100">
        <v>1.0239859223019823</v>
      </c>
      <c r="K1946">
        <v>2.2298355173880906</v>
      </c>
      <c r="L1946">
        <v>0</v>
      </c>
      <c r="M1946">
        <v>1.4525937706016676E-3</v>
      </c>
      <c r="N1946">
        <v>0.14431727585484938</v>
      </c>
      <c r="O1946">
        <v>1.9811576621729259E-2</v>
      </c>
      <c r="P1946">
        <v>2.6765346985923411E-2</v>
      </c>
      <c r="Q1946">
        <v>5.6891901745072873E-3</v>
      </c>
      <c r="R1946">
        <v>1.4321002693598642E-3</v>
      </c>
      <c r="S1946">
        <v>0.24592928077389759</v>
      </c>
      <c r="T1946">
        <v>1.3438543952159874</v>
      </c>
      <c r="U1946">
        <v>0.14397213662379374</v>
      </c>
      <c r="V1946">
        <v>0.18598568891821121</v>
      </c>
      <c r="W1946">
        <v>9.3184869462394682E-2</v>
      </c>
      <c r="X1946">
        <v>1.6448545416568004E-2</v>
      </c>
      <c r="Y1946">
        <v>3.8977048414706324E-3</v>
      </c>
    </row>
    <row r="1947" spans="1:25" x14ac:dyDescent="0.25">
      <c r="A1947" s="1096"/>
      <c r="B1947" s="1455">
        <v>1697</v>
      </c>
      <c r="C1947" s="1100">
        <v>0.98962906344110413</v>
      </c>
      <c r="D1947" s="1100">
        <v>0.99850055319369613</v>
      </c>
      <c r="E1947" s="1100">
        <v>1.0339260867550455</v>
      </c>
      <c r="F1947" s="1100">
        <v>1.0223928719467741</v>
      </c>
      <c r="G1947" s="1100">
        <v>0.98640950978147957</v>
      </c>
      <c r="H1947" s="1100">
        <v>0.9617730828639165</v>
      </c>
      <c r="I1947" s="1100">
        <v>1.0024958524238556</v>
      </c>
      <c r="K1947">
        <v>2.2495379420525414</v>
      </c>
      <c r="L1947">
        <v>0</v>
      </c>
      <c r="M1947">
        <v>1.401199908034844E-3</v>
      </c>
      <c r="N1947">
        <v>0.14106485973545821</v>
      </c>
      <c r="O1947">
        <v>1.9987272109562908E-2</v>
      </c>
      <c r="P1947">
        <v>2.7196155091958447E-2</v>
      </c>
      <c r="Q1947">
        <v>5.765547124363877E-3</v>
      </c>
      <c r="R1947">
        <v>1.3807231377279364E-3</v>
      </c>
      <c r="S1947">
        <v>0.24199352178852376</v>
      </c>
      <c r="T1947">
        <v>1.3740245074707</v>
      </c>
      <c r="U1947">
        <v>0.14434785812357209</v>
      </c>
      <c r="V1947">
        <v>0.18384306153808841</v>
      </c>
      <c r="W1947">
        <v>9.0844411040262085E-2</v>
      </c>
      <c r="X1947">
        <v>1.6733351574723096E-2</v>
      </c>
      <c r="Y1947">
        <v>3.7578732256354163E-3</v>
      </c>
    </row>
    <row r="1948" spans="1:25" x14ac:dyDescent="0.25">
      <c r="A1948" s="1096"/>
      <c r="B1948" s="1455">
        <v>1698</v>
      </c>
      <c r="C1948" s="1100">
        <v>1.0215051398977453</v>
      </c>
      <c r="D1948" s="1100">
        <v>1.0001405150784461</v>
      </c>
      <c r="E1948" s="1100">
        <v>0.98194162393010365</v>
      </c>
      <c r="F1948" s="1100">
        <v>1.0365195132837843</v>
      </c>
      <c r="G1948" s="1100">
        <v>0.95837479139743731</v>
      </c>
      <c r="H1948" s="1100">
        <v>0.99186930714505439</v>
      </c>
      <c r="I1948" s="1100">
        <v>0.9986256180319929</v>
      </c>
      <c r="K1948">
        <v>2.2397693775309175</v>
      </c>
      <c r="L1948">
        <v>0</v>
      </c>
      <c r="M1948">
        <v>1.5589926444676734E-3</v>
      </c>
      <c r="N1948">
        <v>0.13421132708406613</v>
      </c>
      <c r="O1948">
        <v>1.9324753052921747E-2</v>
      </c>
      <c r="P1948">
        <v>2.6202939975365814E-2</v>
      </c>
      <c r="Q1948">
        <v>5.2918268232283851E-3</v>
      </c>
      <c r="R1948">
        <v>1.5369012265499095E-3</v>
      </c>
      <c r="S1948">
        <v>0.2353172333599248</v>
      </c>
      <c r="T1948">
        <v>1.3929147914739319</v>
      </c>
      <c r="U1948">
        <v>0.13972617800089182</v>
      </c>
      <c r="V1948">
        <v>0.17875681027235041</v>
      </c>
      <c r="W1948">
        <v>8.9125970457683446E-2</v>
      </c>
      <c r="X1948">
        <v>1.473669994915257E-2</v>
      </c>
      <c r="Y1948">
        <v>4.1829384993156849E-3</v>
      </c>
    </row>
    <row r="1949" spans="1:25" x14ac:dyDescent="0.25">
      <c r="A1949" s="1096"/>
      <c r="B1949" s="1455">
        <v>1699</v>
      </c>
      <c r="C1949" s="1100">
        <v>1.0055140765628623</v>
      </c>
      <c r="D1949" s="1100">
        <v>1.0066816346526488</v>
      </c>
      <c r="E1949" s="1100">
        <v>1.0387190219551696</v>
      </c>
      <c r="F1949" s="1100">
        <v>1.0241470939187536</v>
      </c>
      <c r="G1949" s="1100">
        <v>1.00053051945087</v>
      </c>
      <c r="H1949" s="1100">
        <v>1.0002719471994923</v>
      </c>
      <c r="I1949" s="1100">
        <v>0.99826202147276599</v>
      </c>
      <c r="K1949">
        <v>2.2533725589393931</v>
      </c>
      <c r="L1949">
        <v>0</v>
      </c>
      <c r="M1949">
        <v>1.4174530176379993E-3</v>
      </c>
      <c r="N1949">
        <v>0.14485960709626108</v>
      </c>
      <c r="O1949">
        <v>1.9639221968906353E-2</v>
      </c>
      <c r="P1949">
        <v>2.7263069951824141E-2</v>
      </c>
      <c r="Q1949">
        <v>5.691964329645003E-3</v>
      </c>
      <c r="R1949">
        <v>1.3975359884129039E-3</v>
      </c>
      <c r="S1949">
        <v>0.2392933601918</v>
      </c>
      <c r="T1949">
        <v>1.3763936891000847</v>
      </c>
      <c r="U1949">
        <v>0.14207849870430855</v>
      </c>
      <c r="V1949">
        <v>0.18449606816839326</v>
      </c>
      <c r="W1949">
        <v>9.3030287592723915E-2</v>
      </c>
      <c r="X1949">
        <v>1.6843076601823579E-2</v>
      </c>
      <c r="Y1949">
        <v>3.8036322628451596E-3</v>
      </c>
    </row>
    <row r="1950" spans="1:25" x14ac:dyDescent="0.25">
      <c r="A1950" s="1096"/>
      <c r="B1950" s="1455">
        <v>1700</v>
      </c>
      <c r="C1950" s="1100">
        <v>1.0354723440498008</v>
      </c>
      <c r="D1950" s="1100">
        <v>1.0366675695541345</v>
      </c>
      <c r="E1950" s="1100">
        <v>1.0117146812455602</v>
      </c>
      <c r="F1950" s="1100">
        <v>1.0146720365978783</v>
      </c>
      <c r="G1950" s="1100">
        <v>0.99582203018900184</v>
      </c>
      <c r="H1950" s="1100">
        <v>1.0392705424379005</v>
      </c>
      <c r="I1950" s="1100">
        <v>0.98807247088536387</v>
      </c>
      <c r="K1950">
        <v>2.2174390038487717</v>
      </c>
      <c r="L1950">
        <v>0</v>
      </c>
      <c r="M1950">
        <v>1.5030903663132424E-3</v>
      </c>
      <c r="N1950">
        <v>0.14167365197224732</v>
      </c>
      <c r="O1950">
        <v>1.8932043494062575E-2</v>
      </c>
      <c r="P1950">
        <v>2.6331286613592308E-2</v>
      </c>
      <c r="Q1950">
        <v>5.3420687521239145E-3</v>
      </c>
      <c r="R1950">
        <v>1.4827625629697911E-3</v>
      </c>
      <c r="S1950">
        <v>0.22944030281015282</v>
      </c>
      <c r="T1950">
        <v>1.3636013062365013</v>
      </c>
      <c r="U1950">
        <v>0.137907614451445</v>
      </c>
      <c r="V1950">
        <v>0.18223184356286121</v>
      </c>
      <c r="W1950">
        <v>9.2427167884488418E-2</v>
      </c>
      <c r="X1950">
        <v>1.5536454970780345E-2</v>
      </c>
      <c r="Y1950">
        <v>4.0355909038562532E-3</v>
      </c>
    </row>
    <row r="1951" spans="1:25" x14ac:dyDescent="0.25">
      <c r="A1951" s="1096"/>
      <c r="B1951" s="1455">
        <v>1701</v>
      </c>
      <c r="C1951" s="1100">
        <v>1.0172204583163875</v>
      </c>
      <c r="D1951" s="1100">
        <v>1.0182477883368126</v>
      </c>
      <c r="E1951" s="1100">
        <v>0.99194048852730288</v>
      </c>
      <c r="F1951" s="1100">
        <v>0.98345370902250706</v>
      </c>
      <c r="G1951" s="1100">
        <v>1.0190041328038935</v>
      </c>
      <c r="H1951" s="1100">
        <v>1.0081049139037128</v>
      </c>
      <c r="I1951" s="1100">
        <v>1.0174257848910744</v>
      </c>
      <c r="K1951">
        <v>2.1857858754719235</v>
      </c>
      <c r="L1951">
        <v>0</v>
      </c>
      <c r="M1951">
        <v>1.5524489097058949E-3</v>
      </c>
      <c r="N1951">
        <v>0.13778280594318959</v>
      </c>
      <c r="O1951">
        <v>1.9335801794612334E-2</v>
      </c>
      <c r="P1951">
        <v>2.5602453806072217E-2</v>
      </c>
      <c r="Q1951">
        <v>5.3487281478447352E-3</v>
      </c>
      <c r="R1951">
        <v>1.5308045091790047E-3</v>
      </c>
      <c r="S1951">
        <v>0.23998546464243045</v>
      </c>
      <c r="T1951">
        <v>1.3216157748563446</v>
      </c>
      <c r="U1951">
        <v>0.14033730885356216</v>
      </c>
      <c r="V1951">
        <v>0.18586333435982627</v>
      </c>
      <c r="W1951">
        <v>9.0949940692999429E-2</v>
      </c>
      <c r="X1951">
        <v>1.4819561531153989E-2</v>
      </c>
      <c r="Y1951">
        <v>4.166345244414422E-3</v>
      </c>
    </row>
    <row r="1952" spans="1:25" x14ac:dyDescent="0.25">
      <c r="A1952" s="1096"/>
      <c r="B1952" s="1455">
        <v>1702</v>
      </c>
      <c r="C1952" s="1100">
        <v>0.99686156082733846</v>
      </c>
      <c r="D1952" s="1100">
        <v>1.0122491537940206</v>
      </c>
      <c r="E1952" s="1100">
        <v>1.0050723808139537</v>
      </c>
      <c r="F1952" s="1100">
        <v>1.007025603453795</v>
      </c>
      <c r="G1952" s="1100">
        <v>0.99376253427152861</v>
      </c>
      <c r="H1952" s="1100">
        <v>1.0061947946813783</v>
      </c>
      <c r="I1952" s="1100">
        <v>1.015229577207349</v>
      </c>
      <c r="K1952">
        <v>2.2326198487310798</v>
      </c>
      <c r="L1952">
        <v>0</v>
      </c>
      <c r="M1952">
        <v>1.5406755356871006E-3</v>
      </c>
      <c r="N1952">
        <v>0.1422687278085196</v>
      </c>
      <c r="O1952">
        <v>1.9764566017883973E-2</v>
      </c>
      <c r="P1952">
        <v>2.6374840416937783E-2</v>
      </c>
      <c r="Q1952">
        <v>5.5400416374170019E-3</v>
      </c>
      <c r="R1952">
        <v>1.5191545034964633E-3</v>
      </c>
      <c r="S1952">
        <v>0.24502152732147855</v>
      </c>
      <c r="T1952">
        <v>1.3533135245195891</v>
      </c>
      <c r="U1952">
        <v>0.14323373860867661</v>
      </c>
      <c r="V1952">
        <v>0.18421254956363523</v>
      </c>
      <c r="W1952">
        <v>9.3180107930515163E-2</v>
      </c>
      <c r="X1952">
        <v>1.5597108169244797E-2</v>
      </c>
      <c r="Y1952">
        <v>4.1346377693698847E-3</v>
      </c>
    </row>
    <row r="1953" spans="1:25" x14ac:dyDescent="0.25">
      <c r="A1953" s="1096"/>
      <c r="B1953" s="1455">
        <v>1703</v>
      </c>
      <c r="C1953" s="1100">
        <v>0.99359859840810516</v>
      </c>
      <c r="D1953" s="1100">
        <v>0.99918063879301489</v>
      </c>
      <c r="E1953" s="1100">
        <v>0.96100161643814874</v>
      </c>
      <c r="F1953" s="1100">
        <v>0.97226742871732852</v>
      </c>
      <c r="G1953" s="1100">
        <v>1.0348510044858195</v>
      </c>
      <c r="H1953" s="1100">
        <v>1.0064739370487428</v>
      </c>
      <c r="I1953" s="1100">
        <v>1.0177634686374537</v>
      </c>
      <c r="K1953">
        <v>2.1850914350609059</v>
      </c>
      <c r="L1953">
        <v>0</v>
      </c>
      <c r="M1953">
        <v>1.6986048804009017E-3</v>
      </c>
      <c r="N1953">
        <v>0.13727612864512811</v>
      </c>
      <c r="O1953">
        <v>1.9858605675135407E-2</v>
      </c>
      <c r="P1953">
        <v>2.4994098210395145E-2</v>
      </c>
      <c r="Q1953">
        <v>5.3229584223080922E-3</v>
      </c>
      <c r="R1953">
        <v>1.6748843819264145E-3</v>
      </c>
      <c r="S1953">
        <v>0.24771589266617877</v>
      </c>
      <c r="T1953">
        <v>1.3065507141208632</v>
      </c>
      <c r="U1953">
        <v>0.14360227811771911</v>
      </c>
      <c r="V1953">
        <v>0.18901513915415757</v>
      </c>
      <c r="W1953">
        <v>9.2329126911579171E-2</v>
      </c>
      <c r="X1953">
        <v>1.3891730473800613E-2</v>
      </c>
      <c r="Y1953">
        <v>4.5584831621155852E-3</v>
      </c>
    </row>
    <row r="1954" spans="1:25" x14ac:dyDescent="0.25">
      <c r="A1954" s="1096"/>
      <c r="B1954" s="1455">
        <v>1704</v>
      </c>
      <c r="C1954" s="1100">
        <v>1.0096105533527246</v>
      </c>
      <c r="D1954" s="1100">
        <v>1.0191857263787423</v>
      </c>
      <c r="E1954" s="1100">
        <v>0.97308267167904405</v>
      </c>
      <c r="F1954" s="1100">
        <v>0.9796712558389099</v>
      </c>
      <c r="G1954" s="1100">
        <v>0.96816443035880562</v>
      </c>
      <c r="H1954" s="1100">
        <v>0.97947956216460752</v>
      </c>
      <c r="I1954" s="1100">
        <v>0.97479780819144091</v>
      </c>
      <c r="K1954">
        <v>2.156430244614659</v>
      </c>
      <c r="L1954">
        <v>0</v>
      </c>
      <c r="M1954">
        <v>1.5798715316354792E-3</v>
      </c>
      <c r="N1954">
        <v>0.13238685617779791</v>
      </c>
      <c r="O1954">
        <v>1.946601252014846E-2</v>
      </c>
      <c r="P1954">
        <v>2.4969488502958839E-2</v>
      </c>
      <c r="Q1954">
        <v>5.282661229328179E-3</v>
      </c>
      <c r="R1954">
        <v>1.5572010695720307E-3</v>
      </c>
      <c r="S1954">
        <v>0.22921657277434287</v>
      </c>
      <c r="T1954">
        <v>1.3165103746897078</v>
      </c>
      <c r="U1954">
        <v>0.14135221387021199</v>
      </c>
      <c r="V1954">
        <v>0.18053999130352552</v>
      </c>
      <c r="W1954">
        <v>8.8386860747370358E-2</v>
      </c>
      <c r="X1954">
        <v>1.4103695281148191E-2</v>
      </c>
      <c r="Y1954">
        <v>4.2381879801804447E-3</v>
      </c>
    </row>
    <row r="1955" spans="1:25" x14ac:dyDescent="0.25">
      <c r="A1955" s="1096"/>
      <c r="B1955" s="1455">
        <v>1705</v>
      </c>
      <c r="C1955" s="1100">
        <v>1.0291503802624968</v>
      </c>
      <c r="D1955" s="1100">
        <v>0.97398205710345753</v>
      </c>
      <c r="E1955" s="1100">
        <v>0.99951374028773454</v>
      </c>
      <c r="F1955" s="1100">
        <v>1.0085040821843099</v>
      </c>
      <c r="G1955" s="1100">
        <v>1.0166530874199147</v>
      </c>
      <c r="H1955" s="1100">
        <v>0.96998876909501364</v>
      </c>
      <c r="I1955" s="1100">
        <v>1.0009871559925436</v>
      </c>
      <c r="K1955">
        <v>2.205229760447359</v>
      </c>
      <c r="L1955">
        <v>0</v>
      </c>
      <c r="M1955">
        <v>1.4677199377204535E-3</v>
      </c>
      <c r="N1955">
        <v>0.13320468496625235</v>
      </c>
      <c r="O1955">
        <v>1.9304072850226579E-2</v>
      </c>
      <c r="P1955">
        <v>2.6113625688107767E-2</v>
      </c>
      <c r="Q1955">
        <v>5.3808536392692431E-3</v>
      </c>
      <c r="R1955">
        <v>1.4464527303967027E-3</v>
      </c>
      <c r="S1955">
        <v>0.23566811384487785</v>
      </c>
      <c r="T1955">
        <v>1.3552912069101981</v>
      </c>
      <c r="U1955">
        <v>0.13872744803956161</v>
      </c>
      <c r="V1955">
        <v>0.18492798479323322</v>
      </c>
      <c r="W1955">
        <v>8.7531721291088244E-2</v>
      </c>
      <c r="X1955">
        <v>1.5164548122743472E-2</v>
      </c>
      <c r="Y1955">
        <v>3.936767509125398E-3</v>
      </c>
    </row>
    <row r="1956" spans="1:25" x14ac:dyDescent="0.25">
      <c r="A1956" s="1096"/>
      <c r="B1956" s="1455">
        <v>1706</v>
      </c>
      <c r="C1956" s="1100">
        <v>1.0222677005014897</v>
      </c>
      <c r="D1956" s="1100">
        <v>0.99876632765586237</v>
      </c>
      <c r="E1956" s="1100">
        <v>0.97808092741942532</v>
      </c>
      <c r="F1956" s="1100">
        <v>0.98997636728805738</v>
      </c>
      <c r="G1956" s="1100">
        <v>0.97996778745491597</v>
      </c>
      <c r="H1956" s="1100">
        <v>1.0325657025591968</v>
      </c>
      <c r="I1956" s="1100">
        <v>0.99421580804205778</v>
      </c>
      <c r="K1956">
        <v>2.1890641431843845</v>
      </c>
      <c r="L1956">
        <v>0</v>
      </c>
      <c r="M1956">
        <v>1.6352404221833541E-3</v>
      </c>
      <c r="N1956">
        <v>0.13921935864155327</v>
      </c>
      <c r="O1956">
        <v>1.9313827555786676E-2</v>
      </c>
      <c r="P1956">
        <v>2.5345505921561463E-2</v>
      </c>
      <c r="Q1956">
        <v>5.2681224007970415E-3</v>
      </c>
      <c r="R1956">
        <v>1.6129818195986974E-3</v>
      </c>
      <c r="S1956">
        <v>0.23740604069812082</v>
      </c>
      <c r="T1956">
        <v>1.330363908575795</v>
      </c>
      <c r="U1956">
        <v>0.13961328225967962</v>
      </c>
      <c r="V1956">
        <v>0.18115119607872074</v>
      </c>
      <c r="W1956">
        <v>9.2667434401920531E-2</v>
      </c>
      <c r="X1956">
        <v>1.4347720459400711E-2</v>
      </c>
      <c r="Y1956">
        <v>4.3900047936337276E-3</v>
      </c>
    </row>
    <row r="1957" spans="1:25" x14ac:dyDescent="0.25">
      <c r="A1957" s="1096"/>
      <c r="B1957" s="1455">
        <v>1707</v>
      </c>
      <c r="C1957" s="1100">
        <v>1.015707369770338</v>
      </c>
      <c r="D1957" s="1100">
        <v>0.99863861508267304</v>
      </c>
      <c r="E1957" s="1100">
        <v>1.0389912837727884</v>
      </c>
      <c r="F1957" s="1100">
        <v>0.98379181716406727</v>
      </c>
      <c r="G1957" s="1100">
        <v>0.98992554539149313</v>
      </c>
      <c r="H1957" s="1100">
        <v>1.018403015256786</v>
      </c>
      <c r="I1957" s="1100">
        <v>0.97235578495940167</v>
      </c>
      <c r="K1957">
        <v>2.1907173142997198</v>
      </c>
      <c r="L1957">
        <v>0</v>
      </c>
      <c r="M1957">
        <v>1.430373755314727E-3</v>
      </c>
      <c r="N1957">
        <v>0.14633713845516688</v>
      </c>
      <c r="O1957">
        <v>1.947663925130742E-2</v>
      </c>
      <c r="P1957">
        <v>2.6374403390736822E-2</v>
      </c>
      <c r="Q1957">
        <v>5.6463559158641402E-3</v>
      </c>
      <c r="R1957">
        <v>1.4106329969117903E-3</v>
      </c>
      <c r="S1957">
        <v>0.23306353087877704</v>
      </c>
      <c r="T1957">
        <v>1.3221592104687636</v>
      </c>
      <c r="U1957">
        <v>0.14065326799682279</v>
      </c>
      <c r="V1957">
        <v>0.18270521717532623</v>
      </c>
      <c r="W1957">
        <v>9.3964424308636232E-2</v>
      </c>
      <c r="X1957">
        <v>1.6517589214167565E-2</v>
      </c>
      <c r="Y1957">
        <v>3.8392780025514376E-3</v>
      </c>
    </row>
    <row r="1958" spans="1:25" x14ac:dyDescent="0.25">
      <c r="A1958" s="1096"/>
      <c r="B1958" s="1455">
        <v>1708</v>
      </c>
      <c r="C1958" s="1100">
        <v>0.98809040762203271</v>
      </c>
      <c r="D1958" s="1100">
        <v>1.0122209598981393</v>
      </c>
      <c r="E1958" s="1100">
        <v>0.98434763374424528</v>
      </c>
      <c r="F1958" s="1100">
        <v>0.98997036970117636</v>
      </c>
      <c r="G1958" s="1100">
        <v>1.0057913236763432</v>
      </c>
      <c r="H1958" s="1100">
        <v>1.0145681067546333</v>
      </c>
      <c r="I1958" s="1100">
        <v>0.98038445046728673</v>
      </c>
      <c r="K1958">
        <v>2.2063394300127843</v>
      </c>
      <c r="L1958">
        <v>0</v>
      </c>
      <c r="M1958">
        <v>1.636084763560713E-3</v>
      </c>
      <c r="N1958">
        <v>0.14192254089557679</v>
      </c>
      <c r="O1958">
        <v>1.9927079484120615E-2</v>
      </c>
      <c r="P1958">
        <v>2.5622562664565335E-2</v>
      </c>
      <c r="Q1958">
        <v>5.4701031881951561E-3</v>
      </c>
      <c r="R1958">
        <v>1.6134196149460256E-3</v>
      </c>
      <c r="S1958">
        <v>0.23922282629133346</v>
      </c>
      <c r="T1958">
        <v>1.3303631764517765</v>
      </c>
      <c r="U1958">
        <v>0.14445695692997892</v>
      </c>
      <c r="V1958">
        <v>0.18608229113419111</v>
      </c>
      <c r="W1958">
        <v>9.4110288309227311E-2</v>
      </c>
      <c r="X1958">
        <v>1.4793073484181711E-2</v>
      </c>
      <c r="Y1958">
        <v>4.3911963282499576E-3</v>
      </c>
    </row>
    <row r="1959" spans="1:25" x14ac:dyDescent="0.25">
      <c r="A1959" s="1096"/>
      <c r="B1959" s="1455">
        <v>1709</v>
      </c>
      <c r="C1959" s="1100">
        <v>0.99129475420547397</v>
      </c>
      <c r="D1959" s="1100">
        <v>1.0164023859679021</v>
      </c>
      <c r="E1959" s="1100">
        <v>1.012177346865005</v>
      </c>
      <c r="F1959" s="1100">
        <v>1.0058553628263691</v>
      </c>
      <c r="G1959" s="1100">
        <v>1.0016350615578011</v>
      </c>
      <c r="H1959" s="1100">
        <v>0.98066307034784628</v>
      </c>
      <c r="I1959" s="1100">
        <v>1.0069096837217359</v>
      </c>
      <c r="K1959">
        <v>2.2265036522275721</v>
      </c>
      <c r="L1959">
        <v>0</v>
      </c>
      <c r="M1959">
        <v>1.486553935881431E-3</v>
      </c>
      <c r="N1959">
        <v>0.14019587262154978</v>
      </c>
      <c r="O1959">
        <v>1.9862128971059122E-2</v>
      </c>
      <c r="P1959">
        <v>2.6477149995558658E-2</v>
      </c>
      <c r="Q1959">
        <v>5.607101555375792E-3</v>
      </c>
      <c r="R1959">
        <v>1.4652482839853655E-3</v>
      </c>
      <c r="S1959">
        <v>0.24186542664058774</v>
      </c>
      <c r="T1959">
        <v>1.3517535822870443</v>
      </c>
      <c r="U1959">
        <v>0.14405461882942991</v>
      </c>
      <c r="V1959">
        <v>0.18544304738611625</v>
      </c>
      <c r="W1959">
        <v>9.1438160572319613E-2</v>
      </c>
      <c r="X1959">
        <v>1.5839946210386761E-2</v>
      </c>
      <c r="Y1959">
        <v>3.987922810041164E-3</v>
      </c>
    </row>
    <row r="1960" spans="1:25" x14ac:dyDescent="0.25">
      <c r="A1960" s="1096"/>
      <c r="B1960" s="1455">
        <v>1710</v>
      </c>
      <c r="C1960" s="1100">
        <v>0.9959363763986151</v>
      </c>
      <c r="D1960" s="1100">
        <v>1.0357951084920611</v>
      </c>
      <c r="E1960" s="1100">
        <v>0.99006045048806979</v>
      </c>
      <c r="F1960" s="1100">
        <v>0.98506632932932148</v>
      </c>
      <c r="G1960" s="1100">
        <v>0.97887369992982665</v>
      </c>
      <c r="H1960" s="1100">
        <v>1.0101247090615013</v>
      </c>
      <c r="I1960" s="1100">
        <v>1.0038373185496607</v>
      </c>
      <c r="K1960">
        <v>2.1923486665482224</v>
      </c>
      <c r="L1960">
        <v>0</v>
      </c>
      <c r="M1960">
        <v>1.5890181526377314E-3</v>
      </c>
      <c r="N1960">
        <v>0.14023306321013115</v>
      </c>
      <c r="O1960">
        <v>1.9673761419847658E-2</v>
      </c>
      <c r="P1960">
        <v>2.5591170631081708E-2</v>
      </c>
      <c r="Q1960">
        <v>5.4318893921309315E-3</v>
      </c>
      <c r="R1960">
        <v>1.566908198550452E-3</v>
      </c>
      <c r="S1960">
        <v>0.23995339034596422</v>
      </c>
      <c r="T1960">
        <v>1.3237803118261027</v>
      </c>
      <c r="U1960">
        <v>0.14333210709475197</v>
      </c>
      <c r="V1960">
        <v>0.18257159636000991</v>
      </c>
      <c r="W1960">
        <v>9.2671577625318635E-2</v>
      </c>
      <c r="X1960">
        <v>1.4867301011664343E-2</v>
      </c>
      <c r="Y1960">
        <v>4.2646075853054986E-3</v>
      </c>
    </row>
    <row r="1961" spans="1:25" x14ac:dyDescent="0.25">
      <c r="A1961" s="1096"/>
      <c r="B1961" s="1455">
        <v>1711</v>
      </c>
      <c r="C1961" s="1100">
        <v>0.99249300995943879</v>
      </c>
      <c r="D1961" s="1100">
        <v>1.0235739681675926</v>
      </c>
      <c r="E1961" s="1100">
        <v>1.019459184683807</v>
      </c>
      <c r="F1961" s="1100">
        <v>0.95760460728280972</v>
      </c>
      <c r="G1961" s="1100">
        <v>1.0165206783009624</v>
      </c>
      <c r="H1961" s="1100">
        <v>0.98778174321765411</v>
      </c>
      <c r="I1961" s="1100">
        <v>0.99665024169053762</v>
      </c>
      <c r="K1961">
        <v>2.1615286002478933</v>
      </c>
      <c r="L1961">
        <v>0</v>
      </c>
      <c r="M1961">
        <v>1.4707862451928974E-3</v>
      </c>
      <c r="N1961">
        <v>0.14180548037202126</v>
      </c>
      <c r="O1961">
        <v>1.981205720778665E-2</v>
      </c>
      <c r="P1961">
        <v>2.5701143869775671E-2</v>
      </c>
      <c r="Q1961">
        <v>5.6336957974080721E-3</v>
      </c>
      <c r="R1961">
        <v>1.4498584950519162E-3</v>
      </c>
      <c r="S1961">
        <v>0.23890161459131132</v>
      </c>
      <c r="T1961">
        <v>1.2869236139492219</v>
      </c>
      <c r="U1961">
        <v>0.14389763185400822</v>
      </c>
      <c r="V1961">
        <v>0.18705996363577918</v>
      </c>
      <c r="W1961">
        <v>9.209349621857614E-2</v>
      </c>
      <c r="X1961">
        <v>1.5774793624335932E-2</v>
      </c>
      <c r="Y1961">
        <v>3.9460368778068732E-3</v>
      </c>
    </row>
    <row r="1962" spans="1:25" x14ac:dyDescent="0.25">
      <c r="A1962" s="1096"/>
      <c r="B1962" s="1455">
        <v>1712</v>
      </c>
      <c r="C1962" s="1100">
        <v>1.0035865956784484</v>
      </c>
      <c r="D1962" s="1100">
        <v>0.96996235953852294</v>
      </c>
      <c r="E1962" s="1100">
        <v>0.96748352186904096</v>
      </c>
      <c r="F1962" s="1100">
        <v>1.0102481434252939</v>
      </c>
      <c r="G1962" s="1100">
        <v>0.98954699102113475</v>
      </c>
      <c r="H1962" s="1100">
        <v>0.98108487674076561</v>
      </c>
      <c r="I1962" s="1100">
        <v>1.035459422559641</v>
      </c>
      <c r="K1962">
        <v>2.2278166380787807</v>
      </c>
      <c r="L1962">
        <v>0</v>
      </c>
      <c r="M1962">
        <v>1.6281034844815104E-3</v>
      </c>
      <c r="N1962">
        <v>0.13413828434895553</v>
      </c>
      <c r="O1962">
        <v>1.9793795735324991E-2</v>
      </c>
      <c r="P1962">
        <v>2.5750023854167272E-2</v>
      </c>
      <c r="Q1962">
        <v>5.3409667504326361E-3</v>
      </c>
      <c r="R1962">
        <v>1.6047791424427329E-3</v>
      </c>
      <c r="S1962">
        <v>0.25118625956565299</v>
      </c>
      <c r="T1962">
        <v>1.3575951614778914</v>
      </c>
      <c r="U1962">
        <v>0.1421878877140107</v>
      </c>
      <c r="V1962">
        <v>0.18330507040697061</v>
      </c>
      <c r="W1962">
        <v>8.9861829802346402E-2</v>
      </c>
      <c r="X1962">
        <v>1.4313002954637133E-2</v>
      </c>
      <c r="Y1962">
        <v>4.3676798104269887E-3</v>
      </c>
    </row>
    <row r="1963" spans="1:25" x14ac:dyDescent="0.25">
      <c r="A1963" s="1096"/>
      <c r="B1963" s="1455">
        <v>1713</v>
      </c>
      <c r="C1963" s="1100">
        <v>1.0144426442738881</v>
      </c>
      <c r="D1963" s="1100">
        <v>0.99701076595449756</v>
      </c>
      <c r="E1963" s="1100">
        <v>0.96125250675393947</v>
      </c>
      <c r="F1963" s="1100">
        <v>1.0171113392893791</v>
      </c>
      <c r="G1963" s="1100">
        <v>0.98689128423780592</v>
      </c>
      <c r="H1963" s="1100">
        <v>1.0009058053573183</v>
      </c>
      <c r="I1963" s="1100">
        <v>0.96855704323662872</v>
      </c>
      <c r="K1963">
        <v>2.2128164851237675</v>
      </c>
      <c r="L1963">
        <v>0</v>
      </c>
      <c r="M1963">
        <v>1.654434628834973E-3</v>
      </c>
      <c r="N1963">
        <v>0.13379755710734315</v>
      </c>
      <c r="O1963">
        <v>1.946002387715403E-2</v>
      </c>
      <c r="P1963">
        <v>2.5444890017094882E-2</v>
      </c>
      <c r="Q1963">
        <v>5.2174657818191677E-3</v>
      </c>
      <c r="R1963">
        <v>1.6312024265555563E-3</v>
      </c>
      <c r="S1963">
        <v>0.23072195014179037</v>
      </c>
      <c r="T1963">
        <v>1.3668129671290661</v>
      </c>
      <c r="U1963">
        <v>0.14065220641603382</v>
      </c>
      <c r="V1963">
        <v>0.18236755659052922</v>
      </c>
      <c r="W1963">
        <v>8.9975672966554857E-2</v>
      </c>
      <c r="X1963">
        <v>1.3949832019309978E-2</v>
      </c>
      <c r="Y1963">
        <v>4.4395952793488281E-3</v>
      </c>
    </row>
    <row r="1964" spans="1:25" x14ac:dyDescent="0.25">
      <c r="A1964" s="1096"/>
      <c r="B1964" s="1455">
        <v>1714</v>
      </c>
      <c r="C1964" s="1100">
        <v>0.98479669099461764</v>
      </c>
      <c r="D1964" s="1100">
        <v>1.0257969760213177</v>
      </c>
      <c r="E1964" s="1100">
        <v>0.98241361041894892</v>
      </c>
      <c r="F1964" s="1100">
        <v>1.0241425897216045</v>
      </c>
      <c r="G1964" s="1100">
        <v>0.9977951907096646</v>
      </c>
      <c r="H1964" s="1100">
        <v>0.99958762051705241</v>
      </c>
      <c r="I1964" s="1100">
        <v>1.009783405876775</v>
      </c>
      <c r="K1964">
        <v>2.2541671134956691</v>
      </c>
      <c r="L1964">
        <v>0</v>
      </c>
      <c r="M1964">
        <v>1.6190504002862854E-3</v>
      </c>
      <c r="N1964">
        <v>0.13959625772633172</v>
      </c>
      <c r="O1964">
        <v>1.9933993372027174E-2</v>
      </c>
      <c r="P1964">
        <v>2.6269452919081743E-2</v>
      </c>
      <c r="Q1964">
        <v>5.4612753063298615E-3</v>
      </c>
      <c r="R1964">
        <v>1.5962850951218514E-3</v>
      </c>
      <c r="S1964">
        <v>0.24435740749059601</v>
      </c>
      <c r="T1964">
        <v>1.3762827867274436</v>
      </c>
      <c r="U1964">
        <v>0.14493559317359947</v>
      </c>
      <c r="V1964">
        <v>0.1853774814947825</v>
      </c>
      <c r="W1964">
        <v>9.267558113524299E-2</v>
      </c>
      <c r="X1964">
        <v>1.4955487641716416E-2</v>
      </c>
      <c r="Y1964">
        <v>4.3445618136814974E-3</v>
      </c>
    </row>
    <row r="1965" spans="1:25" x14ac:dyDescent="0.25">
      <c r="A1965" s="1096"/>
      <c r="B1965" s="1455">
        <v>1715</v>
      </c>
      <c r="C1965" s="1100">
        <v>0.97520350691633706</v>
      </c>
      <c r="D1965" s="1100">
        <v>0.98988292334573491</v>
      </c>
      <c r="E1965" s="1100">
        <v>0.96696412387810105</v>
      </c>
      <c r="F1965" s="1100">
        <v>1.0004035635712905</v>
      </c>
      <c r="G1965" s="1100">
        <v>0.99304969958606792</v>
      </c>
      <c r="H1965" s="1100">
        <v>1.0179059440391023</v>
      </c>
      <c r="I1965" s="1100">
        <v>1.0072537662782837</v>
      </c>
      <c r="K1965">
        <v>2.2366293368675922</v>
      </c>
      <c r="L1965">
        <v>0</v>
      </c>
      <c r="M1965">
        <v>1.7324702196762482E-3</v>
      </c>
      <c r="N1965">
        <v>0.14258756303224759</v>
      </c>
      <c r="O1965">
        <v>2.0278657945015224E-2</v>
      </c>
      <c r="P1965">
        <v>2.565702209202788E-2</v>
      </c>
      <c r="Q1965">
        <v>5.4688887740900107E-3</v>
      </c>
      <c r="R1965">
        <v>1.7085485161027806E-3</v>
      </c>
      <c r="S1965">
        <v>0.25194424798794768</v>
      </c>
      <c r="T1965">
        <v>1.3443653313497348</v>
      </c>
      <c r="U1965">
        <v>0.14632501600746903</v>
      </c>
      <c r="V1965">
        <v>0.18542013795972884</v>
      </c>
      <c r="W1965">
        <v>9.5552433137784401E-2</v>
      </c>
      <c r="X1965">
        <v>1.4403854447155756E-2</v>
      </c>
      <c r="Y1965">
        <v>4.650105837964805E-3</v>
      </c>
    </row>
    <row r="1966" spans="1:25" x14ac:dyDescent="0.25">
      <c r="A1966" s="1096"/>
      <c r="B1966" s="1455">
        <v>1716</v>
      </c>
      <c r="C1966" s="1100">
        <v>0.99624475046787508</v>
      </c>
      <c r="D1966" s="1100">
        <v>1.0228043465826944</v>
      </c>
      <c r="E1966" s="1100">
        <v>1.0177569861320535</v>
      </c>
      <c r="F1966" s="1100">
        <v>0.98691539403607631</v>
      </c>
      <c r="G1966" s="1100">
        <v>0.97135405430495458</v>
      </c>
      <c r="H1966" s="1100">
        <v>1.0229020717771629</v>
      </c>
      <c r="I1966" s="1100">
        <v>1.0075975940669006</v>
      </c>
      <c r="K1966">
        <v>2.2076193279418712</v>
      </c>
      <c r="L1966">
        <v>0</v>
      </c>
      <c r="M1966">
        <v>1.5229783116832308E-3</v>
      </c>
      <c r="N1966">
        <v>0.14615778443708066</v>
      </c>
      <c r="O1966">
        <v>1.9739648676029529E-2</v>
      </c>
      <c r="P1966">
        <v>2.6196254884522454E-2</v>
      </c>
      <c r="Q1966">
        <v>5.6036080234412146E-3</v>
      </c>
      <c r="R1966">
        <v>1.5020519543292833E-3</v>
      </c>
      <c r="S1966">
        <v>0.24352709286011354</v>
      </c>
      <c r="T1966">
        <v>1.326310994705747</v>
      </c>
      <c r="U1966">
        <v>0.14335178533298479</v>
      </c>
      <c r="V1966">
        <v>0.18172799916296137</v>
      </c>
      <c r="W1966">
        <v>9.5014715824727994E-2</v>
      </c>
      <c r="X1966">
        <v>1.5922280123226083E-2</v>
      </c>
      <c r="Y1966">
        <v>4.0880902683906387E-3</v>
      </c>
    </row>
    <row r="1967" spans="1:25" x14ac:dyDescent="0.25">
      <c r="A1967" s="1096"/>
      <c r="B1967" s="1455">
        <v>1717</v>
      </c>
      <c r="C1967" s="1100">
        <v>1.005861920185342</v>
      </c>
      <c r="D1967" s="1100">
        <v>1.022045186189998</v>
      </c>
      <c r="E1967" s="1100">
        <v>1.0205237674004173</v>
      </c>
      <c r="F1967" s="1100">
        <v>0.97608641871754276</v>
      </c>
      <c r="G1967" s="1100">
        <v>0.98078050102934988</v>
      </c>
      <c r="H1967" s="1100">
        <v>0.96631850502574057</v>
      </c>
      <c r="I1967" s="1100">
        <v>1.0121411672585963</v>
      </c>
      <c r="K1967">
        <v>2.1704103470847782</v>
      </c>
      <c r="L1967">
        <v>0</v>
      </c>
      <c r="M1967">
        <v>1.4170291461371302E-3</v>
      </c>
      <c r="N1967">
        <v>0.13701804509686902</v>
      </c>
      <c r="O1967">
        <v>1.9555824450128156E-2</v>
      </c>
      <c r="P1967">
        <v>2.5957302399628433E-2</v>
      </c>
      <c r="Q1967">
        <v>5.5667226803755489E-3</v>
      </c>
      <c r="R1967">
        <v>1.3964184593449472E-3</v>
      </c>
      <c r="S1967">
        <v>0.23785268203782062</v>
      </c>
      <c r="T1967">
        <v>1.3117633986619475</v>
      </c>
      <c r="U1967">
        <v>0.14198753267044048</v>
      </c>
      <c r="V1967">
        <v>0.1822264979064144</v>
      </c>
      <c r="W1967">
        <v>8.8928960458178885E-2</v>
      </c>
      <c r="X1967">
        <v>1.5773400692652016E-2</v>
      </c>
      <c r="Y1967">
        <v>3.8005907171155392E-3</v>
      </c>
    </row>
    <row r="1968" spans="1:25" x14ac:dyDescent="0.25">
      <c r="A1968" s="1096"/>
      <c r="B1968" s="1455">
        <v>1718</v>
      </c>
      <c r="C1968" s="1100">
        <v>1.0367331580994625</v>
      </c>
      <c r="D1968" s="1100">
        <v>0.96555167243014539</v>
      </c>
      <c r="E1968" s="1100">
        <v>1.0217620308883613</v>
      </c>
      <c r="F1968" s="1100">
        <v>0.99393707186543612</v>
      </c>
      <c r="G1968" s="1100">
        <v>1.0071066875235983</v>
      </c>
      <c r="H1968" s="1100">
        <v>1.0320143564955786</v>
      </c>
      <c r="I1968" s="1100">
        <v>0.99248130831700809</v>
      </c>
      <c r="K1968">
        <v>2.2032243761323125</v>
      </c>
      <c r="L1968">
        <v>0</v>
      </c>
      <c r="M1968">
        <v>1.4829595245535699E-3</v>
      </c>
      <c r="N1968">
        <v>0.14406495330686611</v>
      </c>
      <c r="O1968">
        <v>1.9213096569042711E-2</v>
      </c>
      <c r="P1968">
        <v>2.6272987683101497E-2</v>
      </c>
      <c r="Q1968">
        <v>5.4758949459259845E-3</v>
      </c>
      <c r="R1968">
        <v>1.4627629584321674E-3</v>
      </c>
      <c r="S1968">
        <v>0.23794053341980567</v>
      </c>
      <c r="T1968">
        <v>1.3357554268686411</v>
      </c>
      <c r="U1968">
        <v>0.13776226910893161</v>
      </c>
      <c r="V1968">
        <v>0.18344645152595562</v>
      </c>
      <c r="W1968">
        <v>9.3434969784314079E-2</v>
      </c>
      <c r="X1968">
        <v>1.5896830912678569E-2</v>
      </c>
      <c r="Y1968">
        <v>3.9811585731727083E-3</v>
      </c>
    </row>
    <row r="1969" spans="1:25" x14ac:dyDescent="0.25">
      <c r="A1969" s="1096"/>
      <c r="B1969" s="1455">
        <v>1719</v>
      </c>
      <c r="C1969" s="1100">
        <v>1.0054784775975898</v>
      </c>
      <c r="D1969" s="1100">
        <v>0.98387562697483832</v>
      </c>
      <c r="E1969" s="1100">
        <v>1.0115923438557297</v>
      </c>
      <c r="F1969" s="1100">
        <v>1.0138287187747683</v>
      </c>
      <c r="G1969" s="1100">
        <v>0.95400214021533503</v>
      </c>
      <c r="H1969" s="1100">
        <v>0.99546208552647797</v>
      </c>
      <c r="I1969" s="1100">
        <v>1.0141182676545193</v>
      </c>
      <c r="K1969">
        <v>2.2340893626580818</v>
      </c>
      <c r="L1969">
        <v>0</v>
      </c>
      <c r="M1969">
        <v>1.5002069647036232E-3</v>
      </c>
      <c r="N1969">
        <v>0.14126438839578684</v>
      </c>
      <c r="O1969">
        <v>1.9722201165032999E-2</v>
      </c>
      <c r="P1969">
        <v>2.6546707623738949E-2</v>
      </c>
      <c r="Q1969">
        <v>5.5643482252474797E-3</v>
      </c>
      <c r="R1969">
        <v>1.4790252833392827E-3</v>
      </c>
      <c r="S1969">
        <v>0.24529845229943592</v>
      </c>
      <c r="T1969">
        <v>1.3624677563788696</v>
      </c>
      <c r="U1969">
        <v>0.14202117878589887</v>
      </c>
      <c r="V1969">
        <v>0.17921406761563938</v>
      </c>
      <c r="W1969">
        <v>9.2166806382151523E-2</v>
      </c>
      <c r="X1969">
        <v>1.5819218206948722E-2</v>
      </c>
      <c r="Y1969">
        <v>4.0254192606959081E-3</v>
      </c>
    </row>
    <row r="1970" spans="1:25" x14ac:dyDescent="0.25">
      <c r="A1970" s="1096"/>
      <c r="B1970" s="1455">
        <v>1720</v>
      </c>
      <c r="C1970" s="1100">
        <v>1.0067426191288102</v>
      </c>
      <c r="D1970" s="1100">
        <v>1.0220895797599339</v>
      </c>
      <c r="E1970" s="1100">
        <v>0.97425535465396285</v>
      </c>
      <c r="F1970" s="1100">
        <v>0.99122860034209093</v>
      </c>
      <c r="G1970" s="1100">
        <v>1.0005532567175075</v>
      </c>
      <c r="H1970" s="1100">
        <v>0.97726123708325052</v>
      </c>
      <c r="I1970" s="1100">
        <v>1.0085072999656972</v>
      </c>
      <c r="K1970">
        <v>2.1850898964628391</v>
      </c>
      <c r="L1970">
        <v>0</v>
      </c>
      <c r="M1970">
        <v>1.575972460415666E-3</v>
      </c>
      <c r="N1970">
        <v>0.13252536924423997</v>
      </c>
      <c r="O1970">
        <v>1.9509971665432561E-2</v>
      </c>
      <c r="P1970">
        <v>2.5364743016998308E-2</v>
      </c>
      <c r="Q1970">
        <v>5.3009275722265305E-3</v>
      </c>
      <c r="R1970">
        <v>1.5533066147084159E-3</v>
      </c>
      <c r="S1970">
        <v>0.23731367765460504</v>
      </c>
      <c r="T1970">
        <v>1.3320426453956022</v>
      </c>
      <c r="U1970">
        <v>0.14175755801180959</v>
      </c>
      <c r="V1970">
        <v>0.18436964429126521</v>
      </c>
      <c r="W1970">
        <v>8.8416393096219306E-2</v>
      </c>
      <c r="X1970">
        <v>1.4284043802300675E-2</v>
      </c>
      <c r="Y1970">
        <v>4.2275885578483855E-3</v>
      </c>
    </row>
    <row r="1971" spans="1:25" x14ac:dyDescent="0.25">
      <c r="A1971" s="1096"/>
      <c r="B1971" s="1455">
        <v>1721</v>
      </c>
      <c r="C1971" s="1100">
        <v>1.0126483438058906</v>
      </c>
      <c r="D1971" s="1100">
        <v>1.012107442887421</v>
      </c>
      <c r="E1971" s="1100">
        <v>0.98938883328813088</v>
      </c>
      <c r="F1971" s="1100">
        <v>0.97828462939002592</v>
      </c>
      <c r="G1971" s="1100">
        <v>1.0040507545923494</v>
      </c>
      <c r="H1971" s="1100">
        <v>1.01097547469328</v>
      </c>
      <c r="I1971" s="1100">
        <v>1.0032170520534798</v>
      </c>
      <c r="K1971">
        <v>2.1781760938338222</v>
      </c>
      <c r="L1971">
        <v>0</v>
      </c>
      <c r="M1971">
        <v>1.574279631182251E-3</v>
      </c>
      <c r="N1971">
        <v>0.13865218020680545</v>
      </c>
      <c r="O1971">
        <v>1.9447398729986239E-2</v>
      </c>
      <c r="P1971">
        <v>2.5430046148955051E-2</v>
      </c>
      <c r="Q1971">
        <v>5.3657467517654201E-3</v>
      </c>
      <c r="R1971">
        <v>1.5523931857806615E-3</v>
      </c>
      <c r="S1971">
        <v>0.23862457769720219</v>
      </c>
      <c r="T1971">
        <v>1.314665832895735</v>
      </c>
      <c r="U1971">
        <v>0.1409651400520987</v>
      </c>
      <c r="V1971">
        <v>0.18443413862274027</v>
      </c>
      <c r="W1971">
        <v>9.166374791642945E-2</v>
      </c>
      <c r="X1971">
        <v>1.472406875208724E-2</v>
      </c>
      <c r="Y1971">
        <v>4.2251025054188028E-3</v>
      </c>
    </row>
    <row r="1972" spans="1:25" x14ac:dyDescent="0.25">
      <c r="A1972" s="1096"/>
      <c r="B1972" s="1455">
        <v>1722</v>
      </c>
      <c r="C1972" s="1100">
        <v>1.0063489747944465</v>
      </c>
      <c r="D1972" s="1100">
        <v>1.0070259722280812</v>
      </c>
      <c r="E1972" s="1100">
        <v>0.99326250481780842</v>
      </c>
      <c r="F1972" s="1100">
        <v>0.99348170393816193</v>
      </c>
      <c r="G1972" s="1100">
        <v>0.98038066092411691</v>
      </c>
      <c r="H1972" s="1100">
        <v>0.99921555136763329</v>
      </c>
      <c r="I1972" s="1100">
        <v>1.0248347826102462</v>
      </c>
      <c r="K1972">
        <v>2.2040031806302571</v>
      </c>
      <c r="L1972">
        <v>0</v>
      </c>
      <c r="M1972">
        <v>1.5549144038738718E-3</v>
      </c>
      <c r="N1972">
        <v>0.13853678972058411</v>
      </c>
      <c r="O1972">
        <v>1.9593211234917182E-2</v>
      </c>
      <c r="P1972">
        <v>2.5848551727723289E-2</v>
      </c>
      <c r="Q1972">
        <v>5.4271702883505243E-3</v>
      </c>
      <c r="R1972">
        <v>1.5330427673988603E-3</v>
      </c>
      <c r="S1972">
        <v>0.24497823578892436</v>
      </c>
      <c r="T1972">
        <v>1.3350937906336251</v>
      </c>
      <c r="U1972">
        <v>0.14185637919364058</v>
      </c>
      <c r="V1972">
        <v>0.18212848513983604</v>
      </c>
      <c r="W1972">
        <v>9.1375396485608121E-2</v>
      </c>
      <c r="X1972">
        <v>1.5014605008071944E-2</v>
      </c>
      <c r="Y1972">
        <v>4.1724370454472451E-3</v>
      </c>
    </row>
    <row r="1973" spans="1:25" x14ac:dyDescent="0.25">
      <c r="A1973" s="1096"/>
      <c r="B1973" s="1455">
        <v>1723</v>
      </c>
      <c r="C1973" s="1100">
        <v>1.0084089936672571</v>
      </c>
      <c r="D1973" s="1100">
        <v>0.99812690745680355</v>
      </c>
      <c r="E1973" s="1100">
        <v>1.0325752395235033</v>
      </c>
      <c r="F1973" s="1100">
        <v>0.98001472951826152</v>
      </c>
      <c r="G1973" s="1100">
        <v>0.98624337707671161</v>
      </c>
      <c r="H1973" s="1100">
        <v>1.0427811694364393</v>
      </c>
      <c r="I1973" s="1100">
        <v>1.0068105352919092</v>
      </c>
      <c r="K1973">
        <v>2.2053359937143675</v>
      </c>
      <c r="L1973">
        <v>0</v>
      </c>
      <c r="M1973">
        <v>1.4952548648836416E-3</v>
      </c>
      <c r="N1973">
        <v>0.15009488871110246</v>
      </c>
      <c r="O1973">
        <v>1.9615816471720185E-2</v>
      </c>
      <c r="P1973">
        <v>2.6362684279914578E-2</v>
      </c>
      <c r="Q1973">
        <v>5.650857962546987E-3</v>
      </c>
      <c r="R1973">
        <v>1.4751011077409493E-3</v>
      </c>
      <c r="S1973">
        <v>0.24503423133908511</v>
      </c>
      <c r="T1973">
        <v>1.317068197483001</v>
      </c>
      <c r="U1973">
        <v>0.14165652125256387</v>
      </c>
      <c r="V1973">
        <v>0.18270602718630991</v>
      </c>
      <c r="W1973">
        <v>9.6735293415383949E-2</v>
      </c>
      <c r="X1973">
        <v>1.6416890421559742E-2</v>
      </c>
      <c r="Y1973">
        <v>4.0147389483213844E-3</v>
      </c>
    </row>
    <row r="1974" spans="1:25" x14ac:dyDescent="0.25">
      <c r="A1974" s="1096"/>
      <c r="B1974" s="1455">
        <v>1724</v>
      </c>
      <c r="C1974" s="1100">
        <v>0.9823387276745954</v>
      </c>
      <c r="D1974" s="1100">
        <v>1.0111417272782195</v>
      </c>
      <c r="E1974" s="1100">
        <v>1.005046918585154</v>
      </c>
      <c r="F1974" s="1100">
        <v>1.0079612611834934</v>
      </c>
      <c r="G1974" s="1100">
        <v>0.98388371975269506</v>
      </c>
      <c r="H1974" s="1100">
        <v>0.99031760416569925</v>
      </c>
      <c r="I1974" s="1100">
        <v>0.97422645379728168</v>
      </c>
      <c r="K1974">
        <v>2.2282896800694969</v>
      </c>
      <c r="L1974">
        <v>0</v>
      </c>
      <c r="M1974">
        <v>1.5392343436088686E-3</v>
      </c>
      <c r="N1974">
        <v>0.14209243625956347</v>
      </c>
      <c r="O1974">
        <v>2.0061578536866041E-2</v>
      </c>
      <c r="P1974">
        <v>2.6313907649126445E-2</v>
      </c>
      <c r="Q1974">
        <v>5.6231512349977789E-3</v>
      </c>
      <c r="R1974">
        <v>1.5173887312771449E-3</v>
      </c>
      <c r="S1974">
        <v>0.23747227937264789</v>
      </c>
      <c r="T1974">
        <v>1.3545708850814584</v>
      </c>
      <c r="U1974">
        <v>0.14535123734996042</v>
      </c>
      <c r="V1974">
        <v>0.18397575291574475</v>
      </c>
      <c r="W1974">
        <v>9.3066047066834995E-2</v>
      </c>
      <c r="X1974">
        <v>1.5654418295153662E-2</v>
      </c>
      <c r="Y1974">
        <v>4.1298319194755569E-3</v>
      </c>
    </row>
    <row r="1975" spans="1:25" x14ac:dyDescent="0.25">
      <c r="A1975" s="1096"/>
      <c r="B1975" s="1455">
        <v>1725</v>
      </c>
      <c r="C1975" s="1100">
        <v>1.0137730227844062</v>
      </c>
      <c r="D1975" s="1100">
        <v>0.98036034527692018</v>
      </c>
      <c r="E1975" s="1100">
        <v>1.0190318949136021</v>
      </c>
      <c r="F1975" s="1100">
        <v>0.99100924481410968</v>
      </c>
      <c r="G1975" s="1100">
        <v>1.0106246306885931</v>
      </c>
      <c r="H1975" s="1100">
        <v>1.0056110370417979</v>
      </c>
      <c r="I1975" s="1100">
        <v>0.97804507493735449</v>
      </c>
      <c r="K1975">
        <v>2.2002544176733716</v>
      </c>
      <c r="L1975">
        <v>0</v>
      </c>
      <c r="M1975">
        <v>1.4811967672858869E-3</v>
      </c>
      <c r="N1975">
        <v>0.14266173010273622</v>
      </c>
      <c r="O1975">
        <v>1.9580861099882465E-2</v>
      </c>
      <c r="P1975">
        <v>2.6204308642531191E-2</v>
      </c>
      <c r="Q1975">
        <v>5.5655879043691563E-3</v>
      </c>
      <c r="R1975">
        <v>1.4604945576933419E-3</v>
      </c>
      <c r="S1975">
        <v>0.23590278141862081</v>
      </c>
      <c r="T1975">
        <v>1.3318152140928212</v>
      </c>
      <c r="U1975">
        <v>0.14087611714312812</v>
      </c>
      <c r="V1975">
        <v>0.18513806701289914</v>
      </c>
      <c r="W1975">
        <v>9.2672752939471859E-2</v>
      </c>
      <c r="X1975">
        <v>1.5882714792363993E-2</v>
      </c>
      <c r="Y1975">
        <v>3.9749847341397264E-3</v>
      </c>
    </row>
    <row r="1976" spans="1:25" x14ac:dyDescent="0.25">
      <c r="A1976" s="1096"/>
      <c r="B1976" s="1455">
        <v>1726</v>
      </c>
      <c r="C1976" s="1100">
        <v>1.0066456833717938</v>
      </c>
      <c r="D1976" s="1100">
        <v>1.0085178366140632</v>
      </c>
      <c r="E1976" s="1100">
        <v>0.95763524825332125</v>
      </c>
      <c r="F1976" s="1100">
        <v>1.0174477464044078</v>
      </c>
      <c r="G1976" s="1100">
        <v>1.0133320840240063</v>
      </c>
      <c r="H1976" s="1100">
        <v>0.98561597986893035</v>
      </c>
      <c r="I1976" s="1100">
        <v>0.99738405834612831</v>
      </c>
      <c r="K1976">
        <v>2.2211154272109419</v>
      </c>
      <c r="L1976">
        <v>0</v>
      </c>
      <c r="M1976">
        <v>1.6498945056084985E-3</v>
      </c>
      <c r="N1976">
        <v>0.13194666239700079</v>
      </c>
      <c r="O1976">
        <v>1.9559078772369197E-2</v>
      </c>
      <c r="P1976">
        <v>2.5520125178054621E-2</v>
      </c>
      <c r="Q1976">
        <v>5.2245573703119559E-3</v>
      </c>
      <c r="R1976">
        <v>1.6263666461632906E-3</v>
      </c>
      <c r="S1976">
        <v>0.23682686385913973</v>
      </c>
      <c r="T1976">
        <v>1.3672624702428193</v>
      </c>
      <c r="U1976">
        <v>0.14173340847282309</v>
      </c>
      <c r="V1976">
        <v>0.18580641439580192</v>
      </c>
      <c r="W1976">
        <v>8.8928204248976656E-2</v>
      </c>
      <c r="X1976">
        <v>1.3904736253855954E-2</v>
      </c>
      <c r="Y1976">
        <v>4.426433879235657E-3</v>
      </c>
    </row>
    <row r="1977" spans="1:25" x14ac:dyDescent="0.25">
      <c r="A1977" s="1096"/>
      <c r="B1977" s="1455">
        <v>1727</v>
      </c>
      <c r="C1977" s="1100">
        <v>0.96749096720966987</v>
      </c>
      <c r="D1977" s="1100">
        <v>0.99760663472817845</v>
      </c>
      <c r="E1977" s="1100">
        <v>1.0162707930310544</v>
      </c>
      <c r="F1977" s="1100">
        <v>0.99857928241668392</v>
      </c>
      <c r="G1977" s="1100">
        <v>1.0189511052718452</v>
      </c>
      <c r="H1977" s="1100">
        <v>1.0337392443999127</v>
      </c>
      <c r="I1977" s="1100">
        <v>1.0175441706576203</v>
      </c>
      <c r="K1977">
        <v>2.2614343797320484</v>
      </c>
      <c r="L1977">
        <v>0</v>
      </c>
      <c r="M1977">
        <v>1.598510347530587E-3</v>
      </c>
      <c r="N1977">
        <v>0.15274236619474746</v>
      </c>
      <c r="O1977">
        <v>2.0437200379955361E-2</v>
      </c>
      <c r="P1977">
        <v>2.6731723215838665E-2</v>
      </c>
      <c r="Q1977">
        <v>5.7930464517476086E-3</v>
      </c>
      <c r="R1977">
        <v>1.5767764094787111E-3</v>
      </c>
      <c r="S1977">
        <v>0.25729053852246142</v>
      </c>
      <c r="T1977">
        <v>1.3419831325889884</v>
      </c>
      <c r="U1977">
        <v>0.14760864735333876</v>
      </c>
      <c r="V1977">
        <v>0.18887683098022512</v>
      </c>
      <c r="W1977">
        <v>9.9381819744146949E-2</v>
      </c>
      <c r="X1977">
        <v>1.6319342636251368E-2</v>
      </c>
      <c r="Y1977">
        <v>4.2914656023973624E-3</v>
      </c>
    </row>
    <row r="1978" spans="1:25" x14ac:dyDescent="0.25">
      <c r="A1978" s="1096"/>
      <c r="B1978" s="1455">
        <v>1728</v>
      </c>
      <c r="C1978" s="1100">
        <v>0.96328705882764554</v>
      </c>
      <c r="D1978" s="1100">
        <v>0.99168010107328841</v>
      </c>
      <c r="E1978" s="1100">
        <v>1.0036450949333533</v>
      </c>
      <c r="F1978" s="1100">
        <v>1.0005060408720348</v>
      </c>
      <c r="G1978" s="1100">
        <v>1.0037576276766318</v>
      </c>
      <c r="H1978" s="1100">
        <v>1.0265239582498034</v>
      </c>
      <c r="I1978" s="1100">
        <v>1.0107619071637175</v>
      </c>
      <c r="K1978">
        <v>2.2594949463504657</v>
      </c>
      <c r="L1978">
        <v>0</v>
      </c>
      <c r="M1978">
        <v>1.6387981581223374E-3</v>
      </c>
      <c r="N1978">
        <v>0.15072087782473614</v>
      </c>
      <c r="O1978">
        <v>2.0545100681145751E-2</v>
      </c>
      <c r="P1978">
        <v>2.6499471827237716E-2</v>
      </c>
      <c r="Q1978">
        <v>5.7505905657577079E-3</v>
      </c>
      <c r="R1978">
        <v>1.6163598372537825E-3</v>
      </c>
      <c r="S1978">
        <v>0.25674039869389781</v>
      </c>
      <c r="T1978">
        <v>1.3445496584162659</v>
      </c>
      <c r="U1978">
        <v>0.14822260781787577</v>
      </c>
      <c r="V1978">
        <v>0.18741538998089499</v>
      </c>
      <c r="W1978">
        <v>9.8799403662402904E-2</v>
      </c>
      <c r="X1978">
        <v>1.5874686556989686E-2</v>
      </c>
      <c r="Y1978">
        <v>4.3991986441276479E-3</v>
      </c>
    </row>
    <row r="1979" spans="1:25" x14ac:dyDescent="0.25">
      <c r="A1979" s="1096"/>
      <c r="B1979" s="1455">
        <v>1729</v>
      </c>
      <c r="C1979" s="1100">
        <v>1.0235419967446353</v>
      </c>
      <c r="D1979" s="1100">
        <v>0.95665252350716512</v>
      </c>
      <c r="E1979" s="1100">
        <v>0.98799233857010882</v>
      </c>
      <c r="F1979" s="1100">
        <v>0.97247219534261098</v>
      </c>
      <c r="G1979" s="1100">
        <v>1.0151677378130295</v>
      </c>
      <c r="H1979" s="1100">
        <v>0.98497097165617764</v>
      </c>
      <c r="I1979" s="1100">
        <v>1.0387912872141567</v>
      </c>
      <c r="K1979">
        <v>2.1742041713877058</v>
      </c>
      <c r="L1979">
        <v>0</v>
      </c>
      <c r="M1979">
        <v>1.5408395840406362E-3</v>
      </c>
      <c r="N1979">
        <v>0.13508487043857512</v>
      </c>
      <c r="O1979">
        <v>1.9479566286017012E-2</v>
      </c>
      <c r="P1979">
        <v>2.5430178072017591E-2</v>
      </c>
      <c r="Q1979">
        <v>5.3670355370611057E-3</v>
      </c>
      <c r="R1979">
        <v>1.5188524829931962E-3</v>
      </c>
      <c r="S1979">
        <v>0.2492924156219416</v>
      </c>
      <c r="T1979">
        <v>1.3068529779259224</v>
      </c>
      <c r="U1979">
        <v>0.13946169934271366</v>
      </c>
      <c r="V1979">
        <v>0.18506623037031816</v>
      </c>
      <c r="W1979">
        <v>8.938019939765017E-2</v>
      </c>
      <c r="X1979">
        <v>1.4677169727412136E-2</v>
      </c>
      <c r="Y1979">
        <v>4.1338157691210237E-3</v>
      </c>
    </row>
    <row r="1980" spans="1:25" x14ac:dyDescent="0.25">
      <c r="A1980" s="1096"/>
      <c r="B1980" s="1455">
        <v>1730</v>
      </c>
      <c r="C1980" s="1100">
        <v>1.038199271249725</v>
      </c>
      <c r="D1980" s="1100">
        <v>1.0263828006701063</v>
      </c>
      <c r="E1980" s="1100">
        <v>0.98150458231948434</v>
      </c>
      <c r="F1980" s="1100">
        <v>0.99648477809860092</v>
      </c>
      <c r="G1980" s="1100">
        <v>1.0081981284618755</v>
      </c>
      <c r="H1980" s="1100">
        <v>1.0181490116961573</v>
      </c>
      <c r="I1980" s="1100">
        <v>0.99852815391394256</v>
      </c>
      <c r="K1980">
        <v>2.1829566034785421</v>
      </c>
      <c r="L1980">
        <v>0</v>
      </c>
      <c r="M1980">
        <v>1.5670351660784551E-3</v>
      </c>
      <c r="N1980">
        <v>0.13477543227339317</v>
      </c>
      <c r="O1980">
        <v>1.8905717533606189E-2</v>
      </c>
      <c r="P1980">
        <v>2.5439258039284984E-2</v>
      </c>
      <c r="Q1980">
        <v>5.174782526699586E-3</v>
      </c>
      <c r="R1980">
        <v>1.5454029319103215E-3</v>
      </c>
      <c r="S1980">
        <v>0.23055485669893935</v>
      </c>
      <c r="T1980">
        <v>1.3391140551160614</v>
      </c>
      <c r="U1980">
        <v>0.13747842991183112</v>
      </c>
      <c r="V1980">
        <v>0.18345498327910364</v>
      </c>
      <c r="W1980">
        <v>8.952416657604384E-2</v>
      </c>
      <c r="X1980">
        <v>1.4350476419027597E-2</v>
      </c>
      <c r="Y1980">
        <v>4.2060773387203052E-3</v>
      </c>
    </row>
    <row r="1981" spans="1:25" x14ac:dyDescent="0.25">
      <c r="A1981" s="1096"/>
      <c r="B1981" s="1455">
        <v>1731</v>
      </c>
      <c r="C1981" s="1100">
        <v>0.98043669201065331</v>
      </c>
      <c r="D1981" s="1100">
        <v>1.016793130116699</v>
      </c>
      <c r="E1981" s="1100">
        <v>1.0010303562063902</v>
      </c>
      <c r="F1981" s="1100">
        <v>1.027784210640514</v>
      </c>
      <c r="G1981" s="1100">
        <v>1.0035223927542916</v>
      </c>
      <c r="H1981" s="1100">
        <v>1.0151748670734719</v>
      </c>
      <c r="I1981" s="1100">
        <v>0.99979002079266921</v>
      </c>
      <c r="K1981">
        <v>2.2716479769016522</v>
      </c>
      <c r="L1981">
        <v>0</v>
      </c>
      <c r="M1981">
        <v>1.5922100091854455E-3</v>
      </c>
      <c r="N1981">
        <v>0.14526155548119574</v>
      </c>
      <c r="O1981">
        <v>2.0073314983758372E-2</v>
      </c>
      <c r="P1981">
        <v>2.6744197285352475E-2</v>
      </c>
      <c r="Q1981">
        <v>5.6038086914384673E-3</v>
      </c>
      <c r="R1981">
        <v>1.5701658535109901E-3</v>
      </c>
      <c r="S1981">
        <v>0.24549272807505051</v>
      </c>
      <c r="T1981">
        <v>1.3812035468555957</v>
      </c>
      <c r="U1981">
        <v>0.14562378065333426</v>
      </c>
      <c r="V1981">
        <v>0.18630914607999552</v>
      </c>
      <c r="W1981">
        <v>9.5368570572786582E-2</v>
      </c>
      <c r="X1981">
        <v>1.5715898530594317E-2</v>
      </c>
      <c r="Y1981">
        <v>4.2734738482224149E-3</v>
      </c>
    </row>
    <row r="1982" spans="1:25" x14ac:dyDescent="0.25">
      <c r="A1982" s="1096"/>
      <c r="B1982" s="1455">
        <v>1732</v>
      </c>
      <c r="C1982" s="1100">
        <v>1.0274641389156254</v>
      </c>
      <c r="D1982" s="1100">
        <v>0.97093909876482443</v>
      </c>
      <c r="E1982" s="1100">
        <v>0.99617618524248985</v>
      </c>
      <c r="F1982" s="1100">
        <v>0.97843196356153339</v>
      </c>
      <c r="G1982" s="1100">
        <v>1.0044446476310875</v>
      </c>
      <c r="H1982" s="1100">
        <v>0.97414941046762282</v>
      </c>
      <c r="I1982" s="1100">
        <v>0.99864253812883474</v>
      </c>
      <c r="K1982">
        <v>2.164379788146261</v>
      </c>
      <c r="L1982">
        <v>0</v>
      </c>
      <c r="M1982">
        <v>1.4877119812092702E-3</v>
      </c>
      <c r="N1982">
        <v>0.13367264709071516</v>
      </c>
      <c r="O1982">
        <v>1.9347027915847029E-2</v>
      </c>
      <c r="P1982">
        <v>2.5491132733515515E-2</v>
      </c>
      <c r="Q1982">
        <v>5.3747437228117865E-3</v>
      </c>
      <c r="R1982">
        <v>1.4662471604910663E-3</v>
      </c>
      <c r="S1982">
        <v>0.23617571493475642</v>
      </c>
      <c r="T1982">
        <v>1.3148733566789066</v>
      </c>
      <c r="U1982">
        <v>0.13894764691956055</v>
      </c>
      <c r="V1982">
        <v>0.18363975785540684</v>
      </c>
      <c r="W1982">
        <v>8.8013942986282401E-2</v>
      </c>
      <c r="X1982">
        <v>1.487464070656583E-2</v>
      </c>
      <c r="Y1982">
        <v>3.9906414226101297E-3</v>
      </c>
    </row>
    <row r="1983" spans="1:25" x14ac:dyDescent="0.25">
      <c r="A1983" s="1096"/>
      <c r="B1983" s="1455">
        <v>1733</v>
      </c>
      <c r="C1983" s="1100">
        <v>1.0036567998943369</v>
      </c>
      <c r="D1983" s="1100">
        <v>0.97663706824845908</v>
      </c>
      <c r="E1983" s="1100">
        <v>0.99215113002048227</v>
      </c>
      <c r="F1983" s="1100">
        <v>0.99120059542206174</v>
      </c>
      <c r="G1983" s="1100">
        <v>1.0014084658471136</v>
      </c>
      <c r="H1983" s="1100">
        <v>0.99315879728664058</v>
      </c>
      <c r="I1983" s="1100">
        <v>0.9885382570776643</v>
      </c>
      <c r="K1983">
        <v>2.199692396931419</v>
      </c>
      <c r="L1983">
        <v>0</v>
      </c>
      <c r="M1983">
        <v>1.5637130852454871E-3</v>
      </c>
      <c r="N1983">
        <v>0.13884137380517858</v>
      </c>
      <c r="O1983">
        <v>1.9777955268172481E-2</v>
      </c>
      <c r="P1983">
        <v>2.575876414452263E-2</v>
      </c>
      <c r="Q1983">
        <v>5.4722016194116022E-3</v>
      </c>
      <c r="R1983">
        <v>1.5415835469311536E-3</v>
      </c>
      <c r="S1983">
        <v>0.24010360895960861</v>
      </c>
      <c r="T1983">
        <v>1.3320267362581251</v>
      </c>
      <c r="U1983">
        <v>0.14223434345172095</v>
      </c>
      <c r="V1983">
        <v>0.18466257445813955</v>
      </c>
      <c r="W1983">
        <v>9.1637152122104631E-2</v>
      </c>
      <c r="X1983">
        <v>1.5004134150880121E-2</v>
      </c>
      <c r="Y1983">
        <v>4.1956822318669328E-3</v>
      </c>
    </row>
    <row r="1984" spans="1:25" x14ac:dyDescent="0.25">
      <c r="A1984" s="1096"/>
      <c r="B1984" s="1455">
        <v>1734</v>
      </c>
      <c r="C1984" s="1100">
        <v>1.0339812571853795</v>
      </c>
      <c r="D1984" s="1100">
        <v>1.0359513936777149</v>
      </c>
      <c r="E1984" s="1100">
        <v>0.98062222168663693</v>
      </c>
      <c r="F1984" s="1100">
        <v>0.96273965614242529</v>
      </c>
      <c r="G1984" s="1100">
        <v>0.98150958389623788</v>
      </c>
      <c r="H1984" s="1100">
        <v>0.99306152463647568</v>
      </c>
      <c r="I1984" s="1100">
        <v>0.99817137378282161</v>
      </c>
      <c r="K1984">
        <v>2.1269605869356476</v>
      </c>
      <c r="L1984">
        <v>0</v>
      </c>
      <c r="M1984">
        <v>1.5343255730552975E-3</v>
      </c>
      <c r="N1984">
        <v>0.13156384434552312</v>
      </c>
      <c r="O1984">
        <v>1.8943600478600796E-2</v>
      </c>
      <c r="P1984">
        <v>2.4753929507642249E-2</v>
      </c>
      <c r="Q1984">
        <v>5.1805063005389762E-3</v>
      </c>
      <c r="R1984">
        <v>1.5126097974824853E-3</v>
      </c>
      <c r="S1984">
        <v>0.22842533934130396</v>
      </c>
      <c r="T1984">
        <v>1.2937650792566326</v>
      </c>
      <c r="U1984">
        <v>0.13803729947285337</v>
      </c>
      <c r="V1984">
        <v>0.18067037818098644</v>
      </c>
      <c r="W1984">
        <v>8.7437413311778733E-2</v>
      </c>
      <c r="X1984">
        <v>1.4088087278296595E-2</v>
      </c>
      <c r="Y1984">
        <v>4.1168252370615962E-3</v>
      </c>
    </row>
    <row r="1985" spans="1:25" x14ac:dyDescent="0.25">
      <c r="A1985" s="1096"/>
      <c r="B1985" s="1455">
        <v>1735</v>
      </c>
      <c r="C1985" s="1100">
        <v>1.0435504897412444</v>
      </c>
      <c r="D1985" s="1100">
        <v>0.96698675005072288</v>
      </c>
      <c r="E1985" s="1100">
        <v>0.97704946837563689</v>
      </c>
      <c r="F1985" s="1100">
        <v>0.98652407524309904</v>
      </c>
      <c r="G1985" s="1100">
        <v>1.0104543587025956</v>
      </c>
      <c r="H1985" s="1100">
        <v>1.018898230484663</v>
      </c>
      <c r="I1985" s="1100">
        <v>1.01282582484024</v>
      </c>
      <c r="K1985">
        <v>2.1791390560385056</v>
      </c>
      <c r="L1985">
        <v>0</v>
      </c>
      <c r="M1985">
        <v>1.5953697706866193E-3</v>
      </c>
      <c r="N1985">
        <v>0.1353765262900409</v>
      </c>
      <c r="O1985">
        <v>1.9054385079787385E-2</v>
      </c>
      <c r="P1985">
        <v>2.5286081866168528E-2</v>
      </c>
      <c r="Q1985">
        <v>5.191902465787112E-3</v>
      </c>
      <c r="R1985">
        <v>1.573362583998745E-3</v>
      </c>
      <c r="S1985">
        <v>0.23968506904064973</v>
      </c>
      <c r="T1985">
        <v>1.3257234811431449</v>
      </c>
      <c r="U1985">
        <v>0.13676365854951913</v>
      </c>
      <c r="V1985">
        <v>0.18341353518910836</v>
      </c>
      <c r="W1985">
        <v>9.0165809516617498E-2</v>
      </c>
      <c r="X1985">
        <v>1.4218439789563228E-2</v>
      </c>
      <c r="Y1985">
        <v>4.282174294808162E-3</v>
      </c>
    </row>
    <row r="1986" spans="1:25" x14ac:dyDescent="0.25">
      <c r="A1986" s="1096"/>
      <c r="B1986" s="1455">
        <v>1736</v>
      </c>
      <c r="C1986" s="1100">
        <v>0.97132194195921306</v>
      </c>
      <c r="D1986" s="1100">
        <v>1.021366815123969</v>
      </c>
      <c r="E1986" s="1100">
        <v>1.0329887042082448</v>
      </c>
      <c r="F1986" s="1100">
        <v>0.967403074529403</v>
      </c>
      <c r="G1986" s="1100">
        <v>0.99605804170222845</v>
      </c>
      <c r="H1986" s="1100">
        <v>1.0156891122073897</v>
      </c>
      <c r="I1986" s="1100">
        <v>1.02814874903092</v>
      </c>
      <c r="K1986">
        <v>2.2092608512577034</v>
      </c>
      <c r="L1986">
        <v>0</v>
      </c>
      <c r="M1986">
        <v>1.5030828067168619E-3</v>
      </c>
      <c r="N1986">
        <v>0.15101374911196172</v>
      </c>
      <c r="O1986">
        <v>2.0262194772634804E-2</v>
      </c>
      <c r="P1986">
        <v>2.6389457482501814E-2</v>
      </c>
      <c r="Q1986">
        <v>5.8394474159576141E-3</v>
      </c>
      <c r="R1986">
        <v>1.4822831538481656E-3</v>
      </c>
      <c r="S1986">
        <v>0.25456083983984912</v>
      </c>
      <c r="T1986">
        <v>1.3001199723631165</v>
      </c>
      <c r="U1986">
        <v>0.1470662408475891</v>
      </c>
      <c r="V1986">
        <v>0.18606316191243272</v>
      </c>
      <c r="W1986">
        <v>9.7304188175241016E-2</v>
      </c>
      <c r="X1986">
        <v>1.6628112879022137E-2</v>
      </c>
      <c r="Y1986">
        <v>4.0342861102643651E-3</v>
      </c>
    </row>
    <row r="1987" spans="1:25" x14ac:dyDescent="0.25">
      <c r="A1987" s="1096"/>
      <c r="B1987" s="1455">
        <v>1737</v>
      </c>
      <c r="C1987" s="1100">
        <v>0.96808874344639695</v>
      </c>
      <c r="D1987" s="1100">
        <v>1.0384915323998658</v>
      </c>
      <c r="E1987" s="1100">
        <v>0.99817376415282366</v>
      </c>
      <c r="F1987" s="1100">
        <v>1.0047151007913955</v>
      </c>
      <c r="G1987" s="1100">
        <v>1.0243187924577468</v>
      </c>
      <c r="H1987" s="1100">
        <v>0.99261594423710986</v>
      </c>
      <c r="I1987" s="1100">
        <v>1.0000672604536767</v>
      </c>
      <c r="K1987">
        <v>2.2398691141002285</v>
      </c>
      <c r="L1987">
        <v>0</v>
      </c>
      <c r="M1987">
        <v>1.5787046075342588E-3</v>
      </c>
      <c r="N1987">
        <v>0.14274614516081774</v>
      </c>
      <c r="O1987">
        <v>2.023330247497972E-2</v>
      </c>
      <c r="P1987">
        <v>2.6315486243196493E-2</v>
      </c>
      <c r="Q1987">
        <v>5.6322726815968855E-3</v>
      </c>
      <c r="R1987">
        <v>1.5563506919554623E-3</v>
      </c>
      <c r="S1987">
        <v>0.24423930246280703</v>
      </c>
      <c r="T1987">
        <v>1.3501972258450088</v>
      </c>
      <c r="U1987">
        <v>0.14747441531510533</v>
      </c>
      <c r="V1987">
        <v>0.18942909079611001</v>
      </c>
      <c r="W1987">
        <v>9.3876426595294021E-2</v>
      </c>
      <c r="X1987">
        <v>1.551192690825433E-2</v>
      </c>
      <c r="Y1987">
        <v>4.23587353263505E-3</v>
      </c>
    </row>
    <row r="1988" spans="1:25" x14ac:dyDescent="0.25">
      <c r="A1988" s="1096"/>
      <c r="B1988" s="1455">
        <v>1738</v>
      </c>
      <c r="C1988" s="1100">
        <v>0.96837759979323301</v>
      </c>
      <c r="D1988" s="1100">
        <v>1.0362720402514263</v>
      </c>
      <c r="E1988" s="1100">
        <v>1.0230285146944169</v>
      </c>
      <c r="F1988" s="1100">
        <v>1.0094274402578505</v>
      </c>
      <c r="G1988" s="1100">
        <v>0.96557736674995365</v>
      </c>
      <c r="H1988" s="1100">
        <v>1.0254990923203802</v>
      </c>
      <c r="I1988" s="1100">
        <v>1.0257224443880959</v>
      </c>
      <c r="K1988">
        <v>2.2631055648096963</v>
      </c>
      <c r="L1988">
        <v>0</v>
      </c>
      <c r="M1988">
        <v>1.5491827144911981E-3</v>
      </c>
      <c r="N1988">
        <v>0.15106108872870638</v>
      </c>
      <c r="O1988">
        <v>2.0252723994766873E-2</v>
      </c>
      <c r="P1988">
        <v>2.6930487623955796E-2</v>
      </c>
      <c r="Q1988">
        <v>5.7794601288497028E-3</v>
      </c>
      <c r="R1988">
        <v>1.5279502044008013E-3</v>
      </c>
      <c r="S1988">
        <v>0.25366406548307091</v>
      </c>
      <c r="T1988">
        <v>1.3565756373285236</v>
      </c>
      <c r="U1988">
        <v>0.14748961369929992</v>
      </c>
      <c r="V1988">
        <v>0.18279417973766807</v>
      </c>
      <c r="W1988">
        <v>9.7899962957204448E-2</v>
      </c>
      <c r="X1988">
        <v>1.6521000870009381E-2</v>
      </c>
      <c r="Y1988">
        <v>4.15857676772947E-3</v>
      </c>
    </row>
    <row r="1989" spans="1:25" x14ac:dyDescent="0.25">
      <c r="A1989" s="1096"/>
      <c r="B1989" s="1455">
        <v>1739</v>
      </c>
      <c r="C1989" s="1100">
        <v>1.0329054440838776</v>
      </c>
      <c r="D1989" s="1100">
        <v>0.95843297945914208</v>
      </c>
      <c r="E1989" s="1100">
        <v>1.0033128104892697</v>
      </c>
      <c r="F1989" s="1100">
        <v>0.9629018053083408</v>
      </c>
      <c r="G1989" s="1100">
        <v>0.96370602684272366</v>
      </c>
      <c r="H1989" s="1100">
        <v>1.0273056256036293</v>
      </c>
      <c r="I1989" s="1100">
        <v>0.99048694275343319</v>
      </c>
      <c r="K1989">
        <v>2.1534552872753987</v>
      </c>
      <c r="L1989">
        <v>0</v>
      </c>
      <c r="M1989">
        <v>1.5420869888519216E-3</v>
      </c>
      <c r="N1989">
        <v>0.14168554001543954</v>
      </c>
      <c r="O1989">
        <v>1.9304432291761656E-2</v>
      </c>
      <c r="P1989">
        <v>2.5299851942034726E-2</v>
      </c>
      <c r="Q1989">
        <v>5.4015254938438737E-3</v>
      </c>
      <c r="R1989">
        <v>1.5209888967717563E-3</v>
      </c>
      <c r="S1989">
        <v>0.23872207657789588</v>
      </c>
      <c r="T1989">
        <v>1.2940139356721028</v>
      </c>
      <c r="U1989">
        <v>0.13823158287644471</v>
      </c>
      <c r="V1989">
        <v>0.17873676195106264</v>
      </c>
      <c r="W1989">
        <v>9.2894921601454419E-2</v>
      </c>
      <c r="X1989">
        <v>1.5046126562277853E-2</v>
      </c>
      <c r="Y1989">
        <v>4.1396303831576524E-3</v>
      </c>
    </row>
    <row r="1990" spans="1:25" x14ac:dyDescent="0.25">
      <c r="A1990" s="1096"/>
      <c r="B1990" s="1455">
        <v>1740</v>
      </c>
      <c r="C1990" s="1100">
        <v>0.95469370977851131</v>
      </c>
      <c r="D1990" s="1100">
        <v>1.0247279036925647</v>
      </c>
      <c r="E1990" s="1100">
        <v>1.0146510586147111</v>
      </c>
      <c r="F1990" s="1100">
        <v>1.0297203125540106</v>
      </c>
      <c r="G1990" s="1100">
        <v>0.99257727913400129</v>
      </c>
      <c r="H1990" s="1100">
        <v>0.9680011078358719</v>
      </c>
      <c r="I1990" s="1100">
        <v>1.0236098083765257</v>
      </c>
      <c r="K1990">
        <v>2.2847546540850621</v>
      </c>
      <c r="L1990">
        <v>0</v>
      </c>
      <c r="M1990">
        <v>1.513083687445191E-3</v>
      </c>
      <c r="N1990">
        <v>0.1437399373720423</v>
      </c>
      <c r="O1990">
        <v>2.0588236147466847E-2</v>
      </c>
      <c r="P1990">
        <v>2.7218142885270857E-2</v>
      </c>
      <c r="Q1990">
        <v>5.8264453319370347E-3</v>
      </c>
      <c r="R1990">
        <v>1.4911141419818885E-3</v>
      </c>
      <c r="S1990">
        <v>0.25320588060915145</v>
      </c>
      <c r="T1990">
        <v>1.3838301152295356</v>
      </c>
      <c r="U1990">
        <v>0.14958336221942781</v>
      </c>
      <c r="V1990">
        <v>0.18671635586254648</v>
      </c>
      <c r="W1990">
        <v>9.3613375385810105E-2</v>
      </c>
      <c r="X1990">
        <v>1.639645143850486E-2</v>
      </c>
      <c r="Y1990">
        <v>4.0583211488299017E-3</v>
      </c>
    </row>
    <row r="1991" spans="1:25" x14ac:dyDescent="0.25">
      <c r="A1991" s="1096"/>
      <c r="B1991" s="1455">
        <v>1741</v>
      </c>
      <c r="C1991" s="1100">
        <v>0.9977973087527181</v>
      </c>
      <c r="D1991" s="1100">
        <v>1.0020044255290772</v>
      </c>
      <c r="E1991" s="1100">
        <v>0.98519350127462524</v>
      </c>
      <c r="F1991" s="1100">
        <v>1.0084350761721337</v>
      </c>
      <c r="G1991" s="1100">
        <v>1.0036128730080542</v>
      </c>
      <c r="H1991" s="1100">
        <v>0.9712992476502238</v>
      </c>
      <c r="I1991" s="1100">
        <v>1.0428866204982521</v>
      </c>
      <c r="K1991">
        <v>2.2277477196437991</v>
      </c>
      <c r="L1991">
        <v>0</v>
      </c>
      <c r="M1991">
        <v>1.5518189930026169E-3</v>
      </c>
      <c r="N1991">
        <v>0.13487326736700045</v>
      </c>
      <c r="O1991">
        <v>1.9777839770008427E-2</v>
      </c>
      <c r="P1991">
        <v>2.6084447536152931E-2</v>
      </c>
      <c r="Q1991">
        <v>5.4337932538979913E-3</v>
      </c>
      <c r="R1991">
        <v>1.5293635313728331E-3</v>
      </c>
      <c r="S1991">
        <v>0.2496566361309365</v>
      </c>
      <c r="T1991">
        <v>1.3551778879012597</v>
      </c>
      <c r="U1991">
        <v>0.14305357904049409</v>
      </c>
      <c r="V1991">
        <v>0.18525282813186916</v>
      </c>
      <c r="W1991">
        <v>8.9390347071652373E-2</v>
      </c>
      <c r="X1991">
        <v>1.4907125524312529E-2</v>
      </c>
      <c r="Y1991">
        <v>4.1624233778442292E-3</v>
      </c>
    </row>
    <row r="1992" spans="1:25" x14ac:dyDescent="0.25">
      <c r="A1992" s="1096"/>
      <c r="B1992" s="1455">
        <v>1742</v>
      </c>
      <c r="C1992" s="1100">
        <v>0.98588898392592972</v>
      </c>
      <c r="D1992" s="1100">
        <v>1.0062295701159876</v>
      </c>
      <c r="E1992" s="1100">
        <v>0.99005250321320604</v>
      </c>
      <c r="F1992" s="1100">
        <v>1.0003758240888185</v>
      </c>
      <c r="G1992" s="1100">
        <v>1.0026157477070166</v>
      </c>
      <c r="H1992" s="1100">
        <v>1.0153815097930421</v>
      </c>
      <c r="I1992" s="1100">
        <v>1.0215558763710351</v>
      </c>
      <c r="K1992">
        <v>2.2347932490384528</v>
      </c>
      <c r="L1992">
        <v>0</v>
      </c>
      <c r="M1992">
        <v>1.6239054357051368E-3</v>
      </c>
      <c r="N1992">
        <v>0.14331894011247681</v>
      </c>
      <c r="O1992">
        <v>2.000127883331437E-2</v>
      </c>
      <c r="P1992">
        <v>2.607921649724498E-2</v>
      </c>
      <c r="Q1992">
        <v>5.5222719901528682E-3</v>
      </c>
      <c r="R1992">
        <v>1.6014270322541602E-3</v>
      </c>
      <c r="S1992">
        <v>0.25067516565446435</v>
      </c>
      <c r="T1992">
        <v>1.3443539487196301</v>
      </c>
      <c r="U1992">
        <v>0.14479281483073633</v>
      </c>
      <c r="V1992">
        <v>0.18586231729967276</v>
      </c>
      <c r="W1992">
        <v>9.4711298530095592E-2</v>
      </c>
      <c r="X1992">
        <v>1.5139918502595951E-2</v>
      </c>
      <c r="Y1992">
        <v>4.3585564715165198E-3</v>
      </c>
    </row>
    <row r="1993" spans="1:25" x14ac:dyDescent="0.25">
      <c r="A1993" s="1096"/>
      <c r="B1993" s="1455">
        <v>1743</v>
      </c>
      <c r="C1993" s="1100">
        <v>1.0271923606578506</v>
      </c>
      <c r="D1993" s="1100">
        <v>1.0042277658250978</v>
      </c>
      <c r="E1993" s="1100">
        <v>0.99303469945127854</v>
      </c>
      <c r="F1993" s="1100">
        <v>0.98992838548032025</v>
      </c>
      <c r="G1993" s="1100">
        <v>1.0048333210962634</v>
      </c>
      <c r="H1993" s="1100">
        <v>0.9980122957931209</v>
      </c>
      <c r="I1993" s="1100">
        <v>1.0086252860625626</v>
      </c>
      <c r="K1993">
        <v>2.1835628149299895</v>
      </c>
      <c r="L1993">
        <v>0</v>
      </c>
      <c r="M1993">
        <v>1.5231787824328739E-3</v>
      </c>
      <c r="N1993">
        <v>0.13561352067408658</v>
      </c>
      <c r="O1993">
        <v>1.9207249613520154E-2</v>
      </c>
      <c r="P1993">
        <v>2.5645621302863356E-2</v>
      </c>
      <c r="Q1993">
        <v>5.3190391052351706E-3</v>
      </c>
      <c r="R1993">
        <v>1.5017277121213977E-3</v>
      </c>
      <c r="S1993">
        <v>0.23644241419779566</v>
      </c>
      <c r="T1993">
        <v>1.3303183260600062</v>
      </c>
      <c r="U1993">
        <v>0.13897737495434681</v>
      </c>
      <c r="V1993">
        <v>0.18369631823064536</v>
      </c>
      <c r="W1993">
        <v>8.9459458720706292E-2</v>
      </c>
      <c r="X1993">
        <v>1.4817735353106123E-2</v>
      </c>
      <c r="Y1993">
        <v>4.0872077879871901E-3</v>
      </c>
    </row>
    <row r="1994" spans="1:25" x14ac:dyDescent="0.25">
      <c r="A1994" s="1096"/>
      <c r="B1994" s="1455">
        <v>1744</v>
      </c>
      <c r="C1994" s="1100">
        <v>0.95722564122186493</v>
      </c>
      <c r="D1994" s="1100">
        <v>0.9817221318832664</v>
      </c>
      <c r="E1994" s="1100">
        <v>0.97645967626152386</v>
      </c>
      <c r="F1994" s="1100">
        <v>1.0030739277378418</v>
      </c>
      <c r="G1994" s="1100">
        <v>0.98331485156192322</v>
      </c>
      <c r="H1994" s="1100">
        <v>1.0126614015067508</v>
      </c>
      <c r="I1994" s="1100">
        <v>0.97056179033265033</v>
      </c>
      <c r="K1994">
        <v>2.2456657624379366</v>
      </c>
      <c r="L1994">
        <v>0</v>
      </c>
      <c r="M1994">
        <v>1.7249573119569634E-3</v>
      </c>
      <c r="N1994">
        <v>0.14609917273676595</v>
      </c>
      <c r="O1994">
        <v>2.07033694170147E-2</v>
      </c>
      <c r="P1994">
        <v>2.5877163936719873E-2</v>
      </c>
      <c r="Q1994">
        <v>5.6378277695414182E-3</v>
      </c>
      <c r="R1994">
        <v>1.7010159930278333E-3</v>
      </c>
      <c r="S1994">
        <v>0.24799626297662949</v>
      </c>
      <c r="T1994">
        <v>1.3479630763963053</v>
      </c>
      <c r="U1994">
        <v>0.14909591209999756</v>
      </c>
      <c r="V1994">
        <v>0.1854698974412782</v>
      </c>
      <c r="W1994">
        <v>9.7342241122026024E-2</v>
      </c>
      <c r="X1994">
        <v>1.4875175067337026E-2</v>
      </c>
      <c r="Y1994">
        <v>4.6296047932503619E-3</v>
      </c>
    </row>
    <row r="1995" spans="1:25" x14ac:dyDescent="0.25">
      <c r="A1995" s="1096"/>
      <c r="B1995" s="1455">
        <v>1745</v>
      </c>
      <c r="C1995" s="1100">
        <v>0.99361101916952954</v>
      </c>
      <c r="D1995" s="1100">
        <v>0.9939375664576543</v>
      </c>
      <c r="E1995" s="1100">
        <v>1.0295113556834572</v>
      </c>
      <c r="F1995" s="1100">
        <v>1.0105145927729264</v>
      </c>
      <c r="G1995" s="1100">
        <v>1.0085070419324629</v>
      </c>
      <c r="H1995" s="1100">
        <v>1.0045900848181577</v>
      </c>
      <c r="I1995" s="1100">
        <v>0.97337374188046621</v>
      </c>
      <c r="K1995">
        <v>2.2396835959431738</v>
      </c>
      <c r="L1995">
        <v>0</v>
      </c>
      <c r="M1995">
        <v>1.4726728235614794E-3</v>
      </c>
      <c r="N1995">
        <v>0.14639301310849079</v>
      </c>
      <c r="O1995">
        <v>1.9924449394599905E-2</v>
      </c>
      <c r="P1995">
        <v>2.6852625774342574E-2</v>
      </c>
      <c r="Q1995">
        <v>5.7224169531467388E-3</v>
      </c>
      <c r="R1995">
        <v>1.4520688320642757E-3</v>
      </c>
      <c r="S1995">
        <v>0.23789764815110068</v>
      </c>
      <c r="T1995">
        <v>1.3580507951740897</v>
      </c>
      <c r="U1995">
        <v>0.14375909716205421</v>
      </c>
      <c r="V1995">
        <v>0.18609618972797717</v>
      </c>
      <c r="W1995">
        <v>9.4517269123307601E-2</v>
      </c>
      <c r="X1995">
        <v>1.6538642679042859E-2</v>
      </c>
      <c r="Y1995">
        <v>3.952052686517115E-3</v>
      </c>
    </row>
    <row r="1996" spans="1:25" x14ac:dyDescent="0.25">
      <c r="A1996" s="1096"/>
      <c r="B1996" s="1455">
        <v>1746</v>
      </c>
      <c r="C1996" s="1100">
        <v>1.0232597532871628</v>
      </c>
      <c r="D1996" s="1100">
        <v>1.0005713986557596</v>
      </c>
      <c r="E1996" s="1100">
        <v>0.97878072356852353</v>
      </c>
      <c r="F1996" s="1100">
        <v>1.0053170044534383</v>
      </c>
      <c r="G1996" s="1100">
        <v>0.98682255021878929</v>
      </c>
      <c r="H1996" s="1100">
        <v>1.0001130864446164</v>
      </c>
      <c r="I1996" s="1100">
        <v>0.99179356470262203</v>
      </c>
      <c r="K1996">
        <v>2.1993046021030809</v>
      </c>
      <c r="L1996">
        <v>0</v>
      </c>
      <c r="M1996">
        <v>1.5793957817990388E-3</v>
      </c>
      <c r="N1996">
        <v>0.13468962136616217</v>
      </c>
      <c r="O1996">
        <v>1.9287865018600747E-2</v>
      </c>
      <c r="P1996">
        <v>2.5596204622631825E-2</v>
      </c>
      <c r="Q1996">
        <v>5.2647873782631308E-3</v>
      </c>
      <c r="R1996">
        <v>1.5571997243283829E-3</v>
      </c>
      <c r="S1996">
        <v>0.23387293068274709</v>
      </c>
      <c r="T1996">
        <v>1.3509799662693123</v>
      </c>
      <c r="U1996">
        <v>0.13947949590808381</v>
      </c>
      <c r="V1996">
        <v>0.18187041100814164</v>
      </c>
      <c r="W1996">
        <v>8.9614420685480145E-2</v>
      </c>
      <c r="X1996">
        <v>1.4432910902258331E-2</v>
      </c>
      <c r="Y1996">
        <v>4.2381843188706945E-3</v>
      </c>
    </row>
    <row r="1997" spans="1:25" x14ac:dyDescent="0.25">
      <c r="A1997" s="1096"/>
      <c r="B1997" s="1455">
        <v>1747</v>
      </c>
      <c r="C1997" s="1100">
        <v>1.0236618787375966</v>
      </c>
      <c r="D1997" s="1100">
        <v>0.98541112479571824</v>
      </c>
      <c r="E1997" s="1100">
        <v>0.99099577366830394</v>
      </c>
      <c r="F1997" s="1100">
        <v>0.97673254831345879</v>
      </c>
      <c r="G1997" s="1100">
        <v>1.010314800975465</v>
      </c>
      <c r="H1997" s="1100">
        <v>0.97915478592519078</v>
      </c>
      <c r="I1997" s="1100">
        <v>0.99712923145199595</v>
      </c>
      <c r="K1997">
        <v>2.1627572339332088</v>
      </c>
      <c r="L1997">
        <v>0</v>
      </c>
      <c r="M1997">
        <v>1.5121794697295825E-3</v>
      </c>
      <c r="N1997">
        <v>0.13377012021951526</v>
      </c>
      <c r="O1997">
        <v>1.9352617059842467E-2</v>
      </c>
      <c r="P1997">
        <v>2.5367909692397585E-2</v>
      </c>
      <c r="Q1997">
        <v>5.3482743727754061E-3</v>
      </c>
      <c r="R1997">
        <v>1.4904731616145203E-3</v>
      </c>
      <c r="S1997">
        <v>0.23528892280372121</v>
      </c>
      <c r="T1997">
        <v>1.3125822351773975</v>
      </c>
      <c r="U1997">
        <v>0.13945211060640325</v>
      </c>
      <c r="V1997">
        <v>0.18451338234328998</v>
      </c>
      <c r="W1997">
        <v>8.8351110536426011E-2</v>
      </c>
      <c r="X1997">
        <v>1.4695680817984922E-2</v>
      </c>
      <c r="Y1997">
        <v>4.0565766115690481E-3</v>
      </c>
    </row>
    <row r="1998" spans="1:25" x14ac:dyDescent="0.25">
      <c r="A1998" s="1096"/>
      <c r="B1998" s="1455">
        <v>1748</v>
      </c>
      <c r="C1998" s="1100">
        <v>1.033303879474003</v>
      </c>
      <c r="D1998" s="1100">
        <v>1.0038013575985898</v>
      </c>
      <c r="E1998" s="1100">
        <v>1.0063397166909203</v>
      </c>
      <c r="F1998" s="1100">
        <v>1.0439360786853755</v>
      </c>
      <c r="G1998" s="1100">
        <v>0.99887607100037457</v>
      </c>
      <c r="H1998" s="1100">
        <v>0.98271397156187468</v>
      </c>
      <c r="I1998" s="1100">
        <v>1.0065094180818224</v>
      </c>
      <c r="K1998">
        <v>2.2503973883386705</v>
      </c>
      <c r="L1998">
        <v>0</v>
      </c>
      <c r="M1998">
        <v>1.4505111214727807E-3</v>
      </c>
      <c r="N1998">
        <v>0.13441089284894123</v>
      </c>
      <c r="O1998">
        <v>1.9103467907023646E-2</v>
      </c>
      <c r="P1998">
        <v>2.6831634484311948E-2</v>
      </c>
      <c r="Q1998">
        <v>5.3615389292852936E-3</v>
      </c>
      <c r="R1998">
        <v>1.4297654302643779E-3</v>
      </c>
      <c r="S1998">
        <v>0.23350589023335505</v>
      </c>
      <c r="T1998">
        <v>1.4029187490487993</v>
      </c>
      <c r="U1998">
        <v>0.13818503101294116</v>
      </c>
      <c r="V1998">
        <v>0.18269266086336361</v>
      </c>
      <c r="W1998">
        <v>8.7967565046708593E-2</v>
      </c>
      <c r="X1998">
        <v>1.5549353476015215E-2</v>
      </c>
      <c r="Y1998">
        <v>3.8913501791322208E-3</v>
      </c>
    </row>
    <row r="1999" spans="1:25" x14ac:dyDescent="0.25">
      <c r="A1999" s="1096"/>
      <c r="B1999" s="1455">
        <v>1749</v>
      </c>
      <c r="C1999" s="1100">
        <v>0.98144504750329398</v>
      </c>
      <c r="D1999" s="1100">
        <v>0.96996447416824871</v>
      </c>
      <c r="E1999" s="1100">
        <v>1.034291182575412</v>
      </c>
      <c r="F1999" s="1100">
        <v>0.96294997513735037</v>
      </c>
      <c r="G1999" s="1100">
        <v>0.95548471655492551</v>
      </c>
      <c r="H1999" s="1100">
        <v>1.019950119591601</v>
      </c>
      <c r="I1999" s="1100">
        <v>1.008528854560051</v>
      </c>
      <c r="K1999">
        <v>2.1973320085140822</v>
      </c>
      <c r="L1999">
        <v>0</v>
      </c>
      <c r="M1999">
        <v>1.5067895890624086E-3</v>
      </c>
      <c r="N1999">
        <v>0.1519904909196324</v>
      </c>
      <c r="O1999">
        <v>2.0283147975274921E-2</v>
      </c>
      <c r="P1999">
        <v>2.622762896117433E-2</v>
      </c>
      <c r="Q1999">
        <v>5.8530033643321442E-3</v>
      </c>
      <c r="R1999">
        <v>1.4860257499779135E-3</v>
      </c>
      <c r="S1999">
        <v>0.25392707859875963</v>
      </c>
      <c r="T1999">
        <v>1.2941382285068466</v>
      </c>
      <c r="U1999">
        <v>0.14555239834698608</v>
      </c>
      <c r="V1999">
        <v>0.18084820518781156</v>
      </c>
      <c r="W1999">
        <v>9.785973749726995E-2</v>
      </c>
      <c r="X1999">
        <v>1.6628380771896937E-2</v>
      </c>
      <c r="Y1999">
        <v>4.0444722231830557E-3</v>
      </c>
    </row>
    <row r="2000" spans="1:25" x14ac:dyDescent="0.25">
      <c r="A2000" s="1096"/>
      <c r="B2000" s="1455">
        <v>1750</v>
      </c>
      <c r="C2000" s="1100">
        <v>1.0080359148324394</v>
      </c>
      <c r="D2000" s="1100">
        <v>1.0131776039318647</v>
      </c>
      <c r="E2000" s="1100">
        <v>0.98012527168556618</v>
      </c>
      <c r="F2000" s="1100">
        <v>1.0115636283780713</v>
      </c>
      <c r="G2000" s="1100">
        <v>0.97375415214356487</v>
      </c>
      <c r="H2000" s="1100">
        <v>1.0218622642528639</v>
      </c>
      <c r="I2000" s="1100">
        <v>1.0004657595068331</v>
      </c>
      <c r="K2000">
        <v>2.2239381616199783</v>
      </c>
      <c r="L2000">
        <v>0</v>
      </c>
      <c r="M2000">
        <v>1.6290729303837018E-3</v>
      </c>
      <c r="N2000">
        <v>0.13953471336184214</v>
      </c>
      <c r="O2000">
        <v>1.9526131687949127E-2</v>
      </c>
      <c r="P2000">
        <v>2.5834198954153936E-2</v>
      </c>
      <c r="Q2000">
        <v>5.3371152152209729E-3</v>
      </c>
      <c r="R2000">
        <v>1.6066660114716165E-3</v>
      </c>
      <c r="S2000">
        <v>0.23972671505639392</v>
      </c>
      <c r="T2000">
        <v>1.3593759505091905</v>
      </c>
      <c r="U2000">
        <v>0.14158904243195139</v>
      </c>
      <c r="V2000">
        <v>0.18126953957990211</v>
      </c>
      <c r="W2000">
        <v>9.2762680731586486E-2</v>
      </c>
      <c r="X2000">
        <v>1.4631665764781388E-2</v>
      </c>
      <c r="Y2000">
        <v>4.3728152459174014E-3</v>
      </c>
    </row>
    <row r="2001" spans="1:25" x14ac:dyDescent="0.25">
      <c r="A2001" s="1096"/>
      <c r="B2001" s="1455">
        <v>1751</v>
      </c>
      <c r="C2001" s="1100">
        <v>1.0373910072253514</v>
      </c>
      <c r="D2001" s="1100">
        <v>0.97199180965009147</v>
      </c>
      <c r="E2001" s="1100">
        <v>0.98439051064442551</v>
      </c>
      <c r="F2001" s="1100">
        <v>0.98871061303342189</v>
      </c>
      <c r="G2001" s="1100">
        <v>1.0211753462736075</v>
      </c>
      <c r="H2001" s="1100">
        <v>0.95536322733091883</v>
      </c>
      <c r="I2001" s="1100">
        <v>0.97256531324531104</v>
      </c>
      <c r="K2001">
        <v>2.1589211545771305</v>
      </c>
      <c r="L2001">
        <v>0</v>
      </c>
      <c r="M2001">
        <v>1.4804153735718036E-3</v>
      </c>
      <c r="N2001">
        <v>0.12832380897538745</v>
      </c>
      <c r="O2001">
        <v>1.9150196895545372E-2</v>
      </c>
      <c r="P2001">
        <v>2.531699568985141E-2</v>
      </c>
      <c r="Q2001">
        <v>5.25707278660197E-3</v>
      </c>
      <c r="R2001">
        <v>1.4586358165463353E-3</v>
      </c>
      <c r="S2001">
        <v>0.22617873066347052</v>
      </c>
      <c r="T2001">
        <v>1.3286703162928462</v>
      </c>
      <c r="U2001">
        <v>0.13759193103875703</v>
      </c>
      <c r="V2001">
        <v>0.18496879059909638</v>
      </c>
      <c r="W2001">
        <v>8.5090634680350261E-2</v>
      </c>
      <c r="X2001">
        <v>1.442453065877429E-2</v>
      </c>
      <c r="Y2001">
        <v>3.9699258534714281E-3</v>
      </c>
    </row>
    <row r="2002" spans="1:25" x14ac:dyDescent="0.25">
      <c r="A2002" s="1096"/>
      <c r="B2002" s="1455">
        <v>1752</v>
      </c>
      <c r="C2002" s="1100">
        <v>0.99597578359398342</v>
      </c>
      <c r="D2002" s="1100">
        <v>0.97137810586824158</v>
      </c>
      <c r="E2002" s="1100">
        <v>0.98416479543225277</v>
      </c>
      <c r="F2002" s="1100">
        <v>0.95158276322231838</v>
      </c>
      <c r="G2002" s="1100">
        <v>0.96847434546619082</v>
      </c>
      <c r="H2002" s="1100">
        <v>1.0030866183341969</v>
      </c>
      <c r="I2002" s="1100">
        <v>0.98539460946167168</v>
      </c>
      <c r="K2002">
        <v>2.1487756020401236</v>
      </c>
      <c r="L2002">
        <v>0</v>
      </c>
      <c r="M2002">
        <v>1.6199827259963902E-3</v>
      </c>
      <c r="N2002">
        <v>0.14042548879502512</v>
      </c>
      <c r="O2002">
        <v>1.9949140750290251E-2</v>
      </c>
      <c r="P2002">
        <v>2.4889998009350874E-2</v>
      </c>
      <c r="Q2002">
        <v>5.4751439683804193E-3</v>
      </c>
      <c r="R2002">
        <v>1.5972837678648608E-3</v>
      </c>
      <c r="S2002">
        <v>0.24257217068306564</v>
      </c>
      <c r="T2002">
        <v>1.2787761041197854</v>
      </c>
      <c r="U2002">
        <v>0.14331283542794765</v>
      </c>
      <c r="V2002">
        <v>0.181388575217413</v>
      </c>
      <c r="W2002">
        <v>9.3127824076312635E-2</v>
      </c>
      <c r="X2002">
        <v>1.4533740079006648E-2</v>
      </c>
      <c r="Y2002">
        <v>4.3472798716755849E-3</v>
      </c>
    </row>
    <row r="2003" spans="1:25" x14ac:dyDescent="0.25">
      <c r="A2003" s="1096"/>
      <c r="B2003" s="1455">
        <v>1753</v>
      </c>
      <c r="C2003" s="1100">
        <v>1.0077386739277889</v>
      </c>
      <c r="D2003" s="1100">
        <v>1.0351763772691498</v>
      </c>
      <c r="E2003" s="1100">
        <v>0.99021371760437171</v>
      </c>
      <c r="F2003" s="1100">
        <v>0.99792649512461951</v>
      </c>
      <c r="G2003" s="1100">
        <v>0.99558017063067972</v>
      </c>
      <c r="H2003" s="1100">
        <v>0.99382305796291204</v>
      </c>
      <c r="I2003" s="1100">
        <v>1.0152562523549189</v>
      </c>
      <c r="K2003">
        <v>2.2011567300412307</v>
      </c>
      <c r="L2003">
        <v>0</v>
      </c>
      <c r="M2003">
        <v>1.5447771367343829E-3</v>
      </c>
      <c r="N2003">
        <v>0.13636035121026246</v>
      </c>
      <c r="O2003">
        <v>1.9445999174426062E-2</v>
      </c>
      <c r="P2003">
        <v>2.5803332100975032E-2</v>
      </c>
      <c r="Q2003">
        <v>5.3698364063631716E-3</v>
      </c>
      <c r="R2003">
        <v>1.5229301904291879E-3</v>
      </c>
      <c r="S2003">
        <v>0.23860686047421159</v>
      </c>
      <c r="T2003">
        <v>1.3410626422238712</v>
      </c>
      <c r="U2003">
        <v>0.14165379911680762</v>
      </c>
      <c r="V2003">
        <v>0.18376270313055015</v>
      </c>
      <c r="W2003">
        <v>9.010406322158758E-2</v>
      </c>
      <c r="X2003">
        <v>1.4864075983935271E-2</v>
      </c>
      <c r="Y2003">
        <v>4.1449139445458982E-3</v>
      </c>
    </row>
    <row r="2004" spans="1:25" x14ac:dyDescent="0.25">
      <c r="A2004" s="1096"/>
      <c r="B2004" s="1455">
        <v>1754</v>
      </c>
      <c r="C2004" s="1100">
        <v>1.0105901084945275</v>
      </c>
      <c r="D2004" s="1100">
        <v>1.0028095948960323</v>
      </c>
      <c r="E2004" s="1100">
        <v>0.96178928342728309</v>
      </c>
      <c r="F2004" s="1100">
        <v>0.97307617238967681</v>
      </c>
      <c r="G2004" s="1100">
        <v>1.0051876591303019</v>
      </c>
      <c r="H2004" s="1100">
        <v>0.98311363404170804</v>
      </c>
      <c r="I2004" s="1100">
        <v>0.98996329171442476</v>
      </c>
      <c r="K2004">
        <v>2.1561003559532899</v>
      </c>
      <c r="L2004">
        <v>0</v>
      </c>
      <c r="M2004">
        <v>1.6273384142509448E-3</v>
      </c>
      <c r="N2004">
        <v>0.13178645989787965</v>
      </c>
      <c r="O2004">
        <v>1.9509631149012573E-2</v>
      </c>
      <c r="P2004">
        <v>2.4760717204091957E-2</v>
      </c>
      <c r="Q2004">
        <v>5.2336502423787319E-3</v>
      </c>
      <c r="R2004">
        <v>1.6040731422593149E-3</v>
      </c>
      <c r="S2004">
        <v>0.23464648313021091</v>
      </c>
      <c r="T2004">
        <v>1.3076380867025881</v>
      </c>
      <c r="U2004">
        <v>0.14118961090960358</v>
      </c>
      <c r="V2004">
        <v>0.18465914901678521</v>
      </c>
      <c r="W2004">
        <v>8.8594113726446808E-2</v>
      </c>
      <c r="X2004">
        <v>1.3739960935621612E-2</v>
      </c>
      <c r="Y2004">
        <v>4.3657583106606239E-3</v>
      </c>
    </row>
    <row r="2005" spans="1:25" x14ac:dyDescent="0.25">
      <c r="A2005" s="1096"/>
      <c r="B2005" s="1455">
        <v>1755</v>
      </c>
      <c r="C2005" s="1100">
        <v>1.0352328398992545</v>
      </c>
      <c r="D2005" s="1100">
        <v>0.9901854704842713</v>
      </c>
      <c r="E2005" s="1100">
        <v>1.0198552879591649</v>
      </c>
      <c r="F2005" s="1100">
        <v>1.003292537752853</v>
      </c>
      <c r="G2005" s="1100">
        <v>1.0242938440881293</v>
      </c>
      <c r="H2005" s="1100">
        <v>1.0028128234679312</v>
      </c>
      <c r="I2005" s="1100">
        <v>1.0149057346194157</v>
      </c>
      <c r="K2005">
        <v>2.2101998477993603</v>
      </c>
      <c r="L2005">
        <v>0</v>
      </c>
      <c r="M2005">
        <v>1.4408160632939132E-3</v>
      </c>
      <c r="N2005">
        <v>0.13911210611643035</v>
      </c>
      <c r="O2005">
        <v>1.9133438876150752E-2</v>
      </c>
      <c r="P2005">
        <v>2.6446240866442362E-2</v>
      </c>
      <c r="Q2005">
        <v>5.4428692662960099E-3</v>
      </c>
      <c r="R2005">
        <v>1.4206220499122769E-3</v>
      </c>
      <c r="S2005">
        <v>0.23831238130764384</v>
      </c>
      <c r="T2005">
        <v>1.3483243666014628</v>
      </c>
      <c r="U2005">
        <v>0.1379576680283193</v>
      </c>
      <c r="V2005">
        <v>0.18547041231533629</v>
      </c>
      <c r="W2005">
        <v>9.0323383942010574E-2</v>
      </c>
      <c r="X2005">
        <v>1.5830709580723117E-2</v>
      </c>
      <c r="Y2005">
        <v>3.8664649119283245E-3</v>
      </c>
    </row>
    <row r="2006" spans="1:25" x14ac:dyDescent="0.25">
      <c r="A2006" s="1096"/>
      <c r="B2006" s="1455">
        <v>1756</v>
      </c>
      <c r="C2006" s="1100">
        <v>1.0124135175187512</v>
      </c>
      <c r="D2006" s="1100">
        <v>0.99467868157856976</v>
      </c>
      <c r="E2006" s="1100">
        <v>1.031513339785711</v>
      </c>
      <c r="F2006" s="1100">
        <v>0.99101007699331134</v>
      </c>
      <c r="G2006" s="1100">
        <v>0.99435562360254737</v>
      </c>
      <c r="H2006" s="1100">
        <v>1.0108331303807088</v>
      </c>
      <c r="I2006" s="1100">
        <v>1.0282565394086365</v>
      </c>
      <c r="K2006">
        <v>2.2136282299165719</v>
      </c>
      <c r="L2006">
        <v>0</v>
      </c>
      <c r="M2006">
        <v>1.4480121968221326E-3</v>
      </c>
      <c r="N2006">
        <v>0.14482558090170747</v>
      </c>
      <c r="O2006">
        <v>1.9552449558614116E-2</v>
      </c>
      <c r="P2006">
        <v>2.657891221195708E-2</v>
      </c>
      <c r="Q2006">
        <v>5.6266995239540058E-3</v>
      </c>
      <c r="R2006">
        <v>1.4278783514329418E-3</v>
      </c>
      <c r="S2006">
        <v>0.24707711908827662</v>
      </c>
      <c r="T2006">
        <v>1.3318427429236881</v>
      </c>
      <c r="U2006">
        <v>0.1410937832837299</v>
      </c>
      <c r="V2006">
        <v>0.18338914043616902</v>
      </c>
      <c r="W2006">
        <v>9.3396715256367183E-2</v>
      </c>
      <c r="X2006">
        <v>1.6379006404869976E-2</v>
      </c>
      <c r="Y2006">
        <v>3.8862141726284205E-3</v>
      </c>
    </row>
    <row r="2007" spans="1:25" x14ac:dyDescent="0.25">
      <c r="A2007" s="1096"/>
      <c r="B2007" s="1455">
        <v>1757</v>
      </c>
      <c r="C2007" s="1100">
        <v>0.97656419838268227</v>
      </c>
      <c r="D2007" s="1100">
        <v>1.0023100265713014</v>
      </c>
      <c r="E2007" s="1100">
        <v>0.9594265762075167</v>
      </c>
      <c r="F2007" s="1100">
        <v>1.0152373795627974</v>
      </c>
      <c r="G2007" s="1100">
        <v>1.0211809500812012</v>
      </c>
      <c r="H2007" s="1100">
        <v>1.0295249386016903</v>
      </c>
      <c r="I2007" s="1100">
        <v>1.0410923672953103</v>
      </c>
      <c r="K2007">
        <v>2.2673578715530356</v>
      </c>
      <c r="L2007">
        <v>0</v>
      </c>
      <c r="M2007">
        <v>1.7723439529674992E-3</v>
      </c>
      <c r="N2007">
        <v>0.14259874131442662</v>
      </c>
      <c r="O2007">
        <v>2.0190107513217464E-2</v>
      </c>
      <c r="P2007">
        <v>2.5908141892714953E-2</v>
      </c>
      <c r="Q2007">
        <v>5.403062466803425E-3</v>
      </c>
      <c r="R2007">
        <v>1.748147867295856E-3</v>
      </c>
      <c r="S2007">
        <v>0.25936577482557605</v>
      </c>
      <c r="T2007">
        <v>1.3642933753646538</v>
      </c>
      <c r="U2007">
        <v>0.14610347177520319</v>
      </c>
      <c r="V2007">
        <v>0.18850927819268373</v>
      </c>
      <c r="W2007">
        <v>9.6001711003833992E-2</v>
      </c>
      <c r="X2007">
        <v>1.4250521071602969E-2</v>
      </c>
      <c r="Y2007">
        <v>4.757882217989744E-3</v>
      </c>
    </row>
    <row r="2008" spans="1:25" x14ac:dyDescent="0.25">
      <c r="A2008" s="1096"/>
      <c r="B2008" s="1455">
        <v>1758</v>
      </c>
      <c r="C2008" s="1100">
        <v>1.0039808361413778</v>
      </c>
      <c r="D2008" s="1100">
        <v>1.0024124016312437</v>
      </c>
      <c r="E2008" s="1100">
        <v>1.011220690808186</v>
      </c>
      <c r="F2008" s="1100">
        <v>0.98150213205827974</v>
      </c>
      <c r="G2008" s="1100">
        <v>0.98321940698427346</v>
      </c>
      <c r="H2008" s="1100">
        <v>1.0185626006480355</v>
      </c>
      <c r="I2008" s="1100">
        <v>1.0041629206660727</v>
      </c>
      <c r="K2008">
        <v>2.1958237122668014</v>
      </c>
      <c r="L2008">
        <v>0</v>
      </c>
      <c r="M2008">
        <v>1.5321933062277244E-3</v>
      </c>
      <c r="N2008">
        <v>0.14416136208385957</v>
      </c>
      <c r="O2008">
        <v>1.9670448306054411E-2</v>
      </c>
      <c r="P2008">
        <v>2.5957500972379657E-2</v>
      </c>
      <c r="Q2008">
        <v>5.5476870135978198E-3</v>
      </c>
      <c r="R2008">
        <v>1.5110506371769881E-3</v>
      </c>
      <c r="S2008">
        <v>0.24284142147194093</v>
      </c>
      <c r="T2008">
        <v>1.3190239169769469</v>
      </c>
      <c r="U2008">
        <v>0.14223217846563341</v>
      </c>
      <c r="V2008">
        <v>0.18260427659446604</v>
      </c>
      <c r="W2008">
        <v>9.4077505870630934E-2</v>
      </c>
      <c r="X2008">
        <v>1.5615975463653902E-2</v>
      </c>
      <c r="Y2008">
        <v>4.112581716687087E-3</v>
      </c>
    </row>
    <row r="2009" spans="1:25" x14ac:dyDescent="0.25">
      <c r="A2009" s="1096"/>
      <c r="B2009" s="1455">
        <v>1759</v>
      </c>
      <c r="C2009" s="1100">
        <v>1.0016272090572789</v>
      </c>
      <c r="D2009" s="1100">
        <v>0.99657903494603384</v>
      </c>
      <c r="E2009" s="1100">
        <v>1.0130509604309252</v>
      </c>
      <c r="F2009" s="1100">
        <v>1.0227307864792829</v>
      </c>
      <c r="G2009" s="1100">
        <v>0.97549035344035584</v>
      </c>
      <c r="H2009" s="1100">
        <v>1.0442871391683464</v>
      </c>
      <c r="I2009" s="1100">
        <v>0.98883488714122791</v>
      </c>
      <c r="K2009">
        <v>2.2591305037063618</v>
      </c>
      <c r="L2009">
        <v>0</v>
      </c>
      <c r="M2009">
        <v>1.5706188549247039E-3</v>
      </c>
      <c r="N2009">
        <v>0.14864665481778119</v>
      </c>
      <c r="O2009">
        <v>1.9743146757899534E-2</v>
      </c>
      <c r="P2009">
        <v>2.6744961451013457E-2</v>
      </c>
      <c r="Q2009">
        <v>5.5783751834408927E-3</v>
      </c>
      <c r="R2009">
        <v>1.5494798347065292E-3</v>
      </c>
      <c r="S2009">
        <v>0.24244427693542694</v>
      </c>
      <c r="T2009">
        <v>1.3744338710580608</v>
      </c>
      <c r="U2009">
        <v>0.14257061102181451</v>
      </c>
      <c r="V2009">
        <v>0.18187116547807827</v>
      </c>
      <c r="W2009">
        <v>9.6900078029049E-2</v>
      </c>
      <c r="X2009">
        <v>1.6001328669832768E-2</v>
      </c>
      <c r="Y2009">
        <v>4.2171733241809393E-3</v>
      </c>
    </row>
    <row r="2010" spans="1:25" x14ac:dyDescent="0.25">
      <c r="A2010" s="1096"/>
      <c r="B2010" s="1455">
        <v>1760</v>
      </c>
      <c r="C2010" s="1100">
        <v>0.98256563890700377</v>
      </c>
      <c r="D2010" s="1100">
        <v>0.99030853681074238</v>
      </c>
      <c r="E2010" s="1100">
        <v>0.99087992847593331</v>
      </c>
      <c r="F2010" s="1100">
        <v>1.0221175007454142</v>
      </c>
      <c r="G2010" s="1100">
        <v>1.0439289831133833</v>
      </c>
      <c r="H2010" s="1100">
        <v>0.9825225923766443</v>
      </c>
      <c r="I2010" s="1100">
        <v>0.97687450472055459</v>
      </c>
      <c r="K2010">
        <v>2.2529975187294902</v>
      </c>
      <c r="L2010">
        <v>0</v>
      </c>
      <c r="M2010">
        <v>1.5795014501455455E-3</v>
      </c>
      <c r="N2010">
        <v>0.13968358941380254</v>
      </c>
      <c r="O2010">
        <v>2.0139996844448532E-2</v>
      </c>
      <c r="P2010">
        <v>2.6416956055397685E-2</v>
      </c>
      <c r="Q2010">
        <v>5.5652227007862709E-3</v>
      </c>
      <c r="R2010">
        <v>1.556906496202061E-3</v>
      </c>
      <c r="S2010">
        <v>0.2398214138610941</v>
      </c>
      <c r="T2010">
        <v>1.3735726476696428</v>
      </c>
      <c r="U2010">
        <v>0.14528448538747746</v>
      </c>
      <c r="V2010">
        <v>0.19073653030812418</v>
      </c>
      <c r="W2010">
        <v>9.2263175672258294E-2</v>
      </c>
      <c r="X2010">
        <v>1.5298709521829072E-2</v>
      </c>
      <c r="Y2010">
        <v>4.2373862485734709E-3</v>
      </c>
    </row>
    <row r="2011" spans="1:25" x14ac:dyDescent="0.25">
      <c r="A2011" s="1096"/>
      <c r="B2011" s="1455">
        <v>1761</v>
      </c>
      <c r="C2011" s="1100">
        <v>1.0114147839288601</v>
      </c>
      <c r="D2011" s="1100">
        <v>0.97178433378039941</v>
      </c>
      <c r="E2011" s="1100">
        <v>0.99631227231847364</v>
      </c>
      <c r="F2011" s="1100">
        <v>1.0115428267537301</v>
      </c>
      <c r="G2011" s="1100">
        <v>0.99802667384839838</v>
      </c>
      <c r="H2011" s="1100">
        <v>0.98801356645678606</v>
      </c>
      <c r="I2011" s="1100">
        <v>1.0239270305668922</v>
      </c>
      <c r="K2011">
        <v>2.2305474934056915</v>
      </c>
      <c r="L2011">
        <v>0</v>
      </c>
      <c r="M2011">
        <v>1.5321028109480884E-3</v>
      </c>
      <c r="N2011">
        <v>0.13774613158857354</v>
      </c>
      <c r="O2011">
        <v>1.965035330311906E-2</v>
      </c>
      <c r="P2011">
        <v>2.6279364683411608E-2</v>
      </c>
      <c r="Q2011">
        <v>5.4597580546779474E-3</v>
      </c>
      <c r="R2011">
        <v>1.5103077053101462E-3</v>
      </c>
      <c r="S2011">
        <v>0.24702273250466272</v>
      </c>
      <c r="T2011">
        <v>1.3593698540187591</v>
      </c>
      <c r="U2011">
        <v>0.14115280871444683</v>
      </c>
      <c r="V2011">
        <v>0.18383055293817804</v>
      </c>
      <c r="W2011">
        <v>9.0688685942909755E-2</v>
      </c>
      <c r="X2011">
        <v>1.5258487061535526E-2</v>
      </c>
      <c r="Y2011">
        <v>4.110559701052968E-3</v>
      </c>
    </row>
    <row r="2012" spans="1:25" x14ac:dyDescent="0.25">
      <c r="A2012" s="1096"/>
      <c r="B2012" s="1455">
        <v>1762</v>
      </c>
      <c r="C2012" s="1100">
        <v>1.037000517953798</v>
      </c>
      <c r="D2012" s="1100">
        <v>0.99208241447475198</v>
      </c>
      <c r="E2012" s="1100">
        <v>0.96791215481197534</v>
      </c>
      <c r="F2012" s="1100">
        <v>0.98319997469044529</v>
      </c>
      <c r="G2012" s="1100">
        <v>0.98266587260747784</v>
      </c>
      <c r="H2012" s="1100">
        <v>0.97729789606413375</v>
      </c>
      <c r="I2012" s="1100">
        <v>1.0047912803379537</v>
      </c>
      <c r="K2012">
        <v>2.1544985769341971</v>
      </c>
      <c r="L2012">
        <v>0</v>
      </c>
      <c r="M2012">
        <v>1.5604134084830083E-3</v>
      </c>
      <c r="N2012">
        <v>0.1287210876257282</v>
      </c>
      <c r="O2012">
        <v>1.9061470162812743E-2</v>
      </c>
      <c r="P2012">
        <v>2.4934747189650358E-2</v>
      </c>
      <c r="Q2012">
        <v>5.1456197649711486E-3</v>
      </c>
      <c r="R2012">
        <v>1.5379721769462557E-3</v>
      </c>
      <c r="S2012">
        <v>0.23294159101657677</v>
      </c>
      <c r="T2012">
        <v>1.321247569244526</v>
      </c>
      <c r="U2012">
        <v>0.13760729850447745</v>
      </c>
      <c r="V2012">
        <v>0.18062383640652499</v>
      </c>
      <c r="W2012">
        <v>8.6210210339615609E-2</v>
      </c>
      <c r="X2012">
        <v>1.3841734637595094E-2</v>
      </c>
      <c r="Y2012">
        <v>4.1858532732558344E-3</v>
      </c>
    </row>
    <row r="2013" spans="1:25" x14ac:dyDescent="0.25">
      <c r="A2013" s="1096"/>
      <c r="B2013" s="1455">
        <v>1763</v>
      </c>
      <c r="C2013" s="1100">
        <v>0.97699306665820973</v>
      </c>
      <c r="D2013" s="1100">
        <v>0.99023968453390721</v>
      </c>
      <c r="E2013" s="1100">
        <v>1.0080851455938225</v>
      </c>
      <c r="F2013" s="1100">
        <v>0.9814811390810334</v>
      </c>
      <c r="G2013" s="1100">
        <v>0.97965578767064798</v>
      </c>
      <c r="H2013" s="1100">
        <v>0.9666381292920595</v>
      </c>
      <c r="I2013" s="1100">
        <v>0.99523599088896142</v>
      </c>
      <c r="K2013">
        <v>2.1974613156665384</v>
      </c>
      <c r="L2013">
        <v>0</v>
      </c>
      <c r="M2013">
        <v>1.5080645575463272E-3</v>
      </c>
      <c r="N2013">
        <v>0.14044862259749558</v>
      </c>
      <c r="O2013">
        <v>2.0266204708480999E-2</v>
      </c>
      <c r="P2013">
        <v>2.5991298414013909E-2</v>
      </c>
      <c r="Q2013">
        <v>5.6978183468437962E-3</v>
      </c>
      <c r="R2013">
        <v>1.4861370136949384E-3</v>
      </c>
      <c r="S2013">
        <v>0.24456523811305278</v>
      </c>
      <c r="T2013">
        <v>1.3189901627663962</v>
      </c>
      <c r="U2013">
        <v>0.14615370009630724</v>
      </c>
      <c r="V2013">
        <v>0.18383109662015548</v>
      </c>
      <c r="W2013">
        <v>9.1824297356368406E-2</v>
      </c>
      <c r="X2013">
        <v>1.5670029144930389E-2</v>
      </c>
      <c r="Y2013">
        <v>4.0447750463427226E-3</v>
      </c>
    </row>
    <row r="2014" spans="1:25" x14ac:dyDescent="0.25">
      <c r="A2014" s="1096"/>
      <c r="B2014" s="1455">
        <v>1764</v>
      </c>
      <c r="C2014" s="1100">
        <v>0.9853780430350203</v>
      </c>
      <c r="D2014" s="1100">
        <v>0.97912380594776505</v>
      </c>
      <c r="E2014" s="1100">
        <v>0.9976834992998217</v>
      </c>
      <c r="F2014" s="1100">
        <v>0.99233231998637572</v>
      </c>
      <c r="G2014" s="1100">
        <v>1.0165320738438135</v>
      </c>
      <c r="H2014" s="1100">
        <v>0.97181855749087653</v>
      </c>
      <c r="I2014" s="1100">
        <v>1.0320499776453884</v>
      </c>
      <c r="K2014">
        <v>2.220946602302905</v>
      </c>
      <c r="L2014">
        <v>0</v>
      </c>
      <c r="M2014">
        <v>1.539866254803854E-3</v>
      </c>
      <c r="N2014">
        <v>0.13898554332475699</v>
      </c>
      <c r="O2014">
        <v>2.0137089886031315E-2</v>
      </c>
      <c r="P2014">
        <v>2.6139944384460878E-2</v>
      </c>
      <c r="Q2014">
        <v>5.6027254285304032E-3</v>
      </c>
      <c r="R2014">
        <v>1.5175956613120423E-3</v>
      </c>
      <c r="S2014">
        <v>0.25324145682588589</v>
      </c>
      <c r="T2014">
        <v>1.3335557396317654</v>
      </c>
      <c r="U2014">
        <v>0.14488570558707889</v>
      </c>
      <c r="V2014">
        <v>0.18747330283603272</v>
      </c>
      <c r="W2014">
        <v>9.1429963148567134E-2</v>
      </c>
      <c r="X2014">
        <v>1.5387006728468579E-2</v>
      </c>
      <c r="Y2014">
        <v>4.1303951148160788E-3</v>
      </c>
    </row>
    <row r="2015" spans="1:25" x14ac:dyDescent="0.25">
      <c r="A2015" s="1096"/>
      <c r="B2015" s="1455">
        <v>1765</v>
      </c>
      <c r="C2015" s="1100">
        <v>1.0303759856605028</v>
      </c>
      <c r="D2015" s="1100">
        <v>0.98244490042543497</v>
      </c>
      <c r="E2015" s="1100">
        <v>1.0219951942287437</v>
      </c>
      <c r="F2015" s="1100">
        <v>0.98498304761271549</v>
      </c>
      <c r="G2015" s="1100">
        <v>1.0175782111073195</v>
      </c>
      <c r="H2015" s="1100">
        <v>1.0047516494041313</v>
      </c>
      <c r="I2015" s="1100">
        <v>0.97471385242767761</v>
      </c>
      <c r="K2015">
        <v>2.1805157857619908</v>
      </c>
      <c r="L2015">
        <v>0</v>
      </c>
      <c r="M2015">
        <v>1.4464572625089915E-3</v>
      </c>
      <c r="N2015">
        <v>0.1405650525066276</v>
      </c>
      <c r="O2015">
        <v>1.9258153634065252E-2</v>
      </c>
      <c r="P2015">
        <v>2.604775004264798E-2</v>
      </c>
      <c r="Q2015">
        <v>5.4900077007259008E-3</v>
      </c>
      <c r="R2015">
        <v>1.4262233039837307E-3</v>
      </c>
      <c r="S2015">
        <v>0.23102147129670028</v>
      </c>
      <c r="T2015">
        <v>1.3237225568706374</v>
      </c>
      <c r="U2015">
        <v>0.13861275195946016</v>
      </c>
      <c r="V2015">
        <v>0.18498342876060203</v>
      </c>
      <c r="W2015">
        <v>9.115265227761539E-2</v>
      </c>
      <c r="X2015">
        <v>1.5800484992378204E-2</v>
      </c>
      <c r="Y2015">
        <v>3.8817096790579137E-3</v>
      </c>
    </row>
    <row r="2016" spans="1:25" x14ac:dyDescent="0.25">
      <c r="A2016" s="1096"/>
      <c r="B2016" s="1455">
        <v>1766</v>
      </c>
      <c r="C2016" s="1100">
        <v>0.99675140290898412</v>
      </c>
      <c r="D2016" s="1100">
        <v>1.0159987270041524</v>
      </c>
      <c r="E2016" s="1100">
        <v>0.99806219705111265</v>
      </c>
      <c r="F2016" s="1100">
        <v>1.0239402607115076</v>
      </c>
      <c r="G2016" s="1100">
        <v>0.98515000383699536</v>
      </c>
      <c r="H2016" s="1100">
        <v>0.99845629709807426</v>
      </c>
      <c r="I2016" s="1100">
        <v>0.97619162702488849</v>
      </c>
      <c r="K2016">
        <v>2.2404876870037795</v>
      </c>
      <c r="L2016">
        <v>0</v>
      </c>
      <c r="M2016">
        <v>1.550135408788961E-3</v>
      </c>
      <c r="N2016">
        <v>0.14012745286198861</v>
      </c>
      <c r="O2016">
        <v>1.9746299137744752E-2</v>
      </c>
      <c r="P2016">
        <v>2.6390903240106768E-2</v>
      </c>
      <c r="Q2016">
        <v>5.4960902532580668E-3</v>
      </c>
      <c r="R2016">
        <v>1.5283144136152384E-3</v>
      </c>
      <c r="S2016">
        <v>0.23453660122583317</v>
      </c>
      <c r="T2016">
        <v>1.3760329871767274</v>
      </c>
      <c r="U2016">
        <v>0.14323337214207224</v>
      </c>
      <c r="V2016">
        <v>0.18323937903976081</v>
      </c>
      <c r="W2016">
        <v>9.2160374149597254E-2</v>
      </c>
      <c r="X2016">
        <v>1.5386480746714795E-2</v>
      </c>
      <c r="Y2016">
        <v>4.1595680251496321E-3</v>
      </c>
    </row>
    <row r="2017" spans="1:25" x14ac:dyDescent="0.25">
      <c r="A2017" s="1096"/>
      <c r="B2017" s="1455">
        <v>1767</v>
      </c>
      <c r="C2017" s="1100">
        <v>1.0271425658147111</v>
      </c>
      <c r="D2017" s="1100">
        <v>1.0315747426873354</v>
      </c>
      <c r="E2017" s="1100">
        <v>0.97422225121636397</v>
      </c>
      <c r="F2017" s="1100">
        <v>0.97717216982691957</v>
      </c>
      <c r="G2017" s="1100">
        <v>1.0245886123667014</v>
      </c>
      <c r="H2017" s="1100">
        <v>1.0004378296944743</v>
      </c>
      <c r="I2017" s="1100">
        <v>1.0227095223602907</v>
      </c>
      <c r="K2017">
        <v>2.1635908152971401</v>
      </c>
      <c r="L2017">
        <v>0</v>
      </c>
      <c r="M2017">
        <v>1.5782031335282412E-3</v>
      </c>
      <c r="N2017">
        <v>0.13274451011554131</v>
      </c>
      <c r="O2017">
        <v>1.9083645036825435E-2</v>
      </c>
      <c r="P2017">
        <v>2.5085216965374788E-2</v>
      </c>
      <c r="Q2017">
        <v>5.1849181187505989E-3</v>
      </c>
      <c r="R2017">
        <v>1.5560310363790209E-3</v>
      </c>
      <c r="S2017">
        <v>0.23662968079541524</v>
      </c>
      <c r="T2017">
        <v>1.3131531603529845</v>
      </c>
      <c r="U2017">
        <v>0.13894205545279303</v>
      </c>
      <c r="V2017">
        <v>0.18591681343917246</v>
      </c>
      <c r="W2017">
        <v>8.8564374759172004E-2</v>
      </c>
      <c r="X2017">
        <v>1.4073608822727004E-2</v>
      </c>
      <c r="Y2017">
        <v>4.2350035355304102E-3</v>
      </c>
    </row>
    <row r="2018" spans="1:25" x14ac:dyDescent="0.25">
      <c r="A2018" s="1096"/>
      <c r="B2018" s="1455">
        <v>1768</v>
      </c>
      <c r="C2018" s="1100">
        <v>0.98617621976751446</v>
      </c>
      <c r="D2018" s="1100">
        <v>1.0271302938924647</v>
      </c>
      <c r="E2018" s="1100">
        <v>0.97403545815243497</v>
      </c>
      <c r="F2018" s="1100">
        <v>0.99832279415861425</v>
      </c>
      <c r="G2018" s="1100">
        <v>0.9801294661750215</v>
      </c>
      <c r="H2018" s="1100">
        <v>1.0005965671245121</v>
      </c>
      <c r="I2018" s="1100">
        <v>1.0022740868421101</v>
      </c>
      <c r="K2018">
        <v>2.2121065893023939</v>
      </c>
      <c r="L2018">
        <v>0</v>
      </c>
      <c r="M2018">
        <v>1.646220967439692E-3</v>
      </c>
      <c r="N2018">
        <v>0.13838761386095846</v>
      </c>
      <c r="O2018">
        <v>1.9895163377382164E-2</v>
      </c>
      <c r="P2018">
        <v>2.5576685967371705E-2</v>
      </c>
      <c r="Q2018">
        <v>5.4043735378495536E-3</v>
      </c>
      <c r="R2018">
        <v>1.6230969601716233E-3</v>
      </c>
      <c r="S2018">
        <v>0.24206283776063983</v>
      </c>
      <c r="T2018">
        <v>1.341575810252281</v>
      </c>
      <c r="U2018">
        <v>0.14471335672194649</v>
      </c>
      <c r="V2018">
        <v>0.18328906353057089</v>
      </c>
      <c r="W2018">
        <v>9.2339799170002859E-2</v>
      </c>
      <c r="X2018">
        <v>1.4467474258841536E-2</v>
      </c>
      <c r="Y2018">
        <v>4.4175348718180369E-3</v>
      </c>
    </row>
    <row r="2019" spans="1:25" x14ac:dyDescent="0.25">
      <c r="A2019" s="1096"/>
      <c r="B2019" s="1455">
        <v>1769</v>
      </c>
      <c r="C2019" s="1100">
        <v>1.0027536224482185</v>
      </c>
      <c r="D2019" s="1100">
        <v>0.97616073052367514</v>
      </c>
      <c r="E2019" s="1100">
        <v>1.0006909495545553</v>
      </c>
      <c r="F2019" s="1100">
        <v>0.98286125961268889</v>
      </c>
      <c r="G2019" s="1100">
        <v>1.0205386333261999</v>
      </c>
      <c r="H2019" s="1100">
        <v>0.97411523412288192</v>
      </c>
      <c r="I2019" s="1100">
        <v>0.99661663362390807</v>
      </c>
      <c r="K2019">
        <v>2.189011739278047</v>
      </c>
      <c r="L2019">
        <v>0</v>
      </c>
      <c r="M2019">
        <v>1.5083336581554003E-3</v>
      </c>
      <c r="N2019">
        <v>0.13738691709441508</v>
      </c>
      <c r="O2019">
        <v>1.9803239199470284E-2</v>
      </c>
      <c r="P2019">
        <v>2.5814040203014407E-2</v>
      </c>
      <c r="Q2019">
        <v>5.5265275452693477E-3</v>
      </c>
      <c r="R2019">
        <v>1.4865705428050307E-3</v>
      </c>
      <c r="S2019">
        <v>0.2408837685958656</v>
      </c>
      <c r="T2019">
        <v>1.3208326140125934</v>
      </c>
      <c r="U2019">
        <v>0.14238204984624073</v>
      </c>
      <c r="V2019">
        <v>0.18688563341534986</v>
      </c>
      <c r="W2019">
        <v>9.021681891798379E-2</v>
      </c>
      <c r="X2019">
        <v>1.525593859352743E-2</v>
      </c>
      <c r="Y2019">
        <v>4.0459549696675607E-3</v>
      </c>
    </row>
    <row r="2020" spans="1:25" x14ac:dyDescent="0.25">
      <c r="A2020" s="1096"/>
      <c r="B2020" s="1455">
        <v>1770</v>
      </c>
      <c r="C2020" s="1100">
        <v>1.0174048849586739</v>
      </c>
      <c r="D2020" s="1100">
        <v>1.0149688304211311</v>
      </c>
      <c r="E2020" s="1100">
        <v>1.0004552926642556</v>
      </c>
      <c r="F2020" s="1100">
        <v>0.97584549607893589</v>
      </c>
      <c r="G2020" s="1100">
        <v>1.0070423025698649</v>
      </c>
      <c r="H2020" s="1100">
        <v>0.95410149477713413</v>
      </c>
      <c r="I2020" s="1100">
        <v>1.0145639971565419</v>
      </c>
      <c r="K2020">
        <v>2.1585343848633602</v>
      </c>
      <c r="L2020">
        <v>0</v>
      </c>
      <c r="M2020">
        <v>1.4443401867223879E-3</v>
      </c>
      <c r="N2020">
        <v>0.13142405719262659</v>
      </c>
      <c r="O2020">
        <v>1.9351227352642882E-2</v>
      </c>
      <c r="P2020">
        <v>2.5545687403448768E-2</v>
      </c>
      <c r="Q2020">
        <v>5.3991050695547582E-3</v>
      </c>
      <c r="R2020">
        <v>1.4230632601072077E-3</v>
      </c>
      <c r="S2020">
        <v>0.23541304888436032</v>
      </c>
      <c r="T2020">
        <v>1.3114040076283884</v>
      </c>
      <c r="U2020">
        <v>0.14033112653592184</v>
      </c>
      <c r="V2020">
        <v>0.18450789429845474</v>
      </c>
      <c r="W2020">
        <v>8.631331605088198E-2</v>
      </c>
      <c r="X2020">
        <v>1.4993082292360143E-2</v>
      </c>
      <c r="Y2020">
        <v>3.8731090813342002E-3</v>
      </c>
    </row>
    <row r="2021" spans="1:25" x14ac:dyDescent="0.25">
      <c r="A2021" s="1096"/>
      <c r="B2021" s="1455">
        <v>1771</v>
      </c>
      <c r="C2021" s="1100">
        <v>0.99940509952659673</v>
      </c>
      <c r="D2021" s="1100">
        <v>0.99206175726407042</v>
      </c>
      <c r="E2021" s="1100">
        <v>1.0033646697150238</v>
      </c>
      <c r="F2021" s="1100">
        <v>1.0194422730096886</v>
      </c>
      <c r="G2021" s="1100">
        <v>0.99975638139080947</v>
      </c>
      <c r="H2021" s="1100">
        <v>1.0138362996928973</v>
      </c>
      <c r="I2021" s="1100">
        <v>0.9970128189417955</v>
      </c>
      <c r="K2021">
        <v>2.2497311368954338</v>
      </c>
      <c r="L2021">
        <v>0</v>
      </c>
      <c r="M2021">
        <v>1.560825585605364E-3</v>
      </c>
      <c r="N2021">
        <v>0.1434032578577718</v>
      </c>
      <c r="O2021">
        <v>1.9800758239045518E-2</v>
      </c>
      <c r="P2021">
        <v>2.6544485561749515E-2</v>
      </c>
      <c r="Q2021">
        <v>5.5406895141794834E-3</v>
      </c>
      <c r="R2021">
        <v>1.5391874162443266E-3</v>
      </c>
      <c r="S2021">
        <v>0.24303071716526456</v>
      </c>
      <c r="T2021">
        <v>1.3699970083632669</v>
      </c>
      <c r="U2021">
        <v>0.14286526456949919</v>
      </c>
      <c r="V2021">
        <v>0.18473707704508621</v>
      </c>
      <c r="W2021">
        <v>9.4018238448414129E-2</v>
      </c>
      <c r="X2021">
        <v>1.5626117546496097E-2</v>
      </c>
      <c r="Y2021">
        <v>4.1891607540216549E-3</v>
      </c>
    </row>
    <row r="2022" spans="1:25" x14ac:dyDescent="0.25">
      <c r="A2022" s="1096"/>
      <c r="B2022" s="1455">
        <v>1772</v>
      </c>
      <c r="C2022" s="1100">
        <v>1.0040684015117953</v>
      </c>
      <c r="D2022" s="1100">
        <v>0.9578814012544058</v>
      </c>
      <c r="E2022" s="1100">
        <v>1.0220566147203931</v>
      </c>
      <c r="F2022" s="1100">
        <v>0.97045919246719325</v>
      </c>
      <c r="G2022" s="1100">
        <v>0.99471734355083785</v>
      </c>
      <c r="H2022" s="1100">
        <v>1.0293340168193297</v>
      </c>
      <c r="I2022" s="1100">
        <v>0.9801340090790176</v>
      </c>
      <c r="K2022">
        <v>2.190447504947759</v>
      </c>
      <c r="L2022">
        <v>0</v>
      </c>
      <c r="M2022">
        <v>1.5289713097250985E-3</v>
      </c>
      <c r="N2022">
        <v>0.14866155403478723</v>
      </c>
      <c r="O2022">
        <v>1.9873169784632456E-2</v>
      </c>
      <c r="P2022">
        <v>2.5985253913709792E-2</v>
      </c>
      <c r="Q2022">
        <v>5.6656786511793981E-3</v>
      </c>
      <c r="R2022">
        <v>1.5080938820535047E-3</v>
      </c>
      <c r="S2022">
        <v>0.24338618374868087</v>
      </c>
      <c r="T2022">
        <v>1.3042040144842795</v>
      </c>
      <c r="U2022">
        <v>0.14224468432044235</v>
      </c>
      <c r="V2022">
        <v>0.18390857298674551</v>
      </c>
      <c r="W2022">
        <v>9.6399556950645421E-2</v>
      </c>
      <c r="X2022">
        <v>1.6035179096394816E-2</v>
      </c>
      <c r="Y2022">
        <v>4.1045344039350312E-3</v>
      </c>
    </row>
    <row r="2023" spans="1:25" x14ac:dyDescent="0.25">
      <c r="A2023" s="1096"/>
      <c r="B2023" s="1455">
        <v>1773</v>
      </c>
      <c r="C2023" s="1100">
        <v>0.95975452642128378</v>
      </c>
      <c r="D2023" s="1100">
        <v>0.98673060918034738</v>
      </c>
      <c r="E2023" s="1100">
        <v>0.97906505359243667</v>
      </c>
      <c r="F2023" s="1100">
        <v>1.0386368465069211</v>
      </c>
      <c r="G2023" s="1100">
        <v>1.0157973206557331</v>
      </c>
      <c r="H2023" s="1100">
        <v>1.0025857411237555</v>
      </c>
      <c r="I2023" s="1100">
        <v>1.0057914598404001</v>
      </c>
      <c r="K2023">
        <v>2.301514156096629</v>
      </c>
      <c r="L2023">
        <v>0</v>
      </c>
      <c r="M2023">
        <v>1.6922507117765029E-3</v>
      </c>
      <c r="N2023">
        <v>0.14444309237778122</v>
      </c>
      <c r="O2023">
        <v>2.0627408194587863E-2</v>
      </c>
      <c r="P2023">
        <v>2.6704296414454962E-2</v>
      </c>
      <c r="Q2023">
        <v>5.6320554830702639E-3</v>
      </c>
      <c r="R2023">
        <v>1.668527299374212E-3</v>
      </c>
      <c r="S2023">
        <v>0.25484306288583225</v>
      </c>
      <c r="T2023">
        <v>1.3957566631365421</v>
      </c>
      <c r="U2023">
        <v>0.14870928246735227</v>
      </c>
      <c r="V2023">
        <v>0.18898086007617118</v>
      </c>
      <c r="W2023">
        <v>9.6087284849777216E-2</v>
      </c>
      <c r="X2023">
        <v>1.5212692344439947E-2</v>
      </c>
      <c r="Y2023">
        <v>4.5411812790201898E-3</v>
      </c>
    </row>
    <row r="2024" spans="1:25" x14ac:dyDescent="0.25">
      <c r="A2024" s="1096"/>
      <c r="B2024" s="1455">
        <v>1774</v>
      </c>
      <c r="C2024" s="1100">
        <v>1.0196249538755293</v>
      </c>
      <c r="D2024" s="1100">
        <v>0.97982628968021435</v>
      </c>
      <c r="E2024" s="1100">
        <v>1.028762390860122</v>
      </c>
      <c r="F2024" s="1100">
        <v>1.0064341104581591</v>
      </c>
      <c r="G2024" s="1100">
        <v>1.0360669213161238</v>
      </c>
      <c r="H2024" s="1100">
        <v>1.0333864614525508</v>
      </c>
      <c r="I2024" s="1100">
        <v>0.99552807765970297</v>
      </c>
      <c r="K2024">
        <v>2.2358110351725777</v>
      </c>
      <c r="L2024">
        <v>0</v>
      </c>
      <c r="M2024">
        <v>1.483200990342524E-3</v>
      </c>
      <c r="N2024">
        <v>0.14716521018001452</v>
      </c>
      <c r="O2024">
        <v>1.9476824612104895E-2</v>
      </c>
      <c r="P2024">
        <v>2.677674512329202E-2</v>
      </c>
      <c r="Q2024">
        <v>5.5897138652880995E-3</v>
      </c>
      <c r="R2024">
        <v>1.4630279565425682E-3</v>
      </c>
      <c r="S2024">
        <v>0.24106533736844238</v>
      </c>
      <c r="T2024">
        <v>1.3525652818731679</v>
      </c>
      <c r="U2024">
        <v>0.14008963841697378</v>
      </c>
      <c r="V2024">
        <v>0.18768656277320284</v>
      </c>
      <c r="W2024">
        <v>9.5057176554537826E-2</v>
      </c>
      <c r="X2024">
        <v>1.6376837628679076E-2</v>
      </c>
      <c r="Y2024">
        <v>3.9818798106726139E-3</v>
      </c>
    </row>
    <row r="2025" spans="1:25" x14ac:dyDescent="0.25">
      <c r="A2025" s="1096"/>
      <c r="B2025" s="1455">
        <v>1775</v>
      </c>
      <c r="C2025" s="1100">
        <v>0.98080321535005632</v>
      </c>
      <c r="D2025" s="1100">
        <v>1.0282677872038579</v>
      </c>
      <c r="E2025" s="1100">
        <v>1.0120038014958372</v>
      </c>
      <c r="F2025" s="1100">
        <v>0.99673173455700559</v>
      </c>
      <c r="G2025" s="1100">
        <v>1.0366993355674827</v>
      </c>
      <c r="H2025" s="1100">
        <v>1.023016028247564</v>
      </c>
      <c r="I2025" s="1100">
        <v>0.98039727678601807</v>
      </c>
      <c r="K2025">
        <v>2.2309880276881664</v>
      </c>
      <c r="L2025">
        <v>0</v>
      </c>
      <c r="M2025">
        <v>1.5639106039342576E-3</v>
      </c>
      <c r="N2025">
        <v>0.14750282384656693</v>
      </c>
      <c r="O2025">
        <v>2.0023288987948237E-2</v>
      </c>
      <c r="P2025">
        <v>2.6364116394914972E-2</v>
      </c>
      <c r="Q2025">
        <v>5.6516177988043216E-3</v>
      </c>
      <c r="R2025">
        <v>1.5424242135014658E-3</v>
      </c>
      <c r="S2025">
        <v>0.24001715104342725</v>
      </c>
      <c r="T2025">
        <v>1.3394921577161163</v>
      </c>
      <c r="U2025">
        <v>0.14559514633321741</v>
      </c>
      <c r="V2025">
        <v>0.1900465845963959</v>
      </c>
      <c r="W2025">
        <v>9.6213709277558665E-2</v>
      </c>
      <c r="X2025">
        <v>1.5904947834505311E-2</v>
      </c>
      <c r="Y2025">
        <v>4.1979702491456612E-3</v>
      </c>
    </row>
    <row r="2026" spans="1:25" x14ac:dyDescent="0.25">
      <c r="A2026" s="1096"/>
      <c r="B2026" s="1455">
        <v>1776</v>
      </c>
      <c r="C2026" s="1100">
        <v>1.0056280701633222</v>
      </c>
      <c r="D2026" s="1100">
        <v>0.98423612841467623</v>
      </c>
      <c r="E2026" s="1100">
        <v>1.015025180024004</v>
      </c>
      <c r="F2026" s="1100">
        <v>1.0345680823011747</v>
      </c>
      <c r="G2026" s="1100">
        <v>1.0308014061963322</v>
      </c>
      <c r="H2026" s="1100">
        <v>1.0022587887958072</v>
      </c>
      <c r="I2026" s="1100">
        <v>1.0153472604656901</v>
      </c>
      <c r="K2026">
        <v>2.2744644428311762</v>
      </c>
      <c r="L2026">
        <v>0</v>
      </c>
      <c r="M2026">
        <v>1.4993667623748267E-3</v>
      </c>
      <c r="N2026">
        <v>0.14266958158744722</v>
      </c>
      <c r="O2026">
        <v>1.9719822416787377E-2</v>
      </c>
      <c r="P2026">
        <v>2.7128994348519338E-2</v>
      </c>
      <c r="Q2026">
        <v>5.5827672472600664E-3</v>
      </c>
      <c r="R2026">
        <v>1.4783405046729949E-3</v>
      </c>
      <c r="S2026">
        <v>0.24609291640449396</v>
      </c>
      <c r="T2026">
        <v>1.3903457213302359</v>
      </c>
      <c r="U2026">
        <v>0.14200792772820356</v>
      </c>
      <c r="V2026">
        <v>0.18788918974767055</v>
      </c>
      <c r="W2026">
        <v>9.289586765887492E-2</v>
      </c>
      <c r="X2026">
        <v>1.6129125100480181E-2</v>
      </c>
      <c r="Y2026">
        <v>4.0235555189035007E-3</v>
      </c>
    </row>
    <row r="2027" spans="1:25" x14ac:dyDescent="0.25">
      <c r="A2027" s="1096"/>
      <c r="B2027" s="1455">
        <v>1777</v>
      </c>
      <c r="C2027" s="1100">
        <v>0.97718026635124022</v>
      </c>
      <c r="D2027" s="1100">
        <v>0.98874092476002096</v>
      </c>
      <c r="E2027" s="1100">
        <v>1.0094983229959407</v>
      </c>
      <c r="F2027" s="1100">
        <v>0.9668757993046575</v>
      </c>
      <c r="G2027" s="1100">
        <v>1.0168891110025167</v>
      </c>
      <c r="H2027" s="1100">
        <v>0.98224164681764925</v>
      </c>
      <c r="I2027" s="1100">
        <v>1.0036948050500292</v>
      </c>
      <c r="K2027">
        <v>2.1895479378067932</v>
      </c>
      <c r="L2027">
        <v>0</v>
      </c>
      <c r="M2027">
        <v>1.5281326916578471E-3</v>
      </c>
      <c r="N2027">
        <v>0.14295963438081905</v>
      </c>
      <c r="O2027">
        <v>2.0269982286390306E-2</v>
      </c>
      <c r="P2027">
        <v>2.5854543435695491E-2</v>
      </c>
      <c r="Q2027">
        <v>5.70694209682273E-3</v>
      </c>
      <c r="R2027">
        <v>1.5062663213060688E-3</v>
      </c>
      <c r="S2027">
        <v>0.24808358882240469</v>
      </c>
      <c r="T2027">
        <v>1.2993648143630177</v>
      </c>
      <c r="U2027">
        <v>0.14612903533902807</v>
      </c>
      <c r="V2027">
        <v>0.18802937964166369</v>
      </c>
      <c r="W2027">
        <v>9.338805028896234E-2</v>
      </c>
      <c r="X2027">
        <v>1.5684273136305698E-2</v>
      </c>
      <c r="Y2027">
        <v>4.0995603860357489E-3</v>
      </c>
    </row>
    <row r="2028" spans="1:25" x14ac:dyDescent="0.25">
      <c r="A2028" s="1096"/>
      <c r="B2028" s="1455">
        <v>1778</v>
      </c>
      <c r="C2028" s="1100">
        <v>1.0061278460621339</v>
      </c>
      <c r="D2028" s="1100">
        <v>0.98326107339701363</v>
      </c>
      <c r="E2028" s="1100">
        <v>0.9840673785325611</v>
      </c>
      <c r="F2028" s="1100">
        <v>1.0185794635919758</v>
      </c>
      <c r="G2028" s="1100">
        <v>0.99509039557254708</v>
      </c>
      <c r="H2028" s="1100">
        <v>0.99579900918044884</v>
      </c>
      <c r="I2028" s="1100">
        <v>1.0339500579419907</v>
      </c>
      <c r="K2028">
        <v>2.2436198640925045</v>
      </c>
      <c r="L2028">
        <v>0</v>
      </c>
      <c r="M2028">
        <v>1.5880532811136533E-3</v>
      </c>
      <c r="N2028">
        <v>0.13760286961845838</v>
      </c>
      <c r="O2028">
        <v>1.9695034754067586E-2</v>
      </c>
      <c r="P2028">
        <v>2.6212601648248825E-2</v>
      </c>
      <c r="Q2028">
        <v>5.4048693124987626E-3</v>
      </c>
      <c r="R2028">
        <v>1.5656388688004366E-3</v>
      </c>
      <c r="S2028">
        <v>0.2498226668522068</v>
      </c>
      <c r="T2028">
        <v>1.3688089055104893</v>
      </c>
      <c r="U2028">
        <v>0.14186655344851959</v>
      </c>
      <c r="V2028">
        <v>0.1837963305072588</v>
      </c>
      <c r="W2028">
        <v>9.1261261066601693E-2</v>
      </c>
      <c r="X2028">
        <v>1.491003289830347E-2</v>
      </c>
      <c r="Y2028">
        <v>4.2611528881603966E-3</v>
      </c>
    </row>
    <row r="2029" spans="1:25" x14ac:dyDescent="0.25">
      <c r="A2029" s="1096"/>
      <c r="B2029" s="1455">
        <v>1779</v>
      </c>
      <c r="C2029" s="1100">
        <v>1.0032867659038787</v>
      </c>
      <c r="D2029" s="1100">
        <v>0.99386739699218574</v>
      </c>
      <c r="E2029" s="1100">
        <v>0.99919250784113189</v>
      </c>
      <c r="F2029" s="1100">
        <v>1.0193932255011948</v>
      </c>
      <c r="G2029" s="1100">
        <v>1.0019859892083878</v>
      </c>
      <c r="H2029" s="1100">
        <v>1.0292600788528325</v>
      </c>
      <c r="I2029" s="1100">
        <v>1.0296400935341452</v>
      </c>
      <c r="K2029">
        <v>2.2588688205952878</v>
      </c>
      <c r="L2029">
        <v>0</v>
      </c>
      <c r="M2029">
        <v>1.5915257901643119E-3</v>
      </c>
      <c r="N2029">
        <v>0.14442289176562617</v>
      </c>
      <c r="O2029">
        <v>1.9713659183954603E-2</v>
      </c>
      <c r="P2029">
        <v>2.6562751512807334E-2</v>
      </c>
      <c r="Q2029">
        <v>5.4932478351463945E-3</v>
      </c>
      <c r="R2029">
        <v>1.5697926475907547E-3</v>
      </c>
      <c r="S2029">
        <v>0.25102358350444037</v>
      </c>
      <c r="T2029">
        <v>1.3699242057334524</v>
      </c>
      <c r="U2029">
        <v>0.14230294991509504</v>
      </c>
      <c r="V2029">
        <v>0.18475576817818198</v>
      </c>
      <c r="W2029">
        <v>9.4921581367726743E-2</v>
      </c>
      <c r="X2029">
        <v>1.549745663669525E-2</v>
      </c>
      <c r="Y2029">
        <v>4.2724581047348335E-3</v>
      </c>
    </row>
    <row r="2030" spans="1:25" x14ac:dyDescent="0.25">
      <c r="A2030" s="1096"/>
      <c r="B2030" s="1455">
        <v>1780</v>
      </c>
      <c r="C2030" s="1100">
        <v>1.0132266142051443</v>
      </c>
      <c r="D2030" s="1100">
        <v>1.0276363221242966</v>
      </c>
      <c r="E2030" s="1100">
        <v>1.0079381894218993</v>
      </c>
      <c r="F2030" s="1100">
        <v>1.0254812260520125</v>
      </c>
      <c r="G2030" s="1100">
        <v>1.0046652319880549</v>
      </c>
      <c r="H2030" s="1100">
        <v>0.96238809612548504</v>
      </c>
      <c r="I2030" s="1100">
        <v>0.99584572739534116</v>
      </c>
      <c r="K2030">
        <v>2.2267416614333628</v>
      </c>
      <c r="L2030">
        <v>0</v>
      </c>
      <c r="M2030">
        <v>1.4364214811797625E-3</v>
      </c>
      <c r="N2030">
        <v>0.13370832116732939</v>
      </c>
      <c r="O2030">
        <v>1.9382665077629795E-2</v>
      </c>
      <c r="P2030">
        <v>2.6554953453846945E-2</v>
      </c>
      <c r="Q2030">
        <v>5.4486109183557287E-3</v>
      </c>
      <c r="R2030">
        <v>1.4154434065741719E-3</v>
      </c>
      <c r="S2030">
        <v>0.23129094289687668</v>
      </c>
      <c r="T2030">
        <v>1.3781206120764782</v>
      </c>
      <c r="U2030">
        <v>0.14092682811386845</v>
      </c>
      <c r="V2030">
        <v>0.18448618242667267</v>
      </c>
      <c r="W2030">
        <v>8.7425124363177259E-2</v>
      </c>
      <c r="X2030">
        <v>1.5566028661829623E-2</v>
      </c>
      <c r="Y2030">
        <v>3.8523703519013196E-3</v>
      </c>
    </row>
    <row r="2031" spans="1:25" x14ac:dyDescent="0.25">
      <c r="A2031" s="1096"/>
      <c r="B2031" s="1455">
        <v>1781</v>
      </c>
      <c r="C2031" s="1100">
        <v>0.99780262649494411</v>
      </c>
      <c r="D2031" s="1100">
        <v>0.99200015481002901</v>
      </c>
      <c r="E2031" s="1100">
        <v>1.0036746330932953</v>
      </c>
      <c r="F2031" s="1100">
        <v>0.99198813610876735</v>
      </c>
      <c r="G2031" s="1100">
        <v>1.0145343438452972</v>
      </c>
      <c r="H2031" s="1100">
        <v>0.96111579526921465</v>
      </c>
      <c r="I2031" s="1100">
        <v>1.0291418005114747</v>
      </c>
      <c r="K2031">
        <v>2.2058321413838304</v>
      </c>
      <c r="L2031">
        <v>0</v>
      </c>
      <c r="M2031">
        <v>1.4811045601586569E-3</v>
      </c>
      <c r="N2031">
        <v>0.13610119159372935</v>
      </c>
      <c r="O2031">
        <v>1.9833023741310504E-2</v>
      </c>
      <c r="P2031">
        <v>2.6126273690073917E-2</v>
      </c>
      <c r="Q2031">
        <v>5.5514441379892338E-3</v>
      </c>
      <c r="R2031">
        <v>1.4594452818704664E-3</v>
      </c>
      <c r="S2031">
        <v>0.2469098970825995</v>
      </c>
      <c r="T2031">
        <v>1.3331027540780673</v>
      </c>
      <c r="U2031">
        <v>0.14309542207081732</v>
      </c>
      <c r="V2031">
        <v>0.18650311678431411</v>
      </c>
      <c r="W2031">
        <v>8.9214456387612232E-2</v>
      </c>
      <c r="X2031">
        <v>1.5444092144360584E-2</v>
      </c>
      <c r="Y2031">
        <v>3.9721289512435415E-3</v>
      </c>
    </row>
    <row r="2032" spans="1:25" x14ac:dyDescent="0.25">
      <c r="A2032" s="1096"/>
      <c r="B2032" s="1455">
        <v>1782</v>
      </c>
      <c r="C2032" s="1100">
        <v>1.0236818462146071</v>
      </c>
      <c r="D2032" s="1100">
        <v>1.0459054044339526</v>
      </c>
      <c r="E2032" s="1100">
        <v>0.97643477001264478</v>
      </c>
      <c r="F2032" s="1100">
        <v>1.0193822981720329</v>
      </c>
      <c r="G2032" s="1100">
        <v>0.99724599100576361</v>
      </c>
      <c r="H2032" s="1100">
        <v>0.97067182555513709</v>
      </c>
      <c r="I2032" s="1100">
        <v>0.98882080463926303</v>
      </c>
      <c r="K2032">
        <v>2.2015115112928627</v>
      </c>
      <c r="L2032">
        <v>0</v>
      </c>
      <c r="M2032">
        <v>1.5247805846510568E-3</v>
      </c>
      <c r="N2032">
        <v>0.12905639288355672</v>
      </c>
      <c r="O2032">
        <v>1.9091461268592576E-2</v>
      </c>
      <c r="P2032">
        <v>2.5709416815239229E-2</v>
      </c>
      <c r="Q2032">
        <v>5.1987499351504717E-3</v>
      </c>
      <c r="R2032">
        <v>1.5027021181118698E-3</v>
      </c>
      <c r="S2032">
        <v>0.22573995758652352</v>
      </c>
      <c r="T2032">
        <v>1.3698787629399964</v>
      </c>
      <c r="U2032">
        <v>0.13941672744044153</v>
      </c>
      <c r="V2032">
        <v>0.18302288048463325</v>
      </c>
      <c r="W2032">
        <v>8.5988358063141812E-2</v>
      </c>
      <c r="X2032">
        <v>1.4341022542243965E-2</v>
      </c>
      <c r="Y2032">
        <v>4.0898597998804071E-3</v>
      </c>
    </row>
    <row r="2033" spans="1:25" x14ac:dyDescent="0.25">
      <c r="A2033" s="1096"/>
      <c r="B2033" s="1455">
        <v>1783</v>
      </c>
      <c r="C2033" s="1100">
        <v>1.0030066262980821</v>
      </c>
      <c r="D2033" s="1100">
        <v>0.99168591518414095</v>
      </c>
      <c r="E2033" s="1100">
        <v>1.0172184009806866</v>
      </c>
      <c r="F2033" s="1100">
        <v>1.0146510611146764</v>
      </c>
      <c r="G2033" s="1100">
        <v>0.97921624575834043</v>
      </c>
      <c r="H2033" s="1100">
        <v>1.0404522636848936</v>
      </c>
      <c r="I2033" s="1100">
        <v>0.9906629417432713</v>
      </c>
      <c r="K2033">
        <v>2.2486134553771504</v>
      </c>
      <c r="L2033">
        <v>0</v>
      </c>
      <c r="M2033">
        <v>1.5508957575546386E-3</v>
      </c>
      <c r="N2033">
        <v>0.14863021914487243</v>
      </c>
      <c r="O2033">
        <v>1.9739961532286684E-2</v>
      </c>
      <c r="P2033">
        <v>2.668531543344483E-2</v>
      </c>
      <c r="Q2033">
        <v>5.600693093630392E-3</v>
      </c>
      <c r="R2033">
        <v>1.5299452559508484E-3</v>
      </c>
      <c r="S2033">
        <v>0.24287847669188575</v>
      </c>
      <c r="T2033">
        <v>1.3635837522348384</v>
      </c>
      <c r="U2033">
        <v>0.14238412443934487</v>
      </c>
      <c r="V2033">
        <v>0.18221462146133249</v>
      </c>
      <c r="W2033">
        <v>9.6652514730242542E-2</v>
      </c>
      <c r="X2033">
        <v>1.6100720476495616E-2</v>
      </c>
      <c r="Y2033">
        <v>4.1640066403801322E-3</v>
      </c>
    </row>
    <row r="2034" spans="1:25" x14ac:dyDescent="0.25">
      <c r="A2034" s="1096"/>
      <c r="B2034" s="1455">
        <v>1784</v>
      </c>
      <c r="C2034" s="1100">
        <v>0.97520752794916665</v>
      </c>
      <c r="D2034" s="1100">
        <v>1.0003988136491624</v>
      </c>
      <c r="E2034" s="1100">
        <v>0.99791411888031234</v>
      </c>
      <c r="F2034" s="1100">
        <v>1.0362824173398133</v>
      </c>
      <c r="G2034" s="1100">
        <v>1.030797314926108</v>
      </c>
      <c r="H2034" s="1100">
        <v>1.0014801738326495</v>
      </c>
      <c r="I2034" s="1100">
        <v>1.0229169980098576</v>
      </c>
      <c r="K2034">
        <v>2.2939563377120815</v>
      </c>
      <c r="L2034">
        <v>0</v>
      </c>
      <c r="M2034">
        <v>1.5950874495913019E-3</v>
      </c>
      <c r="N2034">
        <v>0.14413268918126215</v>
      </c>
      <c r="O2034">
        <v>2.0251252477249314E-2</v>
      </c>
      <c r="P2034">
        <v>2.700209732150121E-2</v>
      </c>
      <c r="Q2034">
        <v>5.6357966872978057E-3</v>
      </c>
      <c r="R2034">
        <v>1.5727014692110233E-3</v>
      </c>
      <c r="S2034">
        <v>0.25338717987607134</v>
      </c>
      <c r="T2034">
        <v>1.3926188877602081</v>
      </c>
      <c r="U2034">
        <v>0.14639727413825415</v>
      </c>
      <c r="V2034">
        <v>0.18971385669755678</v>
      </c>
      <c r="W2034">
        <v>9.4802933047098026E-2</v>
      </c>
      <c r="X2034">
        <v>1.5756381547667057E-2</v>
      </c>
      <c r="Y2034">
        <v>4.2803749582924142E-3</v>
      </c>
    </row>
    <row r="2035" spans="1:25" x14ac:dyDescent="0.25">
      <c r="A2035" s="1096"/>
      <c r="B2035" s="1455">
        <v>1785</v>
      </c>
      <c r="C2035" s="1100">
        <v>1.0082192867560742</v>
      </c>
      <c r="D2035" s="1100">
        <v>1.023972578722234</v>
      </c>
      <c r="E2035" s="1100">
        <v>0.98242796733510129</v>
      </c>
      <c r="F2035" s="1100">
        <v>1.0279462141625064</v>
      </c>
      <c r="G2035" s="1100">
        <v>0.98662110930427493</v>
      </c>
      <c r="H2035" s="1100">
        <v>0.99500601262938115</v>
      </c>
      <c r="I2035" s="1100">
        <v>0.99976856345444343</v>
      </c>
      <c r="K2035">
        <v>2.2376925971631101</v>
      </c>
      <c r="L2035">
        <v>0</v>
      </c>
      <c r="M2035">
        <v>1.5747585159012578E-3</v>
      </c>
      <c r="N2035">
        <v>0.1357743445532443</v>
      </c>
      <c r="O2035">
        <v>1.9478529400538073E-2</v>
      </c>
      <c r="P2035">
        <v>2.614695207888575E-2</v>
      </c>
      <c r="Q2035">
        <v>5.3365705432967319E-3</v>
      </c>
      <c r="R2035">
        <v>1.5525140369519108E-3</v>
      </c>
      <c r="S2035">
        <v>0.23616007188301344</v>
      </c>
      <c r="T2035">
        <v>1.3813942635394363</v>
      </c>
      <c r="U2035">
        <v>0.14156853315612777</v>
      </c>
      <c r="V2035">
        <v>0.18271528748783988</v>
      </c>
      <c r="W2035">
        <v>9.0137498074409628E-2</v>
      </c>
      <c r="X2035">
        <v>1.4777359502796012E-2</v>
      </c>
      <c r="Y2035">
        <v>4.2254314224683667E-3</v>
      </c>
    </row>
    <row r="2036" spans="1:25" x14ac:dyDescent="0.25">
      <c r="A2036" s="1096"/>
      <c r="B2036" s="1455">
        <v>1786</v>
      </c>
      <c r="C2036" s="1100">
        <v>1.0022279014401838</v>
      </c>
      <c r="D2036" s="1100">
        <v>1.0239105790724736</v>
      </c>
      <c r="E2036" s="1100">
        <v>0.99502257869289734</v>
      </c>
      <c r="F2036" s="1100">
        <v>0.98334415724362734</v>
      </c>
      <c r="G2036" s="1100">
        <v>0.97563774038625117</v>
      </c>
      <c r="H2036" s="1100">
        <v>0.98004756615243649</v>
      </c>
      <c r="I2036" s="1100">
        <v>0.99016674518350911</v>
      </c>
      <c r="K2036">
        <v>2.1753920968495799</v>
      </c>
      <c r="L2036">
        <v>0</v>
      </c>
      <c r="M2036">
        <v>1.5202105566013888E-3</v>
      </c>
      <c r="N2036">
        <v>0.13612928370918492</v>
      </c>
      <c r="O2036">
        <v>1.9603029682047073E-2</v>
      </c>
      <c r="P2036">
        <v>2.5555169256451044E-2</v>
      </c>
      <c r="Q2036">
        <v>5.4395362059442799E-3</v>
      </c>
      <c r="R2036">
        <v>1.4984088462025539E-3</v>
      </c>
      <c r="S2036">
        <v>0.23421292966842638</v>
      </c>
      <c r="T2036">
        <v>1.3214729486607748</v>
      </c>
      <c r="U2036">
        <v>0.1424437197020795</v>
      </c>
      <c r="V2036">
        <v>0.18183626341857143</v>
      </c>
      <c r="W2036">
        <v>8.9693153861564831E-2</v>
      </c>
      <c r="X2036">
        <v>1.4949689465912254E-2</v>
      </c>
      <c r="Y2036">
        <v>4.0781749290199534E-3</v>
      </c>
    </row>
    <row r="2037" spans="1:25" x14ac:dyDescent="0.25">
      <c r="A2037" s="1096"/>
      <c r="B2037" s="1455">
        <v>1787</v>
      </c>
      <c r="C2037" s="1100">
        <v>1.0016641285231542</v>
      </c>
      <c r="D2037" s="1100">
        <v>1.002525321584151</v>
      </c>
      <c r="E2037" s="1100">
        <v>1.0002861618001353</v>
      </c>
      <c r="F2037" s="1100">
        <v>1.0039472252114245</v>
      </c>
      <c r="G2037" s="1100">
        <v>1.0212843308467789</v>
      </c>
      <c r="H2037" s="1100">
        <v>1.0241871827954323</v>
      </c>
      <c r="I2037" s="1100">
        <v>0.99599017256672839</v>
      </c>
      <c r="K2037">
        <v>2.2298111362693436</v>
      </c>
      <c r="L2037">
        <v>0</v>
      </c>
      <c r="M2037">
        <v>1.5796357086776285E-3</v>
      </c>
      <c r="N2037">
        <v>0.143808489356301</v>
      </c>
      <c r="O2037">
        <v>1.9708633236676373E-2</v>
      </c>
      <c r="P2037">
        <v>2.6209187709385139E-2</v>
      </c>
      <c r="Q2037">
        <v>5.4978888252543764E-3</v>
      </c>
      <c r="R2037">
        <v>1.5579580894754038E-3</v>
      </c>
      <c r="S2037">
        <v>0.2417729506577721</v>
      </c>
      <c r="T2037">
        <v>1.3491686488722756</v>
      </c>
      <c r="U2037">
        <v>0.14253598603401488</v>
      </c>
      <c r="V2037">
        <v>0.18703392004815836</v>
      </c>
      <c r="W2037">
        <v>9.4456336952128753E-2</v>
      </c>
      <c r="X2037">
        <v>1.5400523857771381E-2</v>
      </c>
      <c r="Y2037">
        <v>4.2402483388058812E-3</v>
      </c>
    </row>
    <row r="2038" spans="1:25" x14ac:dyDescent="0.25">
      <c r="A2038" s="1096"/>
      <c r="B2038" s="1455">
        <v>1788</v>
      </c>
      <c r="C2038" s="1100">
        <v>0.98935127997889538</v>
      </c>
      <c r="D2038" s="1100">
        <v>1.0255796823428969</v>
      </c>
      <c r="E2038" s="1100">
        <v>0.98597961879416529</v>
      </c>
      <c r="F2038" s="1100">
        <v>1.0225927487730682</v>
      </c>
      <c r="G2038" s="1100">
        <v>1.0027475804982848</v>
      </c>
      <c r="H2038" s="1100">
        <v>0.96895209715100683</v>
      </c>
      <c r="I2038" s="1100">
        <v>0.97721874500925832</v>
      </c>
      <c r="K2038">
        <v>2.2323371608364013</v>
      </c>
      <c r="L2038">
        <v>0</v>
      </c>
      <c r="M2038">
        <v>1.5507921495295732E-3</v>
      </c>
      <c r="N2038">
        <v>0.13510005264885092</v>
      </c>
      <c r="O2038">
        <v>1.9845383255984599E-2</v>
      </c>
      <c r="P2038">
        <v>2.6154306159910067E-2</v>
      </c>
      <c r="Q2038">
        <v>5.4566949436482921E-3</v>
      </c>
      <c r="R2038">
        <v>1.5282971875373254E-3</v>
      </c>
      <c r="S2038">
        <v>0.23302927239129267</v>
      </c>
      <c r="T2038">
        <v>1.3742045965093914</v>
      </c>
      <c r="U2038">
        <v>0.14427664348481201</v>
      </c>
      <c r="V2038">
        <v>0.18566313675346377</v>
      </c>
      <c r="W2038">
        <v>8.9498349085415707E-2</v>
      </c>
      <c r="X2038">
        <v>1.497169942417656E-2</v>
      </c>
      <c r="Y2038">
        <v>4.1595211414441275E-3</v>
      </c>
    </row>
    <row r="2039" spans="1:25" x14ac:dyDescent="0.25">
      <c r="A2039" s="1096"/>
      <c r="B2039" s="1455">
        <v>1789</v>
      </c>
      <c r="C2039" s="1100">
        <v>1.0171311455323793</v>
      </c>
      <c r="D2039" s="1100">
        <v>0.9695731313285354</v>
      </c>
      <c r="E2039" s="1100">
        <v>1.0191735661511192</v>
      </c>
      <c r="F2039" s="1100">
        <v>1.021317686975399</v>
      </c>
      <c r="G2039" s="1100">
        <v>0.99422866051460324</v>
      </c>
      <c r="H2039" s="1100">
        <v>0.96322973031009862</v>
      </c>
      <c r="I2039" s="1100">
        <v>0.98747743720558567</v>
      </c>
      <c r="K2039">
        <v>2.2281784077582611</v>
      </c>
      <c r="L2039">
        <v>0</v>
      </c>
      <c r="M2039">
        <v>1.4171163754051999E-3</v>
      </c>
      <c r="N2039">
        <v>0.13646300441113055</v>
      </c>
      <c r="O2039">
        <v>1.9563864682253702E-2</v>
      </c>
      <c r="P2039">
        <v>2.6728835849796337E-2</v>
      </c>
      <c r="Q2039">
        <v>5.5615405367331755E-3</v>
      </c>
      <c r="R2039">
        <v>1.396438323806488E-3</v>
      </c>
      <c r="S2039">
        <v>0.23539152293110327</v>
      </c>
      <c r="T2039">
        <v>1.3725469548994982</v>
      </c>
      <c r="U2039">
        <v>0.14041132735567691</v>
      </c>
      <c r="V2039">
        <v>0.18309167910193869</v>
      </c>
      <c r="W2039">
        <v>8.8638721738787715E-2</v>
      </c>
      <c r="X2039">
        <v>1.6000989521309492E-2</v>
      </c>
      <c r="Y2039">
        <v>3.8006447816315348E-3</v>
      </c>
    </row>
    <row r="2040" spans="1:25" x14ac:dyDescent="0.25">
      <c r="A2040" s="1096"/>
      <c r="B2040" s="1455">
        <v>1790</v>
      </c>
      <c r="C2040" s="1100">
        <v>0.99624905068899161</v>
      </c>
      <c r="D2040" s="1100">
        <v>1.0222589580196313</v>
      </c>
      <c r="E2040" s="1100">
        <v>1.0080000642990812</v>
      </c>
      <c r="F2040" s="1100">
        <v>1.0199310399647672</v>
      </c>
      <c r="G2040" s="1100">
        <v>1.0306101803117935</v>
      </c>
      <c r="H2040" s="1100">
        <v>1.0259830015785163</v>
      </c>
      <c r="I2040" s="1100">
        <v>1.0092854492281302</v>
      </c>
      <c r="K2040">
        <v>2.2588309059808904</v>
      </c>
      <c r="L2040">
        <v>0</v>
      </c>
      <c r="M2040">
        <v>1.5590352970386375E-3</v>
      </c>
      <c r="N2040">
        <v>0.14528220314230345</v>
      </c>
      <c r="O2040">
        <v>1.9735779531034454E-2</v>
      </c>
      <c r="P2040">
        <v>2.6717571305002293E-2</v>
      </c>
      <c r="Q2040">
        <v>5.5482175559669698E-3</v>
      </c>
      <c r="R2040">
        <v>1.5376778292868017E-3</v>
      </c>
      <c r="S2040">
        <v>0.2441718024987094</v>
      </c>
      <c r="T2040">
        <v>1.3706619561230073</v>
      </c>
      <c r="U2040">
        <v>0.14332857374706984</v>
      </c>
      <c r="V2040">
        <v>0.18841679707134548</v>
      </c>
      <c r="W2040">
        <v>9.4989230370170472E-2</v>
      </c>
      <c r="X2040">
        <v>1.5815079948070753E-2</v>
      </c>
      <c r="Y2040">
        <v>4.1850521559584821E-3</v>
      </c>
    </row>
    <row r="2041" spans="1:25" x14ac:dyDescent="0.25">
      <c r="A2041" s="1096"/>
      <c r="B2041" s="1455">
        <v>1791</v>
      </c>
      <c r="C2041" s="1100">
        <v>0.98697616732339444</v>
      </c>
      <c r="D2041" s="1100">
        <v>0.99406656435076446</v>
      </c>
      <c r="E2041" s="1100">
        <v>0.99545525469397633</v>
      </c>
      <c r="F2041" s="1100">
        <v>0.96943636306639436</v>
      </c>
      <c r="G2041" s="1100">
        <v>0.97236258073523074</v>
      </c>
      <c r="H2041" s="1100">
        <v>1.0111003007639012</v>
      </c>
      <c r="I2041" s="1100">
        <v>1.0170871128194841</v>
      </c>
      <c r="K2041">
        <v>2.1891884914783333</v>
      </c>
      <c r="L2041">
        <v>0</v>
      </c>
      <c r="M2041">
        <v>1.6015754566819352E-3</v>
      </c>
      <c r="N2041">
        <v>0.14366704353481968</v>
      </c>
      <c r="O2041">
        <v>2.0036192885354645E-2</v>
      </c>
      <c r="P2041">
        <v>2.5568292351743547E-2</v>
      </c>
      <c r="Q2041">
        <v>5.5621572002620507E-3</v>
      </c>
      <c r="R2041">
        <v>1.5793122795254482E-3</v>
      </c>
      <c r="S2041">
        <v>0.25050474734021566</v>
      </c>
      <c r="T2041">
        <v>1.3027835003267627</v>
      </c>
      <c r="U2041">
        <v>0.14464590980665976</v>
      </c>
      <c r="V2041">
        <v>0.18238105544844344</v>
      </c>
      <c r="W2041">
        <v>9.4635218056438153E-2</v>
      </c>
      <c r="X2041">
        <v>1.5128270300074419E-2</v>
      </c>
      <c r="Y2041">
        <v>4.2983674047152448E-3</v>
      </c>
    </row>
    <row r="2042" spans="1:25" x14ac:dyDescent="0.25">
      <c r="A2042" s="1096"/>
      <c r="B2042" s="1455">
        <v>1792</v>
      </c>
      <c r="C2042" s="1100">
        <v>1.0222456580085129</v>
      </c>
      <c r="D2042" s="1100">
        <v>1.0234425558822706</v>
      </c>
      <c r="E2042" s="1100">
        <v>0.98540036915651552</v>
      </c>
      <c r="F2042" s="1100">
        <v>1.0311268270473148</v>
      </c>
      <c r="G2042" s="1100">
        <v>0.98487370086902115</v>
      </c>
      <c r="H2042" s="1100">
        <v>0.96502974013883391</v>
      </c>
      <c r="I2042" s="1100">
        <v>1.0394604774400096</v>
      </c>
      <c r="K2042">
        <v>2.2328992983191807</v>
      </c>
      <c r="L2042">
        <v>0</v>
      </c>
      <c r="M2042">
        <v>1.4972943616390522E-3</v>
      </c>
      <c r="N2042">
        <v>0.13020339234664777</v>
      </c>
      <c r="O2042">
        <v>1.9215252721780169E-2</v>
      </c>
      <c r="P2042">
        <v>2.627332552788347E-2</v>
      </c>
      <c r="Q2042">
        <v>5.2803341098051435E-3</v>
      </c>
      <c r="R2042">
        <v>1.4754871334265248E-3</v>
      </c>
      <c r="S2042">
        <v>0.2398227276872695</v>
      </c>
      <c r="T2042">
        <v>1.3856722976529379</v>
      </c>
      <c r="U2042">
        <v>0.13963272938683285</v>
      </c>
      <c r="V2042">
        <v>0.18171311422416497</v>
      </c>
      <c r="W2042">
        <v>8.6284546963408607E-2</v>
      </c>
      <c r="X2042">
        <v>1.4807595343678448E-2</v>
      </c>
      <c r="Y2042">
        <v>4.0157895829841883E-3</v>
      </c>
    </row>
    <row r="2043" spans="1:25" x14ac:dyDescent="0.25">
      <c r="A2043" s="1096"/>
      <c r="B2043" s="1455">
        <v>1793</v>
      </c>
      <c r="C2043" s="1100">
        <v>1.0460835396363235</v>
      </c>
      <c r="D2043" s="1100">
        <v>0.96923172933757717</v>
      </c>
      <c r="E2043" s="1100">
        <v>0.99769994834669462</v>
      </c>
      <c r="F2043" s="1100">
        <v>1.0142462071859892</v>
      </c>
      <c r="G2043" s="1100">
        <v>0.97187808538790577</v>
      </c>
      <c r="H2043" s="1100">
        <v>1.0361048219802094</v>
      </c>
      <c r="I2043" s="1100">
        <v>1.0399734389804491</v>
      </c>
      <c r="K2043">
        <v>2.2270983766470711</v>
      </c>
      <c r="L2043">
        <v>0</v>
      </c>
      <c r="M2043">
        <v>1.5498633382730438E-3</v>
      </c>
      <c r="N2043">
        <v>0.1400221924722943</v>
      </c>
      <c r="O2043">
        <v>1.9010942309597077E-2</v>
      </c>
      <c r="P2043">
        <v>2.6222273858376201E-2</v>
      </c>
      <c r="Q2043">
        <v>5.2894859128485754E-3</v>
      </c>
      <c r="R2043">
        <v>1.5288389345646585E-3</v>
      </c>
      <c r="S2043">
        <v>0.24676858512390865</v>
      </c>
      <c r="T2043">
        <v>1.3630049624286489</v>
      </c>
      <c r="U2043">
        <v>0.13647784854922668</v>
      </c>
      <c r="V2043">
        <v>0.17893217685561996</v>
      </c>
      <c r="W2043">
        <v>9.2111008123019616E-2</v>
      </c>
      <c r="X2043">
        <v>1.5118929818974806E-2</v>
      </c>
      <c r="Y2043">
        <v>4.1609955982656686E-3</v>
      </c>
    </row>
    <row r="2044" spans="1:25" x14ac:dyDescent="0.25">
      <c r="A2044" s="1096"/>
      <c r="B2044" s="1455">
        <v>1794</v>
      </c>
      <c r="C2044" s="1100">
        <v>0.96766654494798465</v>
      </c>
      <c r="D2044" s="1100">
        <v>1.0035960861066162</v>
      </c>
      <c r="E2044" s="1100">
        <v>1.0275439064984342</v>
      </c>
      <c r="F2044" s="1100">
        <v>0.98546144700825988</v>
      </c>
      <c r="G2044" s="1100">
        <v>0.98992844624428522</v>
      </c>
      <c r="H2044" s="1100">
        <v>1.0079217168062138</v>
      </c>
      <c r="I2044" s="1100">
        <v>0.95866844836772636</v>
      </c>
      <c r="K2044">
        <v>2.2178428694545049</v>
      </c>
      <c r="L2044">
        <v>0</v>
      </c>
      <c r="M2044">
        <v>1.5201659245276005E-3</v>
      </c>
      <c r="N2044">
        <v>0.15022746977743628</v>
      </c>
      <c r="O2044">
        <v>2.0413897001158463E-2</v>
      </c>
      <c r="P2044">
        <v>2.6416875653841872E-2</v>
      </c>
      <c r="Q2044">
        <v>5.8515862894626914E-3</v>
      </c>
      <c r="R2044">
        <v>1.4989677644425821E-3</v>
      </c>
      <c r="S2044">
        <v>0.23967831766529743</v>
      </c>
      <c r="T2044">
        <v>1.3243770968662711</v>
      </c>
      <c r="U2044">
        <v>0.14760877554729482</v>
      </c>
      <c r="V2044">
        <v>0.18559593491805351</v>
      </c>
      <c r="W2044">
        <v>9.7103912851217042E-2</v>
      </c>
      <c r="X2044">
        <v>1.6510504924333667E-2</v>
      </c>
      <c r="Y2044">
        <v>4.0796961202219616E-3</v>
      </c>
    </row>
    <row r="2045" spans="1:25" x14ac:dyDescent="0.25">
      <c r="A2045" s="1096"/>
      <c r="B2045" s="1455">
        <v>1795</v>
      </c>
      <c r="C2045" s="1100">
        <v>0.96314049549318415</v>
      </c>
      <c r="D2045" s="1100">
        <v>0.97021575571448582</v>
      </c>
      <c r="E2045" s="1100">
        <v>1.0022323308752348</v>
      </c>
      <c r="F2045" s="1100">
        <v>0.99894258957511783</v>
      </c>
      <c r="G2045" s="1100">
        <v>0.98712740081234973</v>
      </c>
      <c r="H2045" s="1100">
        <v>1.0178521152510942</v>
      </c>
      <c r="I2045" s="1100">
        <v>0.98654435523093831</v>
      </c>
      <c r="K2045">
        <v>2.250205645957327</v>
      </c>
      <c r="L2045">
        <v>0</v>
      </c>
      <c r="M2045">
        <v>1.6378387642765114E-3</v>
      </c>
      <c r="N2045">
        <v>0.14997347073702619</v>
      </c>
      <c r="O2045">
        <v>2.0646463180588423E-2</v>
      </c>
      <c r="P2045">
        <v>2.6361658351738149E-2</v>
      </c>
      <c r="Q2045">
        <v>5.7707745549167777E-3</v>
      </c>
      <c r="R2045">
        <v>1.6152225224551761E-3</v>
      </c>
      <c r="S2045">
        <v>0.25264930857433598</v>
      </c>
      <c r="T2045">
        <v>1.3424462469400731</v>
      </c>
      <c r="U2045">
        <v>0.14824178453952908</v>
      </c>
      <c r="V2045">
        <v>0.18554365676707937</v>
      </c>
      <c r="W2045">
        <v>9.83918597947009E-2</v>
      </c>
      <c r="X2045">
        <v>1.5806935510998602E-2</v>
      </c>
      <c r="Y2045">
        <v>4.3961032481615635E-3</v>
      </c>
    </row>
    <row r="2046" spans="1:25" x14ac:dyDescent="0.25">
      <c r="A2046" s="1096"/>
      <c r="B2046" s="1455">
        <v>1796</v>
      </c>
      <c r="C2046" s="1100">
        <v>0.99161061269050943</v>
      </c>
      <c r="D2046" s="1100">
        <v>1.0105198502733379</v>
      </c>
      <c r="E2046" s="1100">
        <v>1.0190849140075966</v>
      </c>
      <c r="F2046" s="1100">
        <v>0.98891464027205356</v>
      </c>
      <c r="G2046" s="1100">
        <v>1.0214732506961921</v>
      </c>
      <c r="H2046" s="1100">
        <v>0.99287060084852019</v>
      </c>
      <c r="I2046" s="1100">
        <v>0.99329831422755965</v>
      </c>
      <c r="K2046">
        <v>2.2086863453989967</v>
      </c>
      <c r="L2046">
        <v>0</v>
      </c>
      <c r="M2046">
        <v>1.4850190757217845E-3</v>
      </c>
      <c r="N2046">
        <v>0.14302673720871209</v>
      </c>
      <c r="O2046">
        <v>1.9885525659458614E-2</v>
      </c>
      <c r="P2046">
        <v>2.6305097350403189E-2</v>
      </c>
      <c r="Q2046">
        <v>5.6524826565591676E-3</v>
      </c>
      <c r="R2046">
        <v>1.4639971083360522E-3</v>
      </c>
      <c r="S2046">
        <v>0.24024203556855578</v>
      </c>
      <c r="T2046">
        <v>1.3290003845153202</v>
      </c>
      <c r="U2046">
        <v>0.14402480944538204</v>
      </c>
      <c r="V2046">
        <v>0.1876726218000894</v>
      </c>
      <c r="W2046">
        <v>9.290697671084476E-2</v>
      </c>
      <c r="X2046">
        <v>1.6006178928682738E-2</v>
      </c>
      <c r="Y2046">
        <v>3.9845175223736746E-3</v>
      </c>
    </row>
    <row r="2047" spans="1:25" x14ac:dyDescent="0.25">
      <c r="A2047" s="1096"/>
      <c r="B2047" s="1455">
        <v>1797</v>
      </c>
      <c r="C2047" s="1100">
        <v>0.98949857927122209</v>
      </c>
      <c r="D2047" s="1100">
        <v>1.0072558893870436</v>
      </c>
      <c r="E2047" s="1100">
        <v>1.0305121584144692</v>
      </c>
      <c r="F2047" s="1100">
        <v>1.0137708310792644</v>
      </c>
      <c r="G2047" s="1100">
        <v>1.0086792634370776</v>
      </c>
      <c r="H2047" s="1100">
        <v>1.0156976043364279</v>
      </c>
      <c r="I2047" s="1100">
        <v>0.96421525984944789</v>
      </c>
      <c r="K2047">
        <v>2.2463780669487621</v>
      </c>
      <c r="L2047">
        <v>0</v>
      </c>
      <c r="M2047">
        <v>1.4876664847487025E-3</v>
      </c>
      <c r="N2047">
        <v>0.14835333167302947</v>
      </c>
      <c r="O2047">
        <v>1.9949388662189347E-2</v>
      </c>
      <c r="P2047">
        <v>2.6918154737786529E-2</v>
      </c>
      <c r="Q2047">
        <v>5.7352517754739804E-3</v>
      </c>
      <c r="R2047">
        <v>1.46708033499133E-3</v>
      </c>
      <c r="S2047">
        <v>0.23594894443677156</v>
      </c>
      <c r="T2047">
        <v>1.3624291875549346</v>
      </c>
      <c r="U2047">
        <v>0.14435891129892472</v>
      </c>
      <c r="V2047">
        <v>0.18636485338570957</v>
      </c>
      <c r="W2047">
        <v>9.5727302708745146E-2</v>
      </c>
      <c r="X2047">
        <v>1.6620417816011035E-2</v>
      </c>
      <c r="Y2047">
        <v>3.9929090489439472E-3</v>
      </c>
    </row>
    <row r="2048" spans="1:25" x14ac:dyDescent="0.25">
      <c r="A2048" s="1096"/>
      <c r="B2048" s="1455">
        <v>1798</v>
      </c>
      <c r="C2048" s="1100">
        <v>1.0281015044516366</v>
      </c>
      <c r="D2048" s="1100">
        <v>1.0362563035425834</v>
      </c>
      <c r="E2048" s="1100">
        <v>0.99611637110758922</v>
      </c>
      <c r="F2048" s="1100">
        <v>1.004660516294948</v>
      </c>
      <c r="G2048" s="1100">
        <v>0.99027260415303209</v>
      </c>
      <c r="H2048" s="1100">
        <v>1.0320568279013553</v>
      </c>
      <c r="I2048" s="1100">
        <v>0.99890350014289919</v>
      </c>
      <c r="K2048">
        <v>2.2049169300516716</v>
      </c>
      <c r="L2048">
        <v>0</v>
      </c>
      <c r="M2048">
        <v>1.5529622076180865E-3</v>
      </c>
      <c r="N2048">
        <v>0.1396248277544129</v>
      </c>
      <c r="O2048">
        <v>1.9060029670839345E-2</v>
      </c>
      <c r="P2048">
        <v>2.5902688159718076E-2</v>
      </c>
      <c r="Q2048">
        <v>5.2946945154480514E-3</v>
      </c>
      <c r="R2048">
        <v>1.531813138697005E-3</v>
      </c>
      <c r="S2048">
        <v>0.2329913238330264</v>
      </c>
      <c r="T2048">
        <v>1.3501207093572309</v>
      </c>
      <c r="U2048">
        <v>0.13886137326992096</v>
      </c>
      <c r="V2048">
        <v>0.18200194711971679</v>
      </c>
      <c r="W2048">
        <v>9.1936309416945736E-2</v>
      </c>
      <c r="X2048">
        <v>1.4975085621863164E-2</v>
      </c>
      <c r="Y2048">
        <v>4.1690904014677881E-3</v>
      </c>
    </row>
    <row r="2049" spans="1:25" x14ac:dyDescent="0.25">
      <c r="A2049" s="1096"/>
      <c r="B2049" s="1455">
        <v>1799</v>
      </c>
      <c r="C2049" s="1100">
        <v>0.99184721181446933</v>
      </c>
      <c r="D2049" s="1100">
        <v>0.96879830625909835</v>
      </c>
      <c r="E2049" s="1100">
        <v>1.0168289449656454</v>
      </c>
      <c r="F2049" s="1100">
        <v>1.0219212096786325</v>
      </c>
      <c r="G2049" s="1100">
        <v>0.97443175445500441</v>
      </c>
      <c r="H2049" s="1100">
        <v>1.0038957431233251</v>
      </c>
      <c r="I2049" s="1100">
        <v>1.0033921888499511</v>
      </c>
      <c r="K2049">
        <v>2.2617015195246886</v>
      </c>
      <c r="L2049">
        <v>0</v>
      </c>
      <c r="M2049">
        <v>1.5222669519825509E-3</v>
      </c>
      <c r="N2049">
        <v>0.14564257500832731</v>
      </c>
      <c r="O2049">
        <v>2.0064619926128176E-2</v>
      </c>
      <c r="P2049">
        <v>2.6916726275585619E-2</v>
      </c>
      <c r="Q2049">
        <v>5.6905990426321619E-3</v>
      </c>
      <c r="R2049">
        <v>1.5009543642899726E-3</v>
      </c>
      <c r="S2049">
        <v>0.24868506926088971</v>
      </c>
      <c r="T2049">
        <v>1.373353283518389</v>
      </c>
      <c r="U2049">
        <v>0.14398520215622654</v>
      </c>
      <c r="V2049">
        <v>0.18233911084177734</v>
      </c>
      <c r="W2049">
        <v>9.4731317136496213E-2</v>
      </c>
      <c r="X2049">
        <v>1.6229225955803523E-2</v>
      </c>
      <c r="Y2049">
        <v>4.085102990124094E-3</v>
      </c>
    </row>
    <row r="2050" spans="1:25" x14ac:dyDescent="0.25">
      <c r="A2050" s="1096"/>
      <c r="B2050" s="1455">
        <v>1800</v>
      </c>
      <c r="C2050" s="1100">
        <v>1.0030827100497128</v>
      </c>
      <c r="D2050" s="1100">
        <v>0.99132408980028452</v>
      </c>
      <c r="E2050" s="1100">
        <v>0.99706767404669749</v>
      </c>
      <c r="F2050" s="1100">
        <v>1.0053651554147762</v>
      </c>
      <c r="G2050" s="1100">
        <v>1.0039485117063878</v>
      </c>
      <c r="H2050" s="1100">
        <v>0.96541057800898555</v>
      </c>
      <c r="I2050" s="1100">
        <v>0.99167241330229439</v>
      </c>
      <c r="K2050">
        <v>2.2100547461961559</v>
      </c>
      <c r="L2050">
        <v>0</v>
      </c>
      <c r="M2050">
        <v>1.5005393125502883E-3</v>
      </c>
      <c r="N2050">
        <v>0.13517099856587075</v>
      </c>
      <c r="O2050">
        <v>1.9727462129015164E-2</v>
      </c>
      <c r="P2050">
        <v>2.6077021306503207E-2</v>
      </c>
      <c r="Q2050">
        <v>5.4853535390324507E-3</v>
      </c>
      <c r="R2050">
        <v>1.478693444720648E-3</v>
      </c>
      <c r="S2050">
        <v>0.23704057285630148</v>
      </c>
      <c r="T2050">
        <v>1.3510690958320541</v>
      </c>
      <c r="U2050">
        <v>0.14232702285154084</v>
      </c>
      <c r="V2050">
        <v>0.18498777993410406</v>
      </c>
      <c r="W2050">
        <v>8.8953230477414491E-2</v>
      </c>
      <c r="X2050">
        <v>1.5213538466782648E-2</v>
      </c>
      <c r="Y2050">
        <v>4.0245161053665563E-3</v>
      </c>
    </row>
    <row r="2051" spans="1:25" x14ac:dyDescent="0.25">
      <c r="A2051" s="1096"/>
      <c r="B2051" s="1455">
        <v>1801</v>
      </c>
      <c r="C2051" s="1100">
        <v>0.99829428360076755</v>
      </c>
      <c r="D2051" s="1100">
        <v>1.0041608816745498</v>
      </c>
      <c r="E2051" s="1100">
        <v>1.0195364462006116</v>
      </c>
      <c r="F2051" s="1100">
        <v>1.0281089387361402</v>
      </c>
      <c r="G2051" s="1100">
        <v>1.0043417017159364</v>
      </c>
      <c r="H2051" s="1100">
        <v>0.99479474913415178</v>
      </c>
      <c r="I2051" s="1100">
        <v>1.0197658097497324</v>
      </c>
      <c r="K2051">
        <v>2.2638938639997046</v>
      </c>
      <c r="L2051">
        <v>0</v>
      </c>
      <c r="M2051">
        <v>1.4785997109012126E-3</v>
      </c>
      <c r="N2051">
        <v>0.14260655641367218</v>
      </c>
      <c r="O2051">
        <v>1.9780124227944628E-2</v>
      </c>
      <c r="P2051">
        <v>2.7075898080517156E-2</v>
      </c>
      <c r="Q2051">
        <v>5.6250475907726949E-3</v>
      </c>
      <c r="R2051">
        <v>1.4577091014712754E-3</v>
      </c>
      <c r="S2051">
        <v>0.24592525235221369</v>
      </c>
      <c r="T2051">
        <v>1.3816744551605875</v>
      </c>
      <c r="U2051">
        <v>0.14306159468344848</v>
      </c>
      <c r="V2051">
        <v>0.18533597277061975</v>
      </c>
      <c r="W2051">
        <v>9.2609555449911576E-2</v>
      </c>
      <c r="X2051">
        <v>1.6252894238919291E-2</v>
      </c>
      <c r="Y2051">
        <v>3.9674036405286574E-3</v>
      </c>
    </row>
    <row r="2052" spans="1:25" x14ac:dyDescent="0.25">
      <c r="A2052" s="1096"/>
      <c r="B2052" s="1455">
        <v>1802</v>
      </c>
      <c r="C2052" s="1100">
        <v>0.99651487478421785</v>
      </c>
      <c r="D2052" s="1100">
        <v>1.0096262342528459</v>
      </c>
      <c r="E2052" s="1100">
        <v>1.0306976649945709</v>
      </c>
      <c r="F2052" s="1100">
        <v>0.97841153144586612</v>
      </c>
      <c r="G2052" s="1100">
        <v>0.98473530583689151</v>
      </c>
      <c r="H2052" s="1100">
        <v>0.97353560237375392</v>
      </c>
      <c r="I2052" s="1100">
        <v>1.0048815548642738</v>
      </c>
      <c r="K2052">
        <v>2.1858411345784541</v>
      </c>
      <c r="L2052">
        <v>0</v>
      </c>
      <c r="M2052">
        <v>1.4145943080965569E-3</v>
      </c>
      <c r="N2052">
        <v>0.14105954745009847</v>
      </c>
      <c r="O2052">
        <v>1.9798804140982021E-2</v>
      </c>
      <c r="P2052">
        <v>2.6264105906110329E-2</v>
      </c>
      <c r="Q2052">
        <v>5.6930039239606435E-3</v>
      </c>
      <c r="R2052">
        <v>1.3941715663857888E-3</v>
      </c>
      <c r="S2052">
        <v>0.2404825560162891</v>
      </c>
      <c r="T2052">
        <v>1.3149094457428476</v>
      </c>
      <c r="U2052">
        <v>0.14334293477575899</v>
      </c>
      <c r="V2052">
        <v>0.18323634970971645</v>
      </c>
      <c r="W2052">
        <v>9.1011078463406142E-2</v>
      </c>
      <c r="X2052">
        <v>1.6269255775826923E-2</v>
      </c>
      <c r="Y2052">
        <v>3.7944754151687742E-3</v>
      </c>
    </row>
    <row r="2053" spans="1:25" x14ac:dyDescent="0.25">
      <c r="A2053" s="1096"/>
      <c r="B2053" s="1455">
        <v>1803</v>
      </c>
      <c r="C2053" s="1100">
        <v>1.0082112540149222</v>
      </c>
      <c r="D2053" s="1100">
        <v>0.99134238358425042</v>
      </c>
      <c r="E2053" s="1100">
        <v>0.981495027650227</v>
      </c>
      <c r="F2053" s="1100">
        <v>0.99869950750453662</v>
      </c>
      <c r="G2053" s="1100">
        <v>1.0126459970498813</v>
      </c>
      <c r="H2053" s="1100">
        <v>0.9959704270278823</v>
      </c>
      <c r="I2053" s="1100">
        <v>1.0461535595957925</v>
      </c>
      <c r="K2053">
        <v>2.2178874251348093</v>
      </c>
      <c r="L2053">
        <v>0</v>
      </c>
      <c r="M2053">
        <v>1.5906347103426066E-3</v>
      </c>
      <c r="N2053">
        <v>0.13675855345626897</v>
      </c>
      <c r="O2053">
        <v>1.961738272139971E-2</v>
      </c>
      <c r="P2053">
        <v>2.5841803984744612E-2</v>
      </c>
      <c r="Q2053">
        <v>5.3695240140377298E-3</v>
      </c>
      <c r="R2053">
        <v>1.5681877267623566E-3</v>
      </c>
      <c r="S2053">
        <v>0.25121106515370195</v>
      </c>
      <c r="T2053">
        <v>1.3420902811957192</v>
      </c>
      <c r="U2053">
        <v>0.14156753680941458</v>
      </c>
      <c r="V2053">
        <v>0.18565685965055251</v>
      </c>
      <c r="W2053">
        <v>9.0841972198928325E-2</v>
      </c>
      <c r="X2053">
        <v>1.4686802894318726E-2</v>
      </c>
      <c r="Y2053">
        <v>4.2680900393019406E-3</v>
      </c>
    </row>
    <row r="2054" spans="1:25" x14ac:dyDescent="0.25">
      <c r="A2054" s="1096"/>
      <c r="B2054" s="1455">
        <v>1804</v>
      </c>
      <c r="C2054" s="1100">
        <v>1.0384758393784892</v>
      </c>
      <c r="D2054" s="1100">
        <v>1.0140124728423265</v>
      </c>
      <c r="E2054" s="1100">
        <v>0.99562571815499179</v>
      </c>
      <c r="F2054" s="1100">
        <v>1.0308804261593918</v>
      </c>
      <c r="G2054" s="1100">
        <v>0.970011945756445</v>
      </c>
      <c r="H2054" s="1100">
        <v>0.99054159594441415</v>
      </c>
      <c r="I2054" s="1100">
        <v>1.0110944211759394</v>
      </c>
      <c r="K2054">
        <v>2.2251258744244313</v>
      </c>
      <c r="L2054">
        <v>0</v>
      </c>
      <c r="M2054">
        <v>1.4841731548356867E-3</v>
      </c>
      <c r="N2054">
        <v>0.13316527061094724</v>
      </c>
      <c r="O2054">
        <v>1.8959622677833868E-2</v>
      </c>
      <c r="P2054">
        <v>2.6311235467901772E-2</v>
      </c>
      <c r="Q2054">
        <v>5.2641995512439487E-3</v>
      </c>
      <c r="R2054">
        <v>1.4631137627101676E-3</v>
      </c>
      <c r="S2054">
        <v>0.23275528418646418</v>
      </c>
      <c r="T2054">
        <v>1.3853557756585451</v>
      </c>
      <c r="U2054">
        <v>0.1374730662492297</v>
      </c>
      <c r="V2054">
        <v>0.17913491508850715</v>
      </c>
      <c r="W2054">
        <v>8.770865536264405E-2</v>
      </c>
      <c r="X2054">
        <v>1.5036795616465273E-2</v>
      </c>
      <c r="Y2054">
        <v>3.9821133467748248E-3</v>
      </c>
    </row>
    <row r="2055" spans="1:25" x14ac:dyDescent="0.25">
      <c r="A2055" s="1096"/>
      <c r="B2055" s="1455">
        <v>1805</v>
      </c>
      <c r="C2055" s="1100">
        <v>0.99844302324525702</v>
      </c>
      <c r="D2055" s="1100">
        <v>0.97678100042084681</v>
      </c>
      <c r="E2055" s="1100">
        <v>1.0096483400846121</v>
      </c>
      <c r="F2055" s="1100">
        <v>1.0280687070711099</v>
      </c>
      <c r="G2055" s="1100">
        <v>1.0293430261471073</v>
      </c>
      <c r="H2055" s="1100">
        <v>0.97644040290663381</v>
      </c>
      <c r="I2055" s="1100">
        <v>0.99372260723149164</v>
      </c>
      <c r="K2055">
        <v>2.2569566892966124</v>
      </c>
      <c r="L2055">
        <v>0</v>
      </c>
      <c r="M2055">
        <v>1.4902779949536019E-3</v>
      </c>
      <c r="N2055">
        <v>0.13946938657901789</v>
      </c>
      <c r="O2055">
        <v>1.9891594665562194E-2</v>
      </c>
      <c r="P2055">
        <v>2.6854339304475453E-2</v>
      </c>
      <c r="Q2055">
        <v>5.6012485096361272E-3</v>
      </c>
      <c r="R2055">
        <v>1.4688266007170147E-3</v>
      </c>
      <c r="S2055">
        <v>0.24139882003678231</v>
      </c>
      <c r="T2055">
        <v>1.3816010018708731</v>
      </c>
      <c r="U2055">
        <v>0.14301743038750589</v>
      </c>
      <c r="V2055">
        <v>0.18814416333092251</v>
      </c>
      <c r="W2055">
        <v>9.1099992082574813E-2</v>
      </c>
      <c r="X2055">
        <v>1.5902502114904404E-2</v>
      </c>
      <c r="Y2055">
        <v>3.9976618085929205E-3</v>
      </c>
    </row>
    <row r="2056" spans="1:25" x14ac:dyDescent="0.25">
      <c r="A2056" s="1096"/>
      <c r="B2056" s="1455">
        <v>1806</v>
      </c>
      <c r="C2056" s="1100">
        <v>1.0188280362573452</v>
      </c>
      <c r="D2056" s="1100">
        <v>0.97632061911560242</v>
      </c>
      <c r="E2056" s="1100">
        <v>1.0227889573947491</v>
      </c>
      <c r="F2056" s="1100">
        <v>1.0203653304541593</v>
      </c>
      <c r="G2056" s="1100">
        <v>0.98331153769694135</v>
      </c>
      <c r="H2056" s="1100">
        <v>0.99794255536261356</v>
      </c>
      <c r="I2056" s="1100">
        <v>0.97324894201203871</v>
      </c>
      <c r="K2056">
        <v>2.2317276822742791</v>
      </c>
      <c r="L2056">
        <v>0</v>
      </c>
      <c r="M2056">
        <v>1.4525370081645867E-3</v>
      </c>
      <c r="N2056">
        <v>0.14148053762504936</v>
      </c>
      <c r="O2056">
        <v>1.950373926831547E-2</v>
      </c>
      <c r="P2056">
        <v>2.6734212859264441E-2</v>
      </c>
      <c r="Q2056">
        <v>5.5644013408584587E-3</v>
      </c>
      <c r="R2056">
        <v>1.4320793630496773E-3</v>
      </c>
      <c r="S2056">
        <v>0.23350227378756538</v>
      </c>
      <c r="T2056">
        <v>1.3712746244288383</v>
      </c>
      <c r="U2056">
        <v>0.14018566388706249</v>
      </c>
      <c r="V2056">
        <v>0.18176379004596041</v>
      </c>
      <c r="W2056">
        <v>9.1703803223559935E-2</v>
      </c>
      <c r="X2056">
        <v>1.6137445511530644E-2</v>
      </c>
      <c r="Y2056">
        <v>3.8976479413860682E-3</v>
      </c>
    </row>
    <row r="2057" spans="1:25" x14ac:dyDescent="0.25">
      <c r="A2057" s="1096"/>
      <c r="B2057" s="1455">
        <v>1807</v>
      </c>
      <c r="C2057" s="1100">
        <v>1.0040017925215985</v>
      </c>
      <c r="D2057" s="1100">
        <v>1.0184817174442582</v>
      </c>
      <c r="E2057" s="1100">
        <v>0.98713093305074684</v>
      </c>
      <c r="F2057" s="1100">
        <v>1.0007235788291613</v>
      </c>
      <c r="G2057" s="1100">
        <v>0.97881645518169835</v>
      </c>
      <c r="H2057" s="1100">
        <v>1.0027504715603128</v>
      </c>
      <c r="I2057" s="1100">
        <v>1.0256642167929573</v>
      </c>
      <c r="K2057">
        <v>2.2132837458798456</v>
      </c>
      <c r="L2057">
        <v>0</v>
      </c>
      <c r="M2057">
        <v>1.5801152375261173E-3</v>
      </c>
      <c r="N2057">
        <v>0.13820323871027765</v>
      </c>
      <c r="O2057">
        <v>1.9586411101704417E-2</v>
      </c>
      <c r="P2057">
        <v>2.5859746665316E-2</v>
      </c>
      <c r="Q2057">
        <v>5.3917706500048769E-3</v>
      </c>
      <c r="R2057">
        <v>1.5579674747508239E-3</v>
      </c>
      <c r="S2057">
        <v>0.24461240807457538</v>
      </c>
      <c r="T2057">
        <v>1.3448173512916832</v>
      </c>
      <c r="U2057">
        <v>0.14217397615831454</v>
      </c>
      <c r="V2057">
        <v>0.18208416563459623</v>
      </c>
      <c r="W2057">
        <v>9.1490788995428424E-2</v>
      </c>
      <c r="X2057">
        <v>1.4845762478287686E-2</v>
      </c>
      <c r="Y2057">
        <v>4.2402738824317198E-3</v>
      </c>
    </row>
    <row r="2058" spans="1:25" x14ac:dyDescent="0.25">
      <c r="A2058" s="1096"/>
      <c r="B2058" s="1455">
        <v>1808</v>
      </c>
      <c r="C2058" s="1100">
        <v>1.0012370322313988</v>
      </c>
      <c r="D2058" s="1100">
        <v>0.9840420958546644</v>
      </c>
      <c r="E2058" s="1100">
        <v>1.0099286690068443</v>
      </c>
      <c r="F2058" s="1100">
        <v>1.0299391594388485</v>
      </c>
      <c r="G2058" s="1100">
        <v>1.0317167558279443</v>
      </c>
      <c r="H2058" s="1100">
        <v>0.99624612217455366</v>
      </c>
      <c r="I2058" s="1100">
        <v>0.99476527040638874</v>
      </c>
      <c r="K2058">
        <v>2.2632034496398128</v>
      </c>
      <c r="L2058">
        <v>0</v>
      </c>
      <c r="M2058">
        <v>1.5129132671668375E-3</v>
      </c>
      <c r="N2058">
        <v>0.14174875829078762</v>
      </c>
      <c r="O2058">
        <v>1.9803967912098337E-2</v>
      </c>
      <c r="P2058">
        <v>2.6894065784445396E-2</v>
      </c>
      <c r="Q2058">
        <v>5.5781369167517431E-3</v>
      </c>
      <c r="R2058">
        <v>1.4915689943013582E-3</v>
      </c>
      <c r="S2058">
        <v>0.24166603273283699</v>
      </c>
      <c r="T2058">
        <v>1.3841151862422729</v>
      </c>
      <c r="U2058">
        <v>0.14261897768418283</v>
      </c>
      <c r="V2058">
        <v>0.1882468917748357</v>
      </c>
      <c r="W2058">
        <v>9.2573548094978433E-2</v>
      </c>
      <c r="X2058">
        <v>1.5919669372585037E-2</v>
      </c>
      <c r="Y2058">
        <v>4.059559106901472E-3</v>
      </c>
    </row>
    <row r="2059" spans="1:25" x14ac:dyDescent="0.25">
      <c r="A2059" s="1096"/>
      <c r="B2059" s="1455">
        <v>1809</v>
      </c>
      <c r="C2059" s="1100">
        <v>0.99296703647114559</v>
      </c>
      <c r="D2059" s="1100">
        <v>1.0137726313650453</v>
      </c>
      <c r="E2059" s="1100">
        <v>0.96631262890196978</v>
      </c>
      <c r="F2059" s="1100">
        <v>0.96713721146336173</v>
      </c>
      <c r="G2059" s="1100">
        <v>1.031505091123688</v>
      </c>
      <c r="H2059" s="1100">
        <v>1.0118881947255114</v>
      </c>
      <c r="I2059" s="1100">
        <v>1.0234789784313614</v>
      </c>
      <c r="K2059">
        <v>2.1798459386608764</v>
      </c>
      <c r="L2059">
        <v>0</v>
      </c>
      <c r="M2059">
        <v>1.6848312175882416E-3</v>
      </c>
      <c r="N2059">
        <v>0.13838186564035432</v>
      </c>
      <c r="O2059">
        <v>1.9811266643156338E-2</v>
      </c>
      <c r="P2059">
        <v>2.5005146475124963E-2</v>
      </c>
      <c r="Q2059">
        <v>5.3392762831814267E-3</v>
      </c>
      <c r="R2059">
        <v>1.6614289549794672E-3</v>
      </c>
      <c r="S2059">
        <v>0.24796156944069378</v>
      </c>
      <c r="T2059">
        <v>1.2996607010718764</v>
      </c>
      <c r="U2059">
        <v>0.14370585502814581</v>
      </c>
      <c r="V2059">
        <v>0.18867916124644279</v>
      </c>
      <c r="W2059">
        <v>9.2770939088682489E-2</v>
      </c>
      <c r="X2059">
        <v>1.4031698080277653E-2</v>
      </c>
      <c r="Y2059">
        <v>4.5218619255462953E-3</v>
      </c>
    </row>
    <row r="2060" spans="1:25" x14ac:dyDescent="0.25">
      <c r="A2060" s="1096"/>
      <c r="B2060" s="1455">
        <v>1810</v>
      </c>
      <c r="C2060" s="1100">
        <v>1.0461101612067589</v>
      </c>
      <c r="D2060" s="1100">
        <v>1.0035734076309357</v>
      </c>
      <c r="E2060" s="1100">
        <v>1.0320431568283042</v>
      </c>
      <c r="F2060" s="1100">
        <v>1.0052185291404612</v>
      </c>
      <c r="G2060" s="1100">
        <v>0.98302171370132263</v>
      </c>
      <c r="H2060" s="1100">
        <v>1.0327329381962778</v>
      </c>
      <c r="I2060" s="1100">
        <v>1.0090330196671593</v>
      </c>
      <c r="K2060">
        <v>2.2091667680023015</v>
      </c>
      <c r="L2060">
        <v>0</v>
      </c>
      <c r="M2060">
        <v>1.4273520551214085E-3</v>
      </c>
      <c r="N2060">
        <v>0.14303013747429646</v>
      </c>
      <c r="O2060">
        <v>1.8885931031699801E-2</v>
      </c>
      <c r="P2060">
        <v>2.6583648615282264E-2</v>
      </c>
      <c r="Q2060">
        <v>5.4377372935828731E-3</v>
      </c>
      <c r="R2060">
        <v>1.4079263383295734E-3</v>
      </c>
      <c r="S2060">
        <v>0.23530749906679072</v>
      </c>
      <c r="T2060">
        <v>1.3509390408957052</v>
      </c>
      <c r="U2060">
        <v>0.13655013053909137</v>
      </c>
      <c r="V2060">
        <v>0.18022012476361765</v>
      </c>
      <c r="W2060">
        <v>9.2210526146441804E-2</v>
      </c>
      <c r="X2060">
        <v>1.6189506522444483E-2</v>
      </c>
      <c r="Y2060">
        <v>3.831911370140403E-3</v>
      </c>
    </row>
    <row r="2061" spans="1:25" x14ac:dyDescent="0.25">
      <c r="A2061" s="1096"/>
      <c r="B2061" s="1455">
        <v>1811</v>
      </c>
      <c r="C2061" s="1100">
        <v>1.02542450776875</v>
      </c>
      <c r="D2061" s="1100">
        <v>0.99111744167773863</v>
      </c>
      <c r="E2061" s="1100">
        <v>1.0064967657731312</v>
      </c>
      <c r="F2061" s="1100">
        <v>0.99628243683023576</v>
      </c>
      <c r="G2061" s="1100">
        <v>0.98777861280458279</v>
      </c>
      <c r="H2061" s="1100">
        <v>1.0048705625330776</v>
      </c>
      <c r="I2061" s="1100">
        <v>1.0214188488118454</v>
      </c>
      <c r="K2061">
        <v>2.2021539820469669</v>
      </c>
      <c r="L2061">
        <v>0</v>
      </c>
      <c r="M2061">
        <v>1.498310382141137E-3</v>
      </c>
      <c r="N2061">
        <v>0.13895048925964174</v>
      </c>
      <c r="O2061">
        <v>1.930428514866989E-2</v>
      </c>
      <c r="P2061">
        <v>2.6077892103297501E-2</v>
      </c>
      <c r="Q2061">
        <v>5.4187521918443423E-3</v>
      </c>
      <c r="R2061">
        <v>1.4773535496581808E-3</v>
      </c>
      <c r="S2061">
        <v>0.24208429278947949</v>
      </c>
      <c r="T2061">
        <v>1.3388785206962228</v>
      </c>
      <c r="U2061">
        <v>0.13924719907366745</v>
      </c>
      <c r="V2061">
        <v>0.181879602395391</v>
      </c>
      <c r="W2061">
        <v>9.0930138431708912E-2</v>
      </c>
      <c r="X2061">
        <v>1.5382897436822583E-2</v>
      </c>
      <c r="Y2061">
        <v>4.0208693527028121E-3</v>
      </c>
    </row>
    <row r="2062" spans="1:25" x14ac:dyDescent="0.25">
      <c r="A2062" s="1096"/>
      <c r="B2062" s="1455">
        <v>1812</v>
      </c>
      <c r="C2062" s="1100">
        <v>1.002039888860093</v>
      </c>
      <c r="D2062" s="1100">
        <v>1.0047790244961636</v>
      </c>
      <c r="E2062" s="1100">
        <v>1.0314256497428307</v>
      </c>
      <c r="F2062" s="1100">
        <v>1.0009984665121672</v>
      </c>
      <c r="G2062" s="1100">
        <v>0.989516550636799</v>
      </c>
      <c r="H2062" s="1100">
        <v>0.98003001469993711</v>
      </c>
      <c r="I2062" s="1100">
        <v>1.0029148974803559</v>
      </c>
      <c r="K2062">
        <v>2.2160377690690098</v>
      </c>
      <c r="L2062">
        <v>0</v>
      </c>
      <c r="M2062">
        <v>1.4155301486233017E-3</v>
      </c>
      <c r="N2062">
        <v>0.14147668405351779</v>
      </c>
      <c r="O2062">
        <v>1.9710951313534938E-2</v>
      </c>
      <c r="P2062">
        <v>2.6684100510385757E-2</v>
      </c>
      <c r="Q2062">
        <v>5.6718209483896864E-3</v>
      </c>
      <c r="R2062">
        <v>1.3952293219257478E-3</v>
      </c>
      <c r="S2062">
        <v>0.23979023593022769</v>
      </c>
      <c r="T2062">
        <v>1.3452661855495331</v>
      </c>
      <c r="U2062">
        <v>0.14255425574984484</v>
      </c>
      <c r="V2062">
        <v>0.1834490384192457</v>
      </c>
      <c r="W2062">
        <v>9.1241680691752564E-2</v>
      </c>
      <c r="X2062">
        <v>1.641576245221411E-2</v>
      </c>
      <c r="Y2062">
        <v>3.7973542770595239E-3</v>
      </c>
    </row>
    <row r="2063" spans="1:25" x14ac:dyDescent="0.25">
      <c r="A2063" s="1096"/>
      <c r="B2063" s="1455">
        <v>1813</v>
      </c>
      <c r="C2063" s="1100">
        <v>1.0091699680195307</v>
      </c>
      <c r="D2063" s="1100">
        <v>1.010408077568034</v>
      </c>
      <c r="E2063" s="1100">
        <v>0.97688014377610488</v>
      </c>
      <c r="F2063" s="1100">
        <v>0.96182406125672804</v>
      </c>
      <c r="G2063" s="1100">
        <v>1.002155912716965</v>
      </c>
      <c r="H2063" s="1100">
        <v>0.97438500642213999</v>
      </c>
      <c r="I2063" s="1100">
        <v>1.0186636231023833</v>
      </c>
      <c r="K2063">
        <v>2.1475020512657421</v>
      </c>
      <c r="L2063">
        <v>0</v>
      </c>
      <c r="M2063">
        <v>1.563023447324409E-3</v>
      </c>
      <c r="N2063">
        <v>0.13247909568919236</v>
      </c>
      <c r="O2063">
        <v>1.9513940866833862E-2</v>
      </c>
      <c r="P2063">
        <v>2.4921771251140389E-2</v>
      </c>
      <c r="Q2063">
        <v>5.3162047980245247E-3</v>
      </c>
      <c r="R2063">
        <v>1.5404774797846703E-3</v>
      </c>
      <c r="S2063">
        <v>0.24028976047104489</v>
      </c>
      <c r="T2063">
        <v>1.2925306133220313</v>
      </c>
      <c r="U2063">
        <v>0.14142255416903932</v>
      </c>
      <c r="V2063">
        <v>0.18441131144684561</v>
      </c>
      <c r="W2063">
        <v>8.8245056441691852E-2</v>
      </c>
      <c r="X2063">
        <v>1.4201616895724987E-2</v>
      </c>
      <c r="Y2063">
        <v>4.19267188170914E-3</v>
      </c>
    </row>
    <row r="2064" spans="1:25" x14ac:dyDescent="0.25">
      <c r="A2064" s="1096"/>
      <c r="B2064" s="1455">
        <v>1814</v>
      </c>
      <c r="C2064" s="1100">
        <v>1.0028339598820684</v>
      </c>
      <c r="D2064" s="1100">
        <v>1.0077195682729247</v>
      </c>
      <c r="E2064" s="1100">
        <v>1.0187781841997465</v>
      </c>
      <c r="F2064" s="1100">
        <v>1.0343531540226758</v>
      </c>
      <c r="G2064" s="1100">
        <v>0.98252181025858987</v>
      </c>
      <c r="H2064" s="1100">
        <v>0.98920404713109877</v>
      </c>
      <c r="I2064" s="1100">
        <v>1.0259726493782899</v>
      </c>
      <c r="K2064">
        <v>2.2654920439622948</v>
      </c>
      <c r="L2064">
        <v>0</v>
      </c>
      <c r="M2064">
        <v>1.464804469702584E-3</v>
      </c>
      <c r="N2064">
        <v>0.14094180844144047</v>
      </c>
      <c r="O2064">
        <v>1.9674790719670921E-2</v>
      </c>
      <c r="P2064">
        <v>2.7122872873657496E-2</v>
      </c>
      <c r="Q2064">
        <v>5.5908749080120987E-3</v>
      </c>
      <c r="R2064">
        <v>1.4439918020676965E-3</v>
      </c>
      <c r="S2064">
        <v>0.24540438457093541</v>
      </c>
      <c r="T2064">
        <v>1.3900644766786898</v>
      </c>
      <c r="U2064">
        <v>0.14241223075445447</v>
      </c>
      <c r="V2064">
        <v>0.18259986233063197</v>
      </c>
      <c r="W2064">
        <v>9.1569098215270553E-2</v>
      </c>
      <c r="X2064">
        <v>1.6202387463704372E-2</v>
      </c>
      <c r="Y2064">
        <v>3.9300696734586495E-3</v>
      </c>
    </row>
    <row r="2065" spans="1:25" x14ac:dyDescent="0.25">
      <c r="A2065" s="1096"/>
      <c r="B2065" s="1455">
        <v>1815</v>
      </c>
      <c r="C2065" s="1100">
        <v>1.0244220041143317</v>
      </c>
      <c r="D2065" s="1100">
        <v>0.95230490238590071</v>
      </c>
      <c r="E2065" s="1100">
        <v>0.98610196118698368</v>
      </c>
      <c r="F2065" s="1100">
        <v>0.95556028292488893</v>
      </c>
      <c r="G2065" s="1100">
        <v>1.0403296740545755</v>
      </c>
      <c r="H2065" s="1100">
        <v>1.0136106874419835</v>
      </c>
      <c r="I2065" s="1100">
        <v>1.0190746961461215</v>
      </c>
      <c r="K2065">
        <v>2.1580454770783883</v>
      </c>
      <c r="L2065">
        <v>0</v>
      </c>
      <c r="M2065">
        <v>1.5920865100734316E-3</v>
      </c>
      <c r="N2065">
        <v>0.1388387920085567</v>
      </c>
      <c r="O2065">
        <v>1.9481183399605112E-2</v>
      </c>
      <c r="P2065">
        <v>2.5094927728074101E-2</v>
      </c>
      <c r="Q2065">
        <v>5.3572182852293978E-3</v>
      </c>
      <c r="R2065">
        <v>1.5700100488726164E-3</v>
      </c>
      <c r="S2065">
        <v>0.24720667212650668</v>
      </c>
      <c r="T2065">
        <v>1.2841236049321996</v>
      </c>
      <c r="U2065">
        <v>0.13933765808752904</v>
      </c>
      <c r="V2065">
        <v>0.18785918953019179</v>
      </c>
      <c r="W2065">
        <v>9.1968351671010876E-2</v>
      </c>
      <c r="X2065">
        <v>1.4526905971329263E-2</v>
      </c>
      <c r="Y2065">
        <v>4.2730497993577468E-3</v>
      </c>
    </row>
    <row r="2066" spans="1:25" x14ac:dyDescent="0.25">
      <c r="A2066" s="1096"/>
      <c r="B2066" s="1455">
        <v>1816</v>
      </c>
      <c r="C2066" s="1100">
        <v>1.0361081460919543</v>
      </c>
      <c r="D2066" s="1100">
        <v>0.98654306269451675</v>
      </c>
      <c r="E2066" s="1100">
        <v>0.99879177395617968</v>
      </c>
      <c r="F2066" s="1100">
        <v>0.97864492451190299</v>
      </c>
      <c r="G2066" s="1100">
        <v>1.0026078624686343</v>
      </c>
      <c r="H2066" s="1100">
        <v>1.0202222553269986</v>
      </c>
      <c r="I2066" s="1100">
        <v>0.9746461120295572</v>
      </c>
      <c r="K2066">
        <v>2.1650419349372862</v>
      </c>
      <c r="L2066">
        <v>0</v>
      </c>
      <c r="M2066">
        <v>1.5313378482100777E-3</v>
      </c>
      <c r="N2066">
        <v>0.13877596775723269</v>
      </c>
      <c r="O2066">
        <v>1.9120025340886731E-2</v>
      </c>
      <c r="P2066">
        <v>2.5439073990164301E-2</v>
      </c>
      <c r="Q2066">
        <v>5.325683794459188E-3</v>
      </c>
      <c r="R2066">
        <v>1.5102413583897769E-3</v>
      </c>
      <c r="S2066">
        <v>0.23025076021018895</v>
      </c>
      <c r="T2066">
        <v>1.3151634812120123</v>
      </c>
      <c r="U2066">
        <v>0.13779424905295523</v>
      </c>
      <c r="V2066">
        <v>0.18295266542529859</v>
      </c>
      <c r="W2066">
        <v>9.123189860302397E-2</v>
      </c>
      <c r="X2066">
        <v>1.4898846914277297E-2</v>
      </c>
      <c r="Y2066">
        <v>4.1103791266069801E-3</v>
      </c>
    </row>
    <row r="2067" spans="1:25" x14ac:dyDescent="0.25">
      <c r="A2067" s="1096"/>
      <c r="B2067" s="1455">
        <v>1817</v>
      </c>
      <c r="C2067" s="1100">
        <v>1.0204186130718436</v>
      </c>
      <c r="D2067" s="1100">
        <v>1.0231697089993534</v>
      </c>
      <c r="E2067" s="1100">
        <v>0.97611397831653579</v>
      </c>
      <c r="F2067" s="1100">
        <v>0.98848884977229556</v>
      </c>
      <c r="G2067" s="1100">
        <v>1.0089379711558693</v>
      </c>
      <c r="H2067" s="1100">
        <v>0.99094811408672889</v>
      </c>
      <c r="I2067" s="1100">
        <v>1.0082586281119363</v>
      </c>
      <c r="K2067">
        <v>2.1773329894106257</v>
      </c>
      <c r="L2067">
        <v>0</v>
      </c>
      <c r="M2067">
        <v>1.570218984605307E-3</v>
      </c>
      <c r="N2067">
        <v>0.13281321537147575</v>
      </c>
      <c r="O2067">
        <v>1.9245147739238914E-2</v>
      </c>
      <c r="P2067">
        <v>2.5297707957645417E-2</v>
      </c>
      <c r="Q2067">
        <v>5.2388879525054836E-3</v>
      </c>
      <c r="R2067">
        <v>1.5479478016675471E-3</v>
      </c>
      <c r="S2067">
        <v>0.23504349768815444</v>
      </c>
      <c r="T2067">
        <v>1.3283628120452495</v>
      </c>
      <c r="U2067">
        <v>0.13986185216190608</v>
      </c>
      <c r="V2067">
        <v>0.18452957057186076</v>
      </c>
      <c r="W2067">
        <v>8.8508666412051393E-2</v>
      </c>
      <c r="X2067">
        <v>1.424089905819422E-2</v>
      </c>
      <c r="Y2067">
        <v>4.2130036352833839E-3</v>
      </c>
    </row>
    <row r="2068" spans="1:25" x14ac:dyDescent="0.25">
      <c r="A2068" s="1096"/>
      <c r="B2068" s="1455">
        <v>1818</v>
      </c>
      <c r="C2068" s="1100">
        <v>0.99326611217344318</v>
      </c>
      <c r="D2068" s="1100">
        <v>0.9807485105351923</v>
      </c>
      <c r="E2068" s="1100">
        <v>1.0454531542933878</v>
      </c>
      <c r="F2068" s="1100">
        <v>1.0062711623666722</v>
      </c>
      <c r="G2068" s="1100">
        <v>1.0102446305651398</v>
      </c>
      <c r="H2068" s="1100">
        <v>0.99412164063376518</v>
      </c>
      <c r="I2068" s="1100">
        <v>0.96872014475219392</v>
      </c>
      <c r="K2068">
        <v>2.2359291833077863</v>
      </c>
      <c r="L2068">
        <v>0</v>
      </c>
      <c r="M2068">
        <v>1.4142987629612138E-3</v>
      </c>
      <c r="N2068">
        <v>0.14748576515515599</v>
      </c>
      <c r="O2068">
        <v>2.0000154360577258E-2</v>
      </c>
      <c r="P2068">
        <v>2.7085368111275092E-2</v>
      </c>
      <c r="Q2068">
        <v>5.8350379842774698E-3</v>
      </c>
      <c r="R2068">
        <v>1.3943031090852371E-3</v>
      </c>
      <c r="S2068">
        <v>0.2377273302342382</v>
      </c>
      <c r="T2068">
        <v>1.3523863607451512</v>
      </c>
      <c r="U2068">
        <v>0.14384617535927852</v>
      </c>
      <c r="V2068">
        <v>0.18632841049379381</v>
      </c>
      <c r="W2068">
        <v>9.435078332417389E-2</v>
      </c>
      <c r="X2068">
        <v>1.7108959762706932E-2</v>
      </c>
      <c r="Y2068">
        <v>3.7948334310336346E-3</v>
      </c>
    </row>
    <row r="2069" spans="1:25" x14ac:dyDescent="0.25">
      <c r="A2069" s="1096"/>
      <c r="B2069" s="1455">
        <v>1819</v>
      </c>
      <c r="C2069" s="1100">
        <v>0.96986156592373296</v>
      </c>
      <c r="D2069" s="1100">
        <v>1.0015422045671718</v>
      </c>
      <c r="E2069" s="1100">
        <v>0.96447951805978127</v>
      </c>
      <c r="F2069" s="1100">
        <v>1.0044869643962242</v>
      </c>
      <c r="G2069" s="1100">
        <v>1.0271104569736513</v>
      </c>
      <c r="H2069" s="1100">
        <v>1.0056146374905832</v>
      </c>
      <c r="I2069" s="1100">
        <v>1.0261908857775863</v>
      </c>
      <c r="K2069">
        <v>2.2482048205263974</v>
      </c>
      <c r="L2069">
        <v>0</v>
      </c>
      <c r="M2069">
        <v>1.7253711726905345E-3</v>
      </c>
      <c r="N2069">
        <v>0.14091453929610456</v>
      </c>
      <c r="O2069">
        <v>2.0336300518092331E-2</v>
      </c>
      <c r="P2069">
        <v>2.5794774911228353E-2</v>
      </c>
      <c r="Q2069">
        <v>5.4704911860042494E-3</v>
      </c>
      <c r="R2069">
        <v>1.7012563025095482E-3</v>
      </c>
      <c r="S2069">
        <v>0.25553457055548295</v>
      </c>
      <c r="T2069">
        <v>1.349850608461681</v>
      </c>
      <c r="U2069">
        <v>0.14712510064214246</v>
      </c>
      <c r="V2069">
        <v>0.18960336585269574</v>
      </c>
      <c r="W2069">
        <v>9.4574682346017111E-2</v>
      </c>
      <c r="X2069">
        <v>1.439424279068858E-2</v>
      </c>
      <c r="Y2069">
        <v>4.6302588364415913E-3</v>
      </c>
    </row>
    <row r="2070" spans="1:25" x14ac:dyDescent="0.25">
      <c r="A2070" s="1096"/>
      <c r="B2070" s="1455">
        <v>1820</v>
      </c>
      <c r="C2070" s="1100">
        <v>1.0163077508770644</v>
      </c>
      <c r="D2070" s="1100">
        <v>0.99945910147626826</v>
      </c>
      <c r="E2070" s="1100">
        <v>1.0124688300712545</v>
      </c>
      <c r="F2070" s="1100">
        <v>0.99733794839839218</v>
      </c>
      <c r="G2070" s="1100">
        <v>1.0046375361629249</v>
      </c>
      <c r="H2070" s="1100">
        <v>0.97634319461774188</v>
      </c>
      <c r="I2070" s="1100">
        <v>1.0444360895193718</v>
      </c>
      <c r="K2070">
        <v>2.208117808018971</v>
      </c>
      <c r="L2070">
        <v>0</v>
      </c>
      <c r="M2070">
        <v>1.4480514162482627E-3</v>
      </c>
      <c r="N2070">
        <v>0.13667614051977664</v>
      </c>
      <c r="O2070">
        <v>1.9445249504057821E-2</v>
      </c>
      <c r="P2070">
        <v>2.6323459647884087E-2</v>
      </c>
      <c r="Q2070">
        <v>5.4910136866936103E-3</v>
      </c>
      <c r="R2070">
        <v>1.4272057655523227E-3</v>
      </c>
      <c r="S2070">
        <v>0.24641455165238166</v>
      </c>
      <c r="T2070">
        <v>1.340307700010908</v>
      </c>
      <c r="U2070">
        <v>0.14050986052559464</v>
      </c>
      <c r="V2070">
        <v>0.18430951106931739</v>
      </c>
      <c r="W2070">
        <v>8.912723817370137E-2</v>
      </c>
      <c r="X2070">
        <v>1.5649545263769601E-2</v>
      </c>
      <c r="Y2070">
        <v>3.8843836155792516E-3</v>
      </c>
    </row>
    <row r="2071" spans="1:25" x14ac:dyDescent="0.25">
      <c r="A2071" s="1096"/>
      <c r="B2071" s="1455">
        <v>1821</v>
      </c>
      <c r="C2071" s="1100">
        <v>0.95510349337102773</v>
      </c>
      <c r="D2071" s="1100">
        <v>0.973252934056969</v>
      </c>
      <c r="E2071" s="1100">
        <v>0.96452383545138043</v>
      </c>
      <c r="F2071" s="1100">
        <v>0.98742461143235083</v>
      </c>
      <c r="G2071" s="1100">
        <v>1.0440107236270588</v>
      </c>
      <c r="H2071" s="1100">
        <v>1.045466055664499</v>
      </c>
      <c r="I2071" s="1100">
        <v>0.99214200701100841</v>
      </c>
      <c r="K2071">
        <v>2.2482297168998917</v>
      </c>
      <c r="L2071">
        <v>0</v>
      </c>
      <c r="M2071">
        <v>1.8328126865599812E-3</v>
      </c>
      <c r="N2071">
        <v>0.14979049090943999</v>
      </c>
      <c r="O2071">
        <v>2.078114391183452E-2</v>
      </c>
      <c r="P2071">
        <v>2.5589707020540423E-2</v>
      </c>
      <c r="Q2071">
        <v>5.590408629836353E-3</v>
      </c>
      <c r="R2071">
        <v>1.8081726060467549E-3</v>
      </c>
      <c r="S2071">
        <v>0.2578258119061238</v>
      </c>
      <c r="T2071">
        <v>1.326921896873787</v>
      </c>
      <c r="U2071">
        <v>0.14939855515653119</v>
      </c>
      <c r="V2071">
        <v>0.19245853430815146</v>
      </c>
      <c r="W2071">
        <v>0.10052904681476357</v>
      </c>
      <c r="X2071">
        <v>1.4447511679677547E-2</v>
      </c>
      <c r="Y2071">
        <v>4.9212497697198798E-3</v>
      </c>
    </row>
    <row r="2072" spans="1:25" x14ac:dyDescent="0.25">
      <c r="A2072" s="1096"/>
      <c r="B2072" s="1455">
        <v>1822</v>
      </c>
      <c r="C2072" s="1100">
        <v>0.99836959928145319</v>
      </c>
      <c r="D2072" s="1100">
        <v>0.96466650086533523</v>
      </c>
      <c r="E2072" s="1100">
        <v>0.98142949804009461</v>
      </c>
      <c r="F2072" s="1100">
        <v>1.0062192566060766</v>
      </c>
      <c r="G2072" s="1100">
        <v>1.0239244843684177</v>
      </c>
      <c r="H2072" s="1100">
        <v>0.99309686747634285</v>
      </c>
      <c r="I2072" s="1100">
        <v>1.023680129021368</v>
      </c>
      <c r="K2072">
        <v>2.2351781255500676</v>
      </c>
      <c r="L2072">
        <v>0</v>
      </c>
      <c r="M2072">
        <v>1.6115393068521693E-3</v>
      </c>
      <c r="N2072">
        <v>0.13852267181442809</v>
      </c>
      <c r="O2072">
        <v>1.9929967235955092E-2</v>
      </c>
      <c r="P2072">
        <v>2.6023040874569352E-2</v>
      </c>
      <c r="Q2072">
        <v>5.4547192975937355E-3</v>
      </c>
      <c r="R2072">
        <v>1.5887315135913759E-3</v>
      </c>
      <c r="S2072">
        <v>0.25142146029586054</v>
      </c>
      <c r="T2072">
        <v>1.3521955270367838</v>
      </c>
      <c r="U2072">
        <v>0.1429629202410288</v>
      </c>
      <c r="V2072">
        <v>0.18751160547800955</v>
      </c>
      <c r="W2072">
        <v>9.2017425832944172E-2</v>
      </c>
      <c r="X2072">
        <v>1.483759178136204E-2</v>
      </c>
      <c r="Y2072">
        <v>4.3240034547930252E-3</v>
      </c>
    </row>
    <row r="2073" spans="1:25" x14ac:dyDescent="0.25">
      <c r="A2073" s="1096"/>
      <c r="B2073" s="1455">
        <v>1823</v>
      </c>
      <c r="C2073" s="1100">
        <v>0.99595717063016187</v>
      </c>
      <c r="D2073" s="1100">
        <v>0.99035225288573803</v>
      </c>
      <c r="E2073" s="1100">
        <v>0.98207922511082779</v>
      </c>
      <c r="F2073" s="1100">
        <v>1.016740074225557</v>
      </c>
      <c r="G2073" s="1100">
        <v>0.9969299936809829</v>
      </c>
      <c r="H2073" s="1100">
        <v>0.98492993043003552</v>
      </c>
      <c r="I2073" s="1100">
        <v>0.99965301585249811</v>
      </c>
      <c r="K2073">
        <v>2.2349051182690505</v>
      </c>
      <c r="L2073">
        <v>0</v>
      </c>
      <c r="M2073">
        <v>1.5907829437378119E-3</v>
      </c>
      <c r="N2073">
        <v>0.13699125078787799</v>
      </c>
      <c r="O2073">
        <v>1.9863483947645439E-2</v>
      </c>
      <c r="P2073">
        <v>2.6068028305849488E-2</v>
      </c>
      <c r="Q2073">
        <v>5.4401110568429618E-3</v>
      </c>
      <c r="R2073">
        <v>1.5680822271015346E-3</v>
      </c>
      <c r="S2073">
        <v>0.24223501731912775</v>
      </c>
      <c r="T2073">
        <v>1.3663345881598858</v>
      </c>
      <c r="U2073">
        <v>0.14331070562381659</v>
      </c>
      <c r="V2073">
        <v>0.18460454958496816</v>
      </c>
      <c r="W2073">
        <v>9.0964493432315219E-2</v>
      </c>
      <c r="X2073">
        <v>1.4847787863351369E-2</v>
      </c>
      <c r="Y2073">
        <v>4.2678029040031391E-3</v>
      </c>
    </row>
    <row r="2074" spans="1:25" x14ac:dyDescent="0.25">
      <c r="A2074" s="1096"/>
      <c r="B2074" s="1455">
        <v>1824</v>
      </c>
      <c r="C2074" s="1100">
        <v>0.9782287506052818</v>
      </c>
      <c r="D2074" s="1100">
        <v>1.0237313959985597</v>
      </c>
      <c r="E2074" s="1100">
        <v>0.98958502392211778</v>
      </c>
      <c r="F2074" s="1100">
        <v>1.0083473442735402</v>
      </c>
      <c r="G2074" s="1100">
        <v>0.96452117751015665</v>
      </c>
      <c r="H2074" s="1100">
        <v>0.98651520162624406</v>
      </c>
      <c r="I2074" s="1100">
        <v>1.0018245084107715</v>
      </c>
      <c r="K2074">
        <v>2.2293909144440192</v>
      </c>
      <c r="L2074">
        <v>0</v>
      </c>
      <c r="M2074">
        <v>1.5856077258171958E-3</v>
      </c>
      <c r="N2074">
        <v>0.13968390193890409</v>
      </c>
      <c r="O2074">
        <v>2.0081279216552637E-2</v>
      </c>
      <c r="P2074">
        <v>2.6078477263070023E-2</v>
      </c>
      <c r="Q2074">
        <v>5.541740350857906E-3</v>
      </c>
      <c r="R2074">
        <v>1.5630172203602599E-3</v>
      </c>
      <c r="S2074">
        <v>0.24329141471001001</v>
      </c>
      <c r="T2074">
        <v>1.3550658214807225</v>
      </c>
      <c r="U2074">
        <v>0.14592554804666627</v>
      </c>
      <c r="V2074">
        <v>0.18202685337116198</v>
      </c>
      <c r="W2074">
        <v>9.2334967859461298E-2</v>
      </c>
      <c r="X2074">
        <v>1.5129483086735056E-2</v>
      </c>
      <c r="Y2074">
        <v>4.2540176253324131E-3</v>
      </c>
    </row>
    <row r="2075" spans="1:25" x14ac:dyDescent="0.25">
      <c r="A2075" s="1096"/>
      <c r="B2075" s="1455">
        <v>1825</v>
      </c>
      <c r="C2075" s="1100">
        <v>0.99733211483618622</v>
      </c>
      <c r="D2075" s="1100">
        <v>0.98564128872716128</v>
      </c>
      <c r="E2075" s="1100">
        <v>1.0017481795962362</v>
      </c>
      <c r="F2075" s="1100">
        <v>1.0319356795369838</v>
      </c>
      <c r="G2075" s="1100">
        <v>1.0247145636459587</v>
      </c>
      <c r="H2075" s="1100">
        <v>1.0156456074777811</v>
      </c>
      <c r="I2075" s="1100">
        <v>1.0354031395162699</v>
      </c>
      <c r="K2075">
        <v>2.2822025803889945</v>
      </c>
      <c r="L2075">
        <v>0</v>
      </c>
      <c r="M2075">
        <v>1.5743730936230407E-3</v>
      </c>
      <c r="N2075">
        <v>0.14394698851084442</v>
      </c>
      <c r="O2075">
        <v>1.9869261693772202E-2</v>
      </c>
      <c r="P2075">
        <v>2.69342725813865E-2</v>
      </c>
      <c r="Q2075">
        <v>5.5508443731040373E-3</v>
      </c>
      <c r="R2075">
        <v>1.5525859928958144E-3</v>
      </c>
      <c r="S2075">
        <v>0.25387185647504007</v>
      </c>
      <c r="T2075">
        <v>1.3867837635531661</v>
      </c>
      <c r="U2075">
        <v>0.14315848118585983</v>
      </c>
      <c r="V2075">
        <v>0.18768019471934608</v>
      </c>
      <c r="W2075">
        <v>9.446525132540548E-2</v>
      </c>
      <c r="X2075">
        <v>1.573782580896789E-2</v>
      </c>
      <c r="Y2075">
        <v>4.2256272628274005E-3</v>
      </c>
    </row>
    <row r="2076" spans="1:25" x14ac:dyDescent="0.25">
      <c r="A2076" s="1096"/>
      <c r="B2076" s="1455">
        <v>1826</v>
      </c>
      <c r="C2076" s="1100">
        <v>0.9808204775503585</v>
      </c>
      <c r="D2076" s="1100">
        <v>1.0243241383245929</v>
      </c>
      <c r="E2076" s="1100">
        <v>1.0022359422181819</v>
      </c>
      <c r="F2076" s="1100">
        <v>1.0184776653197634</v>
      </c>
      <c r="G2076" s="1100">
        <v>1.0077372609096662</v>
      </c>
      <c r="H2076" s="1100">
        <v>1.0225200504998231</v>
      </c>
      <c r="I2076" s="1100">
        <v>1.0016094693821607</v>
      </c>
      <c r="K2076">
        <v>2.2608994856434768</v>
      </c>
      <c r="L2076">
        <v>0</v>
      </c>
      <c r="M2076">
        <v>1.5965038160040055E-3</v>
      </c>
      <c r="N2076">
        <v>0.14619945528222605</v>
      </c>
      <c r="O2076">
        <v>2.0033675548841196E-2</v>
      </c>
      <c r="P2076">
        <v>2.6603635446884859E-2</v>
      </c>
      <c r="Q2076">
        <v>5.5995180985184446E-3</v>
      </c>
      <c r="R2076">
        <v>1.5745589918561072E-3</v>
      </c>
      <c r="S2076">
        <v>0.24555477493621294</v>
      </c>
      <c r="T2076">
        <v>1.368698801810031</v>
      </c>
      <c r="U2076">
        <v>0.14556963012043475</v>
      </c>
      <c r="V2076">
        <v>0.18676298405617411</v>
      </c>
      <c r="W2076">
        <v>9.5915667047917277E-2</v>
      </c>
      <c r="X2076">
        <v>1.5697857597782836E-2</v>
      </c>
      <c r="Y2076">
        <v>4.2854305226001557E-3</v>
      </c>
    </row>
    <row r="2077" spans="1:25" x14ac:dyDescent="0.25">
      <c r="A2077" s="1096"/>
      <c r="B2077" s="1455">
        <v>1827</v>
      </c>
      <c r="C2077" s="1100">
        <v>0.97957169622827489</v>
      </c>
      <c r="D2077" s="1100">
        <v>1.0252418194485373</v>
      </c>
      <c r="E2077" s="1100">
        <v>1.0397143302997465</v>
      </c>
      <c r="F2077" s="1100">
        <v>0.96847723471071157</v>
      </c>
      <c r="G2077" s="1100">
        <v>0.96688243186284673</v>
      </c>
      <c r="H2077" s="1100">
        <v>1.0196619272647907</v>
      </c>
      <c r="I2077" s="1100">
        <v>1.0093277034700381</v>
      </c>
      <c r="K2077">
        <v>2.1985398018356999</v>
      </c>
      <c r="L2077">
        <v>0</v>
      </c>
      <c r="M2077">
        <v>1.4741824703943455E-3</v>
      </c>
      <c r="N2077">
        <v>0.15115055447529058</v>
      </c>
      <c r="O2077">
        <v>2.0079108281209623E-2</v>
      </c>
      <c r="P2077">
        <v>2.6371534834245654E-2</v>
      </c>
      <c r="Q2077">
        <v>5.8251555801429288E-3</v>
      </c>
      <c r="R2077">
        <v>1.4538622218386726E-3</v>
      </c>
      <c r="S2077">
        <v>0.24771241958200224</v>
      </c>
      <c r="T2077">
        <v>1.3015790026187299</v>
      </c>
      <c r="U2077">
        <v>0.14584357211948756</v>
      </c>
      <c r="V2077">
        <v>0.18225737330833025</v>
      </c>
      <c r="W2077">
        <v>9.7014733937887468E-2</v>
      </c>
      <c r="X2077">
        <v>1.6769733644636409E-2</v>
      </c>
      <c r="Y2077">
        <v>3.9569337022922436E-3</v>
      </c>
    </row>
    <row r="2078" spans="1:25" x14ac:dyDescent="0.25">
      <c r="A2078" s="1096"/>
      <c r="B2078" s="1455">
        <v>1828</v>
      </c>
      <c r="C2078" s="1100">
        <v>1.0084106381258826</v>
      </c>
      <c r="D2078" s="1100">
        <v>0.96541874393092986</v>
      </c>
      <c r="E2078" s="1100">
        <v>0.98243210365377365</v>
      </c>
      <c r="F2078" s="1100">
        <v>0.99706804414844663</v>
      </c>
      <c r="G2078" s="1100">
        <v>0.98209094568432986</v>
      </c>
      <c r="H2078" s="1100">
        <v>1.0107536363454308</v>
      </c>
      <c r="I2078" s="1100">
        <v>0.97623806439784377</v>
      </c>
      <c r="K2078">
        <v>2.204545914859243</v>
      </c>
      <c r="L2078">
        <v>0</v>
      </c>
      <c r="M2078">
        <v>1.6202178460575786E-3</v>
      </c>
      <c r="N2078">
        <v>0.13972674196631424</v>
      </c>
      <c r="O2078">
        <v>1.9728759396629308E-2</v>
      </c>
      <c r="P2078">
        <v>2.5614820114577157E-2</v>
      </c>
      <c r="Q2078">
        <v>5.4051492347711051E-3</v>
      </c>
      <c r="R2078">
        <v>1.59768780018957E-3</v>
      </c>
      <c r="S2078">
        <v>0.23867592854273206</v>
      </c>
      <c r="T2078">
        <v>1.3398989778743675</v>
      </c>
      <c r="U2078">
        <v>0.1415416791787803</v>
      </c>
      <c r="V2078">
        <v>0.18219203376861323</v>
      </c>
      <c r="W2078">
        <v>9.2761173552600162E-2</v>
      </c>
      <c r="X2078">
        <v>1.4674801761252985E-2</v>
      </c>
      <c r="Y2078">
        <v>4.3483795144742257E-3</v>
      </c>
    </row>
    <row r="2079" spans="1:25" x14ac:dyDescent="0.25">
      <c r="A2079" s="1096"/>
      <c r="B2079" s="1455">
        <v>1829</v>
      </c>
      <c r="C2079" s="1100">
        <v>1.00544510911644</v>
      </c>
      <c r="D2079" s="1100">
        <v>1.00684276383025</v>
      </c>
      <c r="E2079" s="1100">
        <v>0.96919065995668263</v>
      </c>
      <c r="F2079" s="1100">
        <v>0.98951397523534068</v>
      </c>
      <c r="G2079" s="1100">
        <v>1.0357157423991958</v>
      </c>
      <c r="H2079" s="1100">
        <v>1.0089766713952004</v>
      </c>
      <c r="I2079" s="1100">
        <v>0.98743902973490383</v>
      </c>
      <c r="K2079">
        <v>2.1941135309071012</v>
      </c>
      <c r="L2079">
        <v>0</v>
      </c>
      <c r="M2079">
        <v>1.6517996312584661E-3</v>
      </c>
      <c r="N2079">
        <v>0.13685091804222058</v>
      </c>
      <c r="O2079">
        <v>1.9596721919634352E-2</v>
      </c>
      <c r="P2079">
        <v>2.5286064078550902E-2</v>
      </c>
      <c r="Q2079">
        <v>5.2970331631642473E-3</v>
      </c>
      <c r="R2079">
        <v>1.6287899704473716E-3</v>
      </c>
      <c r="S2079">
        <v>0.23685962464609031</v>
      </c>
      <c r="T2079">
        <v>1.3297336133288566</v>
      </c>
      <c r="U2079">
        <v>0.14192894963643846</v>
      </c>
      <c r="V2079">
        <v>0.18841643010640766</v>
      </c>
      <c r="W2079">
        <v>9.1583742754604583E-2</v>
      </c>
      <c r="X2079">
        <v>1.4150413522853374E-2</v>
      </c>
      <c r="Y2079">
        <v>4.433029369088291E-3</v>
      </c>
    </row>
    <row r="2080" spans="1:25" x14ac:dyDescent="0.25">
      <c r="A2080" s="1096"/>
      <c r="B2080" s="1455">
        <v>1830</v>
      </c>
      <c r="C2080" s="1100">
        <v>1.0074065507773891</v>
      </c>
      <c r="D2080" s="1100">
        <v>1.0110017598573093</v>
      </c>
      <c r="E2080" s="1100">
        <v>1.0451194849441074</v>
      </c>
      <c r="F2080" s="1100">
        <v>0.99434340898991036</v>
      </c>
      <c r="G2080" s="1100">
        <v>1.0003502120722956</v>
      </c>
      <c r="H2080" s="1100">
        <v>1.0205190195968139</v>
      </c>
      <c r="I2080" s="1100">
        <v>0.96212455542300279</v>
      </c>
      <c r="K2080">
        <v>2.2097027597158343</v>
      </c>
      <c r="L2080">
        <v>0</v>
      </c>
      <c r="M2080">
        <v>1.4229298505847123E-3</v>
      </c>
      <c r="N2080">
        <v>0.14829180513940618</v>
      </c>
      <c r="O2080">
        <v>1.9587853749412788E-2</v>
      </c>
      <c r="P2080">
        <v>2.6706128228278298E-2</v>
      </c>
      <c r="Q2080">
        <v>5.7128801713577622E-3</v>
      </c>
      <c r="R2080">
        <v>1.4033325450346168E-3</v>
      </c>
      <c r="S2080">
        <v>0.23130245358974777</v>
      </c>
      <c r="T2080">
        <v>1.336355110469071</v>
      </c>
      <c r="U2080">
        <v>0.14182631419870095</v>
      </c>
      <c r="V2080">
        <v>0.1843708152160243</v>
      </c>
      <c r="W2080">
        <v>9.4884587121783312E-2</v>
      </c>
      <c r="X2080">
        <v>1.6865000558466844E-2</v>
      </c>
      <c r="Y2080">
        <v>3.8194085791350861E-3</v>
      </c>
    </row>
    <row r="2081" spans="1:25" x14ac:dyDescent="0.25">
      <c r="A2081" s="1096"/>
      <c r="B2081" s="1455">
        <v>1831</v>
      </c>
      <c r="C2081" s="1100">
        <v>0.99364712288850576</v>
      </c>
      <c r="D2081" s="1100">
        <v>0.99078489524833258</v>
      </c>
      <c r="E2081" s="1100">
        <v>0.96477717918835981</v>
      </c>
      <c r="F2081" s="1100">
        <v>0.99022424191979619</v>
      </c>
      <c r="G2081" s="1100">
        <v>0.98588542008209545</v>
      </c>
      <c r="H2081" s="1100">
        <v>0.97554955153222633</v>
      </c>
      <c r="I2081" s="1100">
        <v>0.97234248589251004</v>
      </c>
      <c r="K2081">
        <v>2.1853007995153426</v>
      </c>
      <c r="L2081">
        <v>0</v>
      </c>
      <c r="M2081">
        <v>1.6366016422002022E-3</v>
      </c>
      <c r="N2081">
        <v>0.13372668121063377</v>
      </c>
      <c r="O2081">
        <v>1.989689752517761E-2</v>
      </c>
      <c r="P2081">
        <v>2.5148367893860806E-2</v>
      </c>
      <c r="Q2081">
        <v>5.3539246922892194E-3</v>
      </c>
      <c r="R2081">
        <v>1.61302252039673E-3</v>
      </c>
      <c r="S2081">
        <v>0.23524824157543853</v>
      </c>
      <c r="T2081">
        <v>1.3306843032023694</v>
      </c>
      <c r="U2081">
        <v>0.14360396014536322</v>
      </c>
      <c r="V2081">
        <v>0.18347988221331954</v>
      </c>
      <c r="W2081">
        <v>8.9734229182875894E-2</v>
      </c>
      <c r="X2081">
        <v>1.4057775428027372E-2</v>
      </c>
      <c r="Y2081">
        <v>4.3901155677889565E-3</v>
      </c>
    </row>
    <row r="2082" spans="1:25" x14ac:dyDescent="0.25">
      <c r="A2082" s="1096"/>
      <c r="B2082" s="1455">
        <v>1832</v>
      </c>
      <c r="C2082" s="1100">
        <v>1.0182734638796913</v>
      </c>
      <c r="D2082" s="1100">
        <v>0.97621576770911</v>
      </c>
      <c r="E2082" s="1100">
        <v>0.98031750988248256</v>
      </c>
      <c r="F2082" s="1100">
        <v>1.0228016505700102</v>
      </c>
      <c r="G2082" s="1100">
        <v>1.0029894140568316</v>
      </c>
      <c r="H2082" s="1100">
        <v>0.97039134061807175</v>
      </c>
      <c r="I2082" s="1100">
        <v>1.0259766258711471</v>
      </c>
      <c r="K2082">
        <v>2.2321451527962295</v>
      </c>
      <c r="L2082">
        <v>0</v>
      </c>
      <c r="M2082">
        <v>1.5434222757294434E-3</v>
      </c>
      <c r="N2082">
        <v>0.13217755836558598</v>
      </c>
      <c r="O2082">
        <v>1.9488623917519265E-2</v>
      </c>
      <c r="P2082">
        <v>2.6112214722971708E-2</v>
      </c>
      <c r="Q2082">
        <v>5.3279039359476503E-3</v>
      </c>
      <c r="R2082">
        <v>1.521067422210418E-3</v>
      </c>
      <c r="S2082">
        <v>0.24373445700011304</v>
      </c>
      <c r="T2082">
        <v>1.3744782409105827</v>
      </c>
      <c r="U2082">
        <v>0.14016596343493837</v>
      </c>
      <c r="V2082">
        <v>0.18398301865570521</v>
      </c>
      <c r="W2082">
        <v>8.7861446341001681E-2</v>
      </c>
      <c r="X2082">
        <v>1.4698236261862493E-2</v>
      </c>
      <c r="Y2082">
        <v>4.1398441035157846E-3</v>
      </c>
    </row>
    <row r="2083" spans="1:25" x14ac:dyDescent="0.25">
      <c r="A2083" s="1096"/>
      <c r="B2083" s="1455">
        <v>1833</v>
      </c>
      <c r="C2083" s="1100">
        <v>0.95736949949359396</v>
      </c>
      <c r="D2083" s="1100">
        <v>0.96879433846223439</v>
      </c>
      <c r="E2083" s="1100">
        <v>0.96992763631379397</v>
      </c>
      <c r="F2083" s="1100">
        <v>0.97787109816912166</v>
      </c>
      <c r="G2083" s="1100">
        <v>0.99566643674829014</v>
      </c>
      <c r="H2083" s="1100">
        <v>0.9938744079859938</v>
      </c>
      <c r="I2083" s="1100">
        <v>0.98288754308246673</v>
      </c>
      <c r="K2083">
        <v>2.2104045873413436</v>
      </c>
      <c r="L2083">
        <v>0</v>
      </c>
      <c r="M2083">
        <v>1.7207050172788126E-3</v>
      </c>
      <c r="N2083">
        <v>0.14284751516889294</v>
      </c>
      <c r="O2083">
        <v>2.0756441683811442E-2</v>
      </c>
      <c r="P2083">
        <v>2.5356899769870257E-2</v>
      </c>
      <c r="Q2083">
        <v>5.6147364638636952E-3</v>
      </c>
      <c r="R2083">
        <v>1.6963712755561748E-3</v>
      </c>
      <c r="S2083">
        <v>0.25117330972248386</v>
      </c>
      <c r="T2083">
        <v>1.3140882894376915</v>
      </c>
      <c r="U2083">
        <v>0.14905786811854449</v>
      </c>
      <c r="V2083">
        <v>0.18685111816100233</v>
      </c>
      <c r="W2083">
        <v>9.5553916577980694E-2</v>
      </c>
      <c r="X2083">
        <v>1.4511862575500183E-2</v>
      </c>
      <c r="Y2083">
        <v>4.6169634034232115E-3</v>
      </c>
    </row>
    <row r="2084" spans="1:25" x14ac:dyDescent="0.25">
      <c r="A2084" s="1096"/>
      <c r="B2084" s="1455">
        <v>1834</v>
      </c>
      <c r="C2084" s="1100">
        <v>1.0231577726230807</v>
      </c>
      <c r="D2084" s="1100">
        <v>1.0476057909879744</v>
      </c>
      <c r="E2084" s="1100">
        <v>1.0013693158437318</v>
      </c>
      <c r="F2084" s="1100">
        <v>1.0326802926248584</v>
      </c>
      <c r="G2084" s="1100">
        <v>0.98603797988818354</v>
      </c>
      <c r="H2084" s="1100">
        <v>0.99927209905126524</v>
      </c>
      <c r="I2084" s="1100">
        <v>1.001224135540326</v>
      </c>
      <c r="K2084">
        <v>2.2357655487109143</v>
      </c>
      <c r="L2084">
        <v>0</v>
      </c>
      <c r="M2084">
        <v>1.4909477605367873E-3</v>
      </c>
      <c r="N2084">
        <v>0.13613206492794255</v>
      </c>
      <c r="O2084">
        <v>1.9109456737850302E-2</v>
      </c>
      <c r="P2084">
        <v>2.6496960716978903E-2</v>
      </c>
      <c r="Q2084">
        <v>5.3365479279814578E-3</v>
      </c>
      <c r="R2084">
        <v>1.4699770743000482E-3</v>
      </c>
      <c r="S2084">
        <v>0.23090466279687741</v>
      </c>
      <c r="T2084">
        <v>1.3877837879911707</v>
      </c>
      <c r="U2084">
        <v>0.13954414670063953</v>
      </c>
      <c r="V2084">
        <v>0.18180658316255344</v>
      </c>
      <c r="W2084">
        <v>8.9356799539082016E-2</v>
      </c>
      <c r="X2084">
        <v>1.5314715877640625E-2</v>
      </c>
      <c r="Y2084">
        <v>4.0007930184324213E-3</v>
      </c>
    </row>
    <row r="2085" spans="1:25" x14ac:dyDescent="0.25">
      <c r="A2085" s="1096"/>
      <c r="B2085" s="1455">
        <v>1835</v>
      </c>
      <c r="C2085" s="1100">
        <v>0.97575876212640344</v>
      </c>
      <c r="D2085" s="1100">
        <v>0.99698337924642244</v>
      </c>
      <c r="E2085" s="1100">
        <v>0.98947840762923434</v>
      </c>
      <c r="F2085" s="1100">
        <v>1.000370712113178</v>
      </c>
      <c r="G2085" s="1100">
        <v>0.99549224537221892</v>
      </c>
      <c r="H2085" s="1100">
        <v>1.0218485112689273</v>
      </c>
      <c r="I2085" s="1100">
        <v>1.0079929440980813</v>
      </c>
      <c r="K2085">
        <v>2.2419340788703916</v>
      </c>
      <c r="L2085">
        <v>0</v>
      </c>
      <c r="M2085">
        <v>1.6565399844235937E-3</v>
      </c>
      <c r="N2085">
        <v>0.14595854231268346</v>
      </c>
      <c r="O2085">
        <v>2.0249647066327609E-2</v>
      </c>
      <c r="P2085">
        <v>2.6098194666480792E-2</v>
      </c>
      <c r="Q2085">
        <v>5.5876017377862654E-3</v>
      </c>
      <c r="R2085">
        <v>1.6337549660360386E-3</v>
      </c>
      <c r="S2085">
        <v>0.2515953477328069</v>
      </c>
      <c r="T2085">
        <v>1.3443462927897001</v>
      </c>
      <c r="U2085">
        <v>0.14629468576794036</v>
      </c>
      <c r="V2085">
        <v>0.18568118557101121</v>
      </c>
      <c r="W2085">
        <v>9.6488845520297517E-2</v>
      </c>
      <c r="X2085">
        <v>1.520997827337368E-2</v>
      </c>
      <c r="Y2085">
        <v>4.4465424503702857E-3</v>
      </c>
    </row>
    <row r="2086" spans="1:25" x14ac:dyDescent="0.25">
      <c r="A2086" s="1096"/>
      <c r="B2086" s="1455">
        <v>1836</v>
      </c>
      <c r="C2086" s="1100">
        <v>1.0228781902531954</v>
      </c>
      <c r="D2086" s="1100">
        <v>0.99640093199220492</v>
      </c>
      <c r="E2086" s="1100">
        <v>1.0081277751121864</v>
      </c>
      <c r="F2086" s="1100">
        <v>0.99847424432697574</v>
      </c>
      <c r="G2086" s="1100">
        <v>0.99153902067342947</v>
      </c>
      <c r="H2086" s="1100">
        <v>0.99908899662861839</v>
      </c>
      <c r="I2086" s="1100">
        <v>1.0039243713759678</v>
      </c>
      <c r="K2086">
        <v>2.2007066509830517</v>
      </c>
      <c r="L2086">
        <v>0</v>
      </c>
      <c r="M2086">
        <v>1.4866086770777959E-3</v>
      </c>
      <c r="N2086">
        <v>0.138534581395377</v>
      </c>
      <c r="O2086">
        <v>1.9330715923248979E-2</v>
      </c>
      <c r="P2086">
        <v>2.6098966277179277E-2</v>
      </c>
      <c r="Q2086">
        <v>5.4350386805134734E-3</v>
      </c>
      <c r="R2086">
        <v>1.4656951894228224E-3</v>
      </c>
      <c r="S2086">
        <v>0.23745530922645158</v>
      </c>
      <c r="T2086">
        <v>1.341826885350629</v>
      </c>
      <c r="U2086">
        <v>0.13959751150351674</v>
      </c>
      <c r="V2086">
        <v>0.18245011321521878</v>
      </c>
      <c r="W2086">
        <v>9.0570630853711573E-2</v>
      </c>
      <c r="X2086">
        <v>1.5438672905539259E-2</v>
      </c>
      <c r="Y2086">
        <v>3.9891391393195828E-3</v>
      </c>
    </row>
    <row r="2087" spans="1:25" x14ac:dyDescent="0.25">
      <c r="A2087" s="1096"/>
      <c r="B2087" s="1455">
        <v>1837</v>
      </c>
      <c r="C2087" s="1100">
        <v>1.0025189571565358</v>
      </c>
      <c r="D2087" s="1100">
        <v>1.0166519481161034</v>
      </c>
      <c r="E2087" s="1100">
        <v>1.0081073072663738</v>
      </c>
      <c r="F2087" s="1100">
        <v>0.96874067459836999</v>
      </c>
      <c r="G2087" s="1100">
        <v>0.99856675187413657</v>
      </c>
      <c r="H2087" s="1100">
        <v>1.03231085849759</v>
      </c>
      <c r="I2087" s="1100">
        <v>1.0024631013813674</v>
      </c>
      <c r="K2087">
        <v>2.1818994120936805</v>
      </c>
      <c r="L2087">
        <v>0</v>
      </c>
      <c r="M2087">
        <v>1.5603799884161195E-3</v>
      </c>
      <c r="N2087">
        <v>0.14546698754520368</v>
      </c>
      <c r="O2087">
        <v>1.9636161005856544E-2</v>
      </c>
      <c r="P2087">
        <v>2.5680805715506433E-2</v>
      </c>
      <c r="Q2087">
        <v>5.5208047737204217E-3</v>
      </c>
      <c r="R2087">
        <v>1.5391351294058659E-3</v>
      </c>
      <c r="S2087">
        <v>0.24216617579949618</v>
      </c>
      <c r="T2087">
        <v>1.3018685804831613</v>
      </c>
      <c r="U2087">
        <v>0.14243242158012279</v>
      </c>
      <c r="V2087">
        <v>0.18442243157823549</v>
      </c>
      <c r="W2087">
        <v>9.5104023482570271E-2</v>
      </c>
      <c r="X2087">
        <v>1.5433246542335315E-2</v>
      </c>
      <c r="Y2087">
        <v>4.1890184464837199E-3</v>
      </c>
    </row>
    <row r="2088" spans="1:25" x14ac:dyDescent="0.25">
      <c r="A2088" s="1096"/>
      <c r="B2088" s="1455">
        <v>1838</v>
      </c>
      <c r="C2088" s="1100">
        <v>0.98190744287972664</v>
      </c>
      <c r="D2088" s="1100">
        <v>0.99027969043635788</v>
      </c>
      <c r="E2088" s="1100">
        <v>0.98712720129417175</v>
      </c>
      <c r="F2088" s="1100">
        <v>0.97362871902549486</v>
      </c>
      <c r="G2088" s="1100">
        <v>1.021963096573921</v>
      </c>
      <c r="H2088" s="1100">
        <v>1.0027924840006919</v>
      </c>
      <c r="I2088" s="1100">
        <v>1.0115938788800061</v>
      </c>
      <c r="K2088">
        <v>2.1990822574369635</v>
      </c>
      <c r="L2088">
        <v>0</v>
      </c>
      <c r="M2088">
        <v>1.6257629723482824E-3</v>
      </c>
      <c r="N2088">
        <v>0.14219425333395622</v>
      </c>
      <c r="O2088">
        <v>2.0151237941220059E-2</v>
      </c>
      <c r="P2088">
        <v>2.5569811387411875E-2</v>
      </c>
      <c r="Q2088">
        <v>5.5472359000386922E-3</v>
      </c>
      <c r="R2088">
        <v>1.6029763405537114E-3</v>
      </c>
      <c r="S2088">
        <v>0.25016198386420363</v>
      </c>
      <c r="T2088">
        <v>1.3084060553722818</v>
      </c>
      <c r="U2088">
        <v>0.14537308925998368</v>
      </c>
      <c r="V2088">
        <v>0.18829072972381655</v>
      </c>
      <c r="W2088">
        <v>9.4133058667950131E-2</v>
      </c>
      <c r="X2088">
        <v>1.4914815439916622E-2</v>
      </c>
      <c r="Y2088">
        <v>4.362773177978555E-3</v>
      </c>
    </row>
    <row r="2089" spans="1:25" x14ac:dyDescent="0.25">
      <c r="A2089" s="1096"/>
      <c r="B2089" s="1455">
        <v>1839</v>
      </c>
      <c r="C2089" s="1100">
        <v>0.95845385394338234</v>
      </c>
      <c r="D2089" s="1100">
        <v>0.99563137857016137</v>
      </c>
      <c r="E2089" s="1100">
        <v>0.95880453638359286</v>
      </c>
      <c r="F2089" s="1100">
        <v>0.98054207729359766</v>
      </c>
      <c r="G2089" s="1100">
        <v>1.0131163578108953</v>
      </c>
      <c r="H2089" s="1100">
        <v>1.0150504053353915</v>
      </c>
      <c r="I2089" s="1100">
        <v>0.97016891705500041</v>
      </c>
      <c r="K2089">
        <v>2.2111607833950813</v>
      </c>
      <c r="L2089">
        <v>0</v>
      </c>
      <c r="M2089">
        <v>1.78535188989381E-3</v>
      </c>
      <c r="N2089">
        <v>0.14334651901703846</v>
      </c>
      <c r="O2089">
        <v>2.0601483519806563E-2</v>
      </c>
      <c r="P2089">
        <v>2.5140705021408038E-2</v>
      </c>
      <c r="Q2089">
        <v>5.5096251909822116E-3</v>
      </c>
      <c r="R2089">
        <v>1.7606306530434329E-3</v>
      </c>
      <c r="S2089">
        <v>0.24590331618398498</v>
      </c>
      <c r="T2089">
        <v>1.3176688131257492</v>
      </c>
      <c r="U2089">
        <v>0.14886266744678439</v>
      </c>
      <c r="V2089">
        <v>0.18874416280065606</v>
      </c>
      <c r="W2089">
        <v>9.6541998030513554E-2</v>
      </c>
      <c r="X2089">
        <v>1.4074358049163089E-2</v>
      </c>
      <c r="Y2089">
        <v>4.7918562458454323E-3</v>
      </c>
    </row>
    <row r="2090" spans="1:25" x14ac:dyDescent="0.25">
      <c r="A2090" s="1096"/>
      <c r="B2090" s="1455">
        <v>1840</v>
      </c>
      <c r="C2090" s="1100">
        <v>1.0184762368653839</v>
      </c>
      <c r="D2090" s="1100">
        <v>1.0247052076164069</v>
      </c>
      <c r="E2090" s="1100">
        <v>1.0041514871670094</v>
      </c>
      <c r="F2090" s="1100">
        <v>1.0419894202786755</v>
      </c>
      <c r="G2090" s="1100">
        <v>0.99548185852905668</v>
      </c>
      <c r="H2090" s="1100">
        <v>0.99486337143350434</v>
      </c>
      <c r="I2090" s="1100">
        <v>1.0115182117215205</v>
      </c>
      <c r="K2090">
        <v>2.2583513544703573</v>
      </c>
      <c r="L2090">
        <v>0</v>
      </c>
      <c r="M2090">
        <v>1.4898349719080506E-3</v>
      </c>
      <c r="N2090">
        <v>0.13716978315269468</v>
      </c>
      <c r="O2090">
        <v>1.9292568102930292E-2</v>
      </c>
      <c r="P2090">
        <v>2.6828192556185928E-2</v>
      </c>
      <c r="Q2090">
        <v>5.4027491270179674E-3</v>
      </c>
      <c r="R2090">
        <v>1.4687870753839561E-3</v>
      </c>
      <c r="S2090">
        <v>0.23659638672423852</v>
      </c>
      <c r="T2090">
        <v>1.4002987957957296</v>
      </c>
      <c r="U2090">
        <v>0.14019186835427178</v>
      </c>
      <c r="V2090">
        <v>0.18314301637031827</v>
      </c>
      <c r="W2090">
        <v>8.9889517978772829E-2</v>
      </c>
      <c r="X2090">
        <v>1.5561969971053915E-2</v>
      </c>
      <c r="Y2090">
        <v>3.9975542336658561E-3</v>
      </c>
    </row>
    <row r="2091" spans="1:25" x14ac:dyDescent="0.25">
      <c r="A2091" s="1096"/>
      <c r="B2091" s="1455">
        <v>1841</v>
      </c>
      <c r="C2091" s="1100">
        <v>0.98672984187943202</v>
      </c>
      <c r="D2091" s="1100">
        <v>1.0142475419184027</v>
      </c>
      <c r="E2091" s="1100">
        <v>0.99444260790350281</v>
      </c>
      <c r="F2091" s="1100">
        <v>0.97936577429343152</v>
      </c>
      <c r="G2091" s="1100">
        <v>0.9885131205351112</v>
      </c>
      <c r="H2091" s="1100">
        <v>0.98898361614539354</v>
      </c>
      <c r="I2091" s="1100">
        <v>1.0096935456421057</v>
      </c>
      <c r="K2091">
        <v>2.1917832595649411</v>
      </c>
      <c r="L2091">
        <v>0</v>
      </c>
      <c r="M2091">
        <v>1.5632985719571664E-3</v>
      </c>
      <c r="N2091">
        <v>0.1397608603857238</v>
      </c>
      <c r="O2091">
        <v>1.9952137902542872E-2</v>
      </c>
      <c r="P2091">
        <v>2.5673443744381474E-2</v>
      </c>
      <c r="Q2091">
        <v>5.5331722446666891E-3</v>
      </c>
      <c r="R2091">
        <v>1.5410815005397498E-3</v>
      </c>
      <c r="S2091">
        <v>0.24445731770420215</v>
      </c>
      <c r="T2091">
        <v>1.316125735641005</v>
      </c>
      <c r="U2091">
        <v>0.14467965804229346</v>
      </c>
      <c r="V2091">
        <v>0.18422077575469031</v>
      </c>
      <c r="W2091">
        <v>9.2117815027002767E-2</v>
      </c>
      <c r="X2091">
        <v>1.5090244362759129E-2</v>
      </c>
      <c r="Y2091">
        <v>4.1943158270890801E-3</v>
      </c>
    </row>
    <row r="2092" spans="1:25" x14ac:dyDescent="0.25">
      <c r="A2092" s="1096"/>
      <c r="B2092" s="1455">
        <v>1842</v>
      </c>
      <c r="C2092" s="1100">
        <v>0.95320950582598984</v>
      </c>
      <c r="D2092" s="1100">
        <v>1.008570016219716</v>
      </c>
      <c r="E2092" s="1100">
        <v>1.0325353959931047</v>
      </c>
      <c r="F2092" s="1100">
        <v>0.98588434093812527</v>
      </c>
      <c r="G2092" s="1100">
        <v>0.98705223710782086</v>
      </c>
      <c r="H2092" s="1100">
        <v>1.0135159170133254</v>
      </c>
      <c r="I2092" s="1100">
        <v>0.96445485056044566</v>
      </c>
      <c r="K2092">
        <v>2.2330546751627511</v>
      </c>
      <c r="L2092">
        <v>0</v>
      </c>
      <c r="M2092">
        <v>1.5340607933405788E-3</v>
      </c>
      <c r="N2092">
        <v>0.15391102459630804</v>
      </c>
      <c r="O2092">
        <v>2.0704260447286928E-2</v>
      </c>
      <c r="P2092">
        <v>2.6630669777479719E-2</v>
      </c>
      <c r="Q2092">
        <v>5.9641785932371388E-3</v>
      </c>
      <c r="R2092">
        <v>1.5127869491597663E-3</v>
      </c>
      <c r="S2092">
        <v>0.24467300219308946</v>
      </c>
      <c r="T2092">
        <v>1.3249564364586817</v>
      </c>
      <c r="U2092">
        <v>0.14985962371177422</v>
      </c>
      <c r="V2092">
        <v>0.18620595689391267</v>
      </c>
      <c r="W2092">
        <v>9.9197060696787145E-2</v>
      </c>
      <c r="X2092">
        <v>1.6856428252845571E-2</v>
      </c>
      <c r="Y2092">
        <v>4.1173073855291188E-3</v>
      </c>
    </row>
    <row r="2093" spans="1:25" x14ac:dyDescent="0.25">
      <c r="A2093" s="1096"/>
      <c r="B2093" s="1455">
        <v>1843</v>
      </c>
      <c r="C2093" s="1100">
        <v>0.95323999737443299</v>
      </c>
      <c r="D2093" s="1100">
        <v>0.9669314993580751</v>
      </c>
      <c r="E2093" s="1100">
        <v>0.96772582724476264</v>
      </c>
      <c r="F2093" s="1100">
        <v>1.0074408997401074</v>
      </c>
      <c r="G2093" s="1100">
        <v>1.0069019156410728</v>
      </c>
      <c r="H2093" s="1100">
        <v>1.006873166977603</v>
      </c>
      <c r="I2093" s="1100">
        <v>0.99135514743433395</v>
      </c>
      <c r="K2093">
        <v>2.2617808854817767</v>
      </c>
      <c r="L2093">
        <v>0</v>
      </c>
      <c r="M2093">
        <v>1.7594812461867999E-3</v>
      </c>
      <c r="N2093">
        <v>0.14512282000744403</v>
      </c>
      <c r="O2093">
        <v>2.0853742726164998E-2</v>
      </c>
      <c r="P2093">
        <v>2.5933133059100447E-2</v>
      </c>
      <c r="Q2093">
        <v>5.6283681967965469E-3</v>
      </c>
      <c r="R2093">
        <v>1.7349203702184221E-3</v>
      </c>
      <c r="S2093">
        <v>0.25575388841256502</v>
      </c>
      <c r="T2093">
        <v>1.3538229362892256</v>
      </c>
      <c r="U2093">
        <v>0.14969830628622316</v>
      </c>
      <c r="V2093">
        <v>0.18838762700713893</v>
      </c>
      <c r="W2093">
        <v>9.7206218727282981E-2</v>
      </c>
      <c r="X2093">
        <v>1.467652431441349E-2</v>
      </c>
      <c r="Y2093">
        <v>4.7218813313882084E-3</v>
      </c>
    </row>
    <row r="2094" spans="1:25" x14ac:dyDescent="0.25">
      <c r="A2094" s="1096"/>
      <c r="B2094" s="1455">
        <v>1844</v>
      </c>
      <c r="C2094" s="1100">
        <v>0.99979860652925945</v>
      </c>
      <c r="D2094" s="1100">
        <v>0.98354053577050515</v>
      </c>
      <c r="E2094" s="1100">
        <v>1.0070855855228376</v>
      </c>
      <c r="F2094" s="1100">
        <v>0.95999844868730566</v>
      </c>
      <c r="G2094" s="1100">
        <v>1.0298187292362053</v>
      </c>
      <c r="H2094" s="1100">
        <v>1.0273786972760821</v>
      </c>
      <c r="I2094" s="1100">
        <v>0.98235469725128866</v>
      </c>
      <c r="K2094">
        <v>2.1747471788205832</v>
      </c>
      <c r="L2094">
        <v>0</v>
      </c>
      <c r="M2094">
        <v>1.5718663420649915E-3</v>
      </c>
      <c r="N2094">
        <v>0.14607673652237013</v>
      </c>
      <c r="O2094">
        <v>1.9832899541060031E-2</v>
      </c>
      <c r="P2094">
        <v>2.5546949287840081E-2</v>
      </c>
      <c r="Q2094">
        <v>5.5704189639422105E-3</v>
      </c>
      <c r="R2094">
        <v>1.550362352771624E-3</v>
      </c>
      <c r="S2094">
        <v>0.24149474383470942</v>
      </c>
      <c r="T2094">
        <v>1.290118378839503</v>
      </c>
      <c r="U2094">
        <v>0.14281761018212122</v>
      </c>
      <c r="V2094">
        <v>0.18811509101744228</v>
      </c>
      <c r="W2094">
        <v>9.5560333166481368E-2</v>
      </c>
      <c r="X2094">
        <v>1.5415946206973155E-2</v>
      </c>
      <c r="Y2094">
        <v>4.219575247432124E-3</v>
      </c>
    </row>
    <row r="2095" spans="1:25" x14ac:dyDescent="0.25">
      <c r="A2095" s="1096"/>
      <c r="B2095" s="1455">
        <v>1845</v>
      </c>
      <c r="C2095" s="1100">
        <v>1.01830096554686</v>
      </c>
      <c r="D2095" s="1100">
        <v>1.0303493848929202</v>
      </c>
      <c r="E2095" s="1100">
        <v>1.0104607540740529</v>
      </c>
      <c r="F2095" s="1100">
        <v>0.99493411356946126</v>
      </c>
      <c r="G2095" s="1100">
        <v>1.0225874184953729</v>
      </c>
      <c r="H2095" s="1100">
        <v>1.0132652496347163</v>
      </c>
      <c r="I2095" s="1100">
        <v>0.98990923226186356</v>
      </c>
      <c r="K2095">
        <v>2.1983328756074227</v>
      </c>
      <c r="L2095">
        <v>0</v>
      </c>
      <c r="M2095">
        <v>1.4960896297693789E-3</v>
      </c>
      <c r="N2095">
        <v>0.14043159918212716</v>
      </c>
      <c r="O2095">
        <v>1.9276433985479263E-2</v>
      </c>
      <c r="P2095">
        <v>2.6070026242424604E-2</v>
      </c>
      <c r="Q2095">
        <v>5.4324360756474706E-3</v>
      </c>
      <c r="R2095">
        <v>1.4753372244595948E-3</v>
      </c>
      <c r="S2095">
        <v>0.23242293567633474</v>
      </c>
      <c r="T2095">
        <v>1.3370735460904681</v>
      </c>
      <c r="U2095">
        <v>0.14023027940418359</v>
      </c>
      <c r="V2095">
        <v>0.18622239767533524</v>
      </c>
      <c r="W2095">
        <v>9.1684568471359237E-2</v>
      </c>
      <c r="X2095">
        <v>1.5494023629178007E-2</v>
      </c>
      <c r="Y2095">
        <v>4.0153815801936815E-3</v>
      </c>
    </row>
    <row r="2096" spans="1:25" x14ac:dyDescent="0.25">
      <c r="A2096" s="1096"/>
      <c r="B2096" s="1455">
        <v>1846</v>
      </c>
      <c r="C2096" s="1100">
        <v>0.9991077320067081</v>
      </c>
      <c r="D2096" s="1100">
        <v>0.98166093673159438</v>
      </c>
      <c r="E2096" s="1100">
        <v>1.0372097997016483</v>
      </c>
      <c r="F2096" s="1100">
        <v>0.99527889757761512</v>
      </c>
      <c r="G2096" s="1100">
        <v>1.0065820382006641</v>
      </c>
      <c r="H2096" s="1100">
        <v>1.0033075543177816</v>
      </c>
      <c r="I2096" s="1100">
        <v>0.95705676620632396</v>
      </c>
      <c r="K2096">
        <v>2.2141958242007265</v>
      </c>
      <c r="L2096">
        <v>0</v>
      </c>
      <c r="M2096">
        <v>1.4433533221488606E-3</v>
      </c>
      <c r="N2096">
        <v>0.14684368435730721</v>
      </c>
      <c r="O2096">
        <v>1.9873942656216271E-2</v>
      </c>
      <c r="P2096">
        <v>2.6643213752444449E-2</v>
      </c>
      <c r="Q2096">
        <v>5.751441546284145E-3</v>
      </c>
      <c r="R2096">
        <v>1.4231337225664054E-3</v>
      </c>
      <c r="S2096">
        <v>0.23403069436485535</v>
      </c>
      <c r="T2096">
        <v>1.3375929137552918</v>
      </c>
      <c r="U2096">
        <v>0.14298601788229065</v>
      </c>
      <c r="V2096">
        <v>0.18555716883770204</v>
      </c>
      <c r="W2096">
        <v>9.4386620354962911E-2</v>
      </c>
      <c r="X2096">
        <v>1.6677045436033676E-2</v>
      </c>
      <c r="Y2096">
        <v>3.8733008569201929E-3</v>
      </c>
    </row>
    <row r="2097" spans="1:25" x14ac:dyDescent="0.25">
      <c r="A2097" s="1096"/>
      <c r="B2097" s="1455">
        <v>1847</v>
      </c>
      <c r="C2097" s="1100">
        <v>1.0338937918488496</v>
      </c>
      <c r="D2097" s="1100">
        <v>1.0146964332588213</v>
      </c>
      <c r="E2097" s="1100">
        <v>0.99573036156442418</v>
      </c>
      <c r="F2097" s="1100">
        <v>1.00554582200325</v>
      </c>
      <c r="G2097" s="1100">
        <v>0.99185922946841087</v>
      </c>
      <c r="H2097" s="1100">
        <v>0.9984743022930167</v>
      </c>
      <c r="I2097" s="1100">
        <v>1.004653142825169</v>
      </c>
      <c r="K2097">
        <v>2.1968871359000541</v>
      </c>
      <c r="L2097">
        <v>0</v>
      </c>
      <c r="M2097">
        <v>1.5021406050863188E-3</v>
      </c>
      <c r="N2097">
        <v>0.13483542127947834</v>
      </c>
      <c r="O2097">
        <v>1.9040886829925815E-2</v>
      </c>
      <c r="P2097">
        <v>2.5896707689720234E-2</v>
      </c>
      <c r="Q2097">
        <v>5.2873202536982133E-3</v>
      </c>
      <c r="R2097">
        <v>1.4809956059925254E-3</v>
      </c>
      <c r="S2097">
        <v>0.2328359227581818</v>
      </c>
      <c r="T2097">
        <v>1.3513098506416676</v>
      </c>
      <c r="U2097">
        <v>0.13808255717258142</v>
      </c>
      <c r="V2097">
        <v>0.18185771707056225</v>
      </c>
      <c r="W2097">
        <v>8.8803149837187331E-2</v>
      </c>
      <c r="X2097">
        <v>1.4927965536705647E-2</v>
      </c>
      <c r="Y2097">
        <v>4.030781829441347E-3</v>
      </c>
    </row>
    <row r="2098" spans="1:25" x14ac:dyDescent="0.25">
      <c r="A2098" s="1096"/>
      <c r="B2098" s="1455">
        <v>1848</v>
      </c>
      <c r="C2098" s="1100">
        <v>1.0309769752749054</v>
      </c>
      <c r="D2098" s="1100">
        <v>0.99545432940881851</v>
      </c>
      <c r="E2098" s="1100">
        <v>0.97137574300135665</v>
      </c>
      <c r="F2098" s="1100">
        <v>1.0242199928735105</v>
      </c>
      <c r="G2098" s="1100">
        <v>0.9868141057507912</v>
      </c>
      <c r="H2098" s="1100">
        <v>0.9920473101392786</v>
      </c>
      <c r="I2098" s="1100">
        <v>1.005043444716617</v>
      </c>
      <c r="K2098">
        <v>2.2198625595500627</v>
      </c>
      <c r="L2098">
        <v>0</v>
      </c>
      <c r="M2098">
        <v>1.5806863044217651E-3</v>
      </c>
      <c r="N2098">
        <v>0.13179673245310522</v>
      </c>
      <c r="O2098">
        <v>1.9160621548724055E-2</v>
      </c>
      <c r="P2098">
        <v>2.578800115801639E-2</v>
      </c>
      <c r="Q2098">
        <v>5.1907321770025237E-3</v>
      </c>
      <c r="R2098">
        <v>1.5582914995139019E-3</v>
      </c>
      <c r="S2098">
        <v>0.23514067457239715</v>
      </c>
      <c r="T2098">
        <v>1.3763745294891938</v>
      </c>
      <c r="U2098">
        <v>0.13841897356324501</v>
      </c>
      <c r="V2098">
        <v>0.18142962259524933</v>
      </c>
      <c r="W2098">
        <v>8.80841710001673E-2</v>
      </c>
      <c r="X2098">
        <v>1.4259740026848664E-2</v>
      </c>
      <c r="Y2098">
        <v>4.2411557710220838E-3</v>
      </c>
    </row>
    <row r="2099" spans="1:25" x14ac:dyDescent="0.25">
      <c r="A2099" s="1096"/>
      <c r="B2099" s="1455">
        <v>1849</v>
      </c>
      <c r="C2099" s="1100">
        <v>1.0172140783316488</v>
      </c>
      <c r="D2099" s="1100">
        <v>1.0284227701919364</v>
      </c>
      <c r="E2099" s="1100">
        <v>1.0159134777758789</v>
      </c>
      <c r="F2099" s="1100">
        <v>1.014645489408712</v>
      </c>
      <c r="G2099" s="1100">
        <v>0.99325096203753882</v>
      </c>
      <c r="H2099" s="1100">
        <v>0.97880398698519366</v>
      </c>
      <c r="I2099" s="1100">
        <v>0.99414889026586162</v>
      </c>
      <c r="K2099">
        <v>2.2143283303981458</v>
      </c>
      <c r="L2099">
        <v>0</v>
      </c>
      <c r="M2099">
        <v>1.4310364735834963E-3</v>
      </c>
      <c r="N2099">
        <v>0.13648671479463684</v>
      </c>
      <c r="O2099">
        <v>1.9308312738545334E-2</v>
      </c>
      <c r="P2099">
        <v>2.6481864685047984E-2</v>
      </c>
      <c r="Q2099">
        <v>5.4711085142387832E-3</v>
      </c>
      <c r="R2099">
        <v>1.4104875560057386E-3</v>
      </c>
      <c r="S2099">
        <v>0.23124050047038544</v>
      </c>
      <c r="T2099">
        <v>1.3635736833807044</v>
      </c>
      <c r="U2099">
        <v>0.14039248114405173</v>
      </c>
      <c r="V2099">
        <v>0.18297349688403047</v>
      </c>
      <c r="W2099">
        <v>8.8823703912884508E-2</v>
      </c>
      <c r="X2099">
        <v>1.5758130630845368E-2</v>
      </c>
      <c r="Y2099">
        <v>3.8388821603497457E-3</v>
      </c>
    </row>
    <row r="2100" spans="1:25" x14ac:dyDescent="0.25">
      <c r="A2100" s="1096"/>
      <c r="B2100" s="1455">
        <v>1850</v>
      </c>
      <c r="C2100" s="1100">
        <v>0.97940947854980276</v>
      </c>
      <c r="D2100" s="1100">
        <v>1.0047178147782114</v>
      </c>
      <c r="E2100" s="1100">
        <v>0.98746684831442888</v>
      </c>
      <c r="F2100" s="1100">
        <v>1.0080873663676517</v>
      </c>
      <c r="G2100" s="1100">
        <v>0.98473544745079578</v>
      </c>
      <c r="H2100" s="1100">
        <v>0.97055288318303712</v>
      </c>
      <c r="I2100" s="1100">
        <v>1.0030276840802155</v>
      </c>
      <c r="K2100">
        <v>2.2284967956060262</v>
      </c>
      <c r="L2100">
        <v>0</v>
      </c>
      <c r="M2100">
        <v>1.5713874278358011E-3</v>
      </c>
      <c r="N2100">
        <v>0.13751467166130307</v>
      </c>
      <c r="O2100">
        <v>2.0138618138531746E-2</v>
      </c>
      <c r="P2100">
        <v>2.6072497027728458E-2</v>
      </c>
      <c r="Q2100">
        <v>5.5456682973531891E-3</v>
      </c>
      <c r="R2100">
        <v>1.5486313166529991E-3</v>
      </c>
      <c r="S2100">
        <v>0.24424802176070598</v>
      </c>
      <c r="T2100">
        <v>1.3547135854362389</v>
      </c>
      <c r="U2100">
        <v>0.14574465722293178</v>
      </c>
      <c r="V2100">
        <v>0.18423688462428575</v>
      </c>
      <c r="W2100">
        <v>9.1016599743905233E-2</v>
      </c>
      <c r="X2100">
        <v>1.5073483866473354E-2</v>
      </c>
      <c r="Y2100">
        <v>4.2148639377531313E-3</v>
      </c>
    </row>
    <row r="2101" spans="1:25" x14ac:dyDescent="0.25">
      <c r="A2101" s="1096"/>
      <c r="B2101" s="1455">
        <v>1851</v>
      </c>
      <c r="C2101" s="1100">
        <v>1.007126783553199</v>
      </c>
      <c r="D2101" s="1100">
        <v>0.96711525661149111</v>
      </c>
      <c r="E2101" s="1100">
        <v>0.97355707806747394</v>
      </c>
      <c r="F2101" s="1100">
        <v>1.0140085766860889</v>
      </c>
      <c r="G2101" s="1100">
        <v>1.0128521066585947</v>
      </c>
      <c r="H2101" s="1100">
        <v>0.98566046025911447</v>
      </c>
      <c r="I2101" s="1100">
        <v>1.0182807871362065</v>
      </c>
      <c r="K2101">
        <v>2.2322522120557657</v>
      </c>
      <c r="L2101">
        <v>0</v>
      </c>
      <c r="M2101">
        <v>1.6106768395850316E-3</v>
      </c>
      <c r="N2101">
        <v>0.13517452289984305</v>
      </c>
      <c r="O2101">
        <v>1.9740754562282199E-2</v>
      </c>
      <c r="P2101">
        <v>2.590688681390374E-2</v>
      </c>
      <c r="Q2101">
        <v>5.3598137988253901E-3</v>
      </c>
      <c r="R2101">
        <v>1.5877092692204134E-3</v>
      </c>
      <c r="S2101">
        <v>0.24693636453206952</v>
      </c>
      <c r="T2101">
        <v>1.362654337059402</v>
      </c>
      <c r="U2101">
        <v>0.14170189563476379</v>
      </c>
      <c r="V2101">
        <v>0.18573690869380735</v>
      </c>
      <c r="W2101">
        <v>9.0222034831185766E-2</v>
      </c>
      <c r="X2101">
        <v>1.4520439557448079E-2</v>
      </c>
      <c r="Y2101">
        <v>4.3212212425980312E-3</v>
      </c>
    </row>
    <row r="2102" spans="1:25" x14ac:dyDescent="0.25">
      <c r="A2102" s="1096"/>
      <c r="B2102" s="1455">
        <v>1852</v>
      </c>
      <c r="C2102" s="1100">
        <v>0.99519503131903009</v>
      </c>
      <c r="D2102" s="1100">
        <v>1.0372552170054616</v>
      </c>
      <c r="E2102" s="1100">
        <v>0.98087632050082463</v>
      </c>
      <c r="F2102" s="1100">
        <v>1.0065328166147223</v>
      </c>
      <c r="G2102" s="1100">
        <v>1.0216812939855204</v>
      </c>
      <c r="H2102" s="1100">
        <v>0.98994011115828917</v>
      </c>
      <c r="I2102" s="1100">
        <v>0.99546240341481407</v>
      </c>
      <c r="K2102">
        <v>2.2163531761638349</v>
      </c>
      <c r="L2102">
        <v>0</v>
      </c>
      <c r="M2102">
        <v>1.5878386427400364E-3</v>
      </c>
      <c r="N2102">
        <v>0.13625097320681331</v>
      </c>
      <c r="O2102">
        <v>1.9676610997752839E-2</v>
      </c>
      <c r="P2102">
        <v>2.5819473717956905E-2</v>
      </c>
      <c r="Q2102">
        <v>5.3823519996227072E-3</v>
      </c>
      <c r="R2102">
        <v>1.5652946195640397E-3</v>
      </c>
      <c r="S2102">
        <v>0.23629041736939027</v>
      </c>
      <c r="T2102">
        <v>1.3526162439335614</v>
      </c>
      <c r="U2102">
        <v>0.14341768112126893</v>
      </c>
      <c r="V2102">
        <v>0.18744705403560952</v>
      </c>
      <c r="W2102">
        <v>9.0538597860210526E-2</v>
      </c>
      <c r="X2102">
        <v>1.4676099989602074E-2</v>
      </c>
      <c r="Y2102">
        <v>4.2602159552206547E-3</v>
      </c>
    </row>
    <row r="2103" spans="1:25" x14ac:dyDescent="0.25">
      <c r="A2103" s="1096"/>
      <c r="B2103" s="1455">
        <v>1853</v>
      </c>
      <c r="C2103" s="1100">
        <v>1.012111996062536</v>
      </c>
      <c r="D2103" s="1100">
        <v>0.98896367162008658</v>
      </c>
      <c r="E2103" s="1100">
        <v>1.0325869948881339</v>
      </c>
      <c r="F2103" s="1100">
        <v>0.99616667685536986</v>
      </c>
      <c r="G2103" s="1100">
        <v>1.0202311520619265</v>
      </c>
      <c r="H2103" s="1100">
        <v>0.98495284769341118</v>
      </c>
      <c r="I2103" s="1100">
        <v>1.0091678415342753</v>
      </c>
      <c r="K2103">
        <v>2.2120621079622289</v>
      </c>
      <c r="L2103">
        <v>0</v>
      </c>
      <c r="M2103">
        <v>1.4099904568367853E-3</v>
      </c>
      <c r="N2103">
        <v>0.14142745540533572</v>
      </c>
      <c r="O2103">
        <v>1.9583751200882724E-2</v>
      </c>
      <c r="P2103">
        <v>2.6655984131444883E-2</v>
      </c>
      <c r="Q2103">
        <v>5.641686185062912E-3</v>
      </c>
      <c r="R2103">
        <v>1.3898701448801553E-3</v>
      </c>
      <c r="S2103">
        <v>0.2411938936392676</v>
      </c>
      <c r="T2103">
        <v>1.3387752614775235</v>
      </c>
      <c r="U2103">
        <v>0.14113827105645216</v>
      </c>
      <c r="V2103">
        <v>0.18633225260039613</v>
      </c>
      <c r="W2103">
        <v>9.1148561733142355E-2</v>
      </c>
      <c r="X2103">
        <v>1.6402342480883653E-2</v>
      </c>
      <c r="Y2103">
        <v>3.7827683637936594E-3</v>
      </c>
    </row>
    <row r="2104" spans="1:25" x14ac:dyDescent="0.25">
      <c r="A2104" s="1096"/>
      <c r="B2104" s="1455">
        <v>1854</v>
      </c>
      <c r="C2104" s="1100">
        <v>0.96305726533358216</v>
      </c>
      <c r="D2104" s="1100">
        <v>0.98733819684852997</v>
      </c>
      <c r="E2104" s="1100">
        <v>0.98944181821199262</v>
      </c>
      <c r="F2104" s="1100">
        <v>1.0197767221978271</v>
      </c>
      <c r="G2104" s="1100">
        <v>1.0215978983456806</v>
      </c>
      <c r="H2104" s="1100">
        <v>0.99858773594053862</v>
      </c>
      <c r="I2104" s="1100">
        <v>0.99189923238700128</v>
      </c>
      <c r="K2104">
        <v>2.2712584986004578</v>
      </c>
      <c r="L2104">
        <v>0</v>
      </c>
      <c r="M2104">
        <v>1.6438179767734075E-3</v>
      </c>
      <c r="N2104">
        <v>0.1447745303313199</v>
      </c>
      <c r="O2104">
        <v>2.0560616838947648E-2</v>
      </c>
      <c r="P2104">
        <v>2.6507615371342757E-2</v>
      </c>
      <c r="Q2104">
        <v>5.6731995375815056E-3</v>
      </c>
      <c r="R2104">
        <v>1.6206812736254963E-3</v>
      </c>
      <c r="S2104">
        <v>0.2501353430562237</v>
      </c>
      <c r="T2104">
        <v>1.3704249719729458</v>
      </c>
      <c r="U2104">
        <v>0.14822403872495765</v>
      </c>
      <c r="V2104">
        <v>0.18943382196056419</v>
      </c>
      <c r="W2104">
        <v>9.5708229189887431E-2</v>
      </c>
      <c r="X2104">
        <v>1.5428308150466741E-2</v>
      </c>
      <c r="Y2104">
        <v>4.410960169370334E-3</v>
      </c>
    </row>
    <row r="2105" spans="1:25" x14ac:dyDescent="0.25">
      <c r="A2105" s="1096"/>
      <c r="B2105" s="1455">
        <v>1855</v>
      </c>
      <c r="C2105" s="1100">
        <v>0.97310952358479563</v>
      </c>
      <c r="D2105" s="1100">
        <v>0.98516308432987365</v>
      </c>
      <c r="E2105" s="1100">
        <v>0.99350352001147924</v>
      </c>
      <c r="F2105" s="1100">
        <v>1.0054598375289434</v>
      </c>
      <c r="G2105" s="1100">
        <v>0.99019684327273771</v>
      </c>
      <c r="H2105" s="1100">
        <v>0.9774891071642906</v>
      </c>
      <c r="I2105" s="1100">
        <v>1.024867080451846</v>
      </c>
      <c r="K2105">
        <v>2.2430648326522218</v>
      </c>
      <c r="L2105">
        <v>0</v>
      </c>
      <c r="M2105">
        <v>1.5798882759951937E-3</v>
      </c>
      <c r="N2105">
        <v>0.14081977932157261</v>
      </c>
      <c r="O2105">
        <v>2.0360712564993302E-2</v>
      </c>
      <c r="P2105">
        <v>2.6306722427060808E-2</v>
      </c>
      <c r="Q2105">
        <v>5.6411338039503009E-3</v>
      </c>
      <c r="R2105">
        <v>1.5571714094471205E-3</v>
      </c>
      <c r="S2105">
        <v>0.25430856660963908</v>
      </c>
      <c r="T2105">
        <v>1.3511909973896095</v>
      </c>
      <c r="U2105">
        <v>0.14670247554136021</v>
      </c>
      <c r="V2105">
        <v>0.18525168780859388</v>
      </c>
      <c r="W2105">
        <v>9.2867825590789266E-2</v>
      </c>
      <c r="X2105">
        <v>1.5399541206103873E-2</v>
      </c>
      <c r="Y2105">
        <v>4.2381072550978964E-3</v>
      </c>
    </row>
    <row r="2106" spans="1:25" x14ac:dyDescent="0.25">
      <c r="A2106" s="1096"/>
      <c r="B2106" s="1455">
        <v>1856</v>
      </c>
      <c r="C2106" s="1100">
        <v>0.98629864810924972</v>
      </c>
      <c r="D2106" s="1100">
        <v>1.0066502800405523</v>
      </c>
      <c r="E2106" s="1100">
        <v>0.99415612969095613</v>
      </c>
      <c r="F2106" s="1100">
        <v>1.0445995366600078</v>
      </c>
      <c r="G2106" s="1100">
        <v>0.99969986840264469</v>
      </c>
      <c r="H2106" s="1100">
        <v>1.0225286372779516</v>
      </c>
      <c r="I2106" s="1100">
        <v>1.0166467742848917</v>
      </c>
      <c r="K2106">
        <v>2.2966730561861475</v>
      </c>
      <c r="L2106">
        <v>0</v>
      </c>
      <c r="M2106">
        <v>1.6206691398675192E-3</v>
      </c>
      <c r="N2106">
        <v>0.14483292530570152</v>
      </c>
      <c r="O2106">
        <v>1.9993724655604426E-2</v>
      </c>
      <c r="P2106">
        <v>2.6951560738624092E-2</v>
      </c>
      <c r="Q2106">
        <v>5.5431036953376899E-3</v>
      </c>
      <c r="R2106">
        <v>1.5983923371083062E-3</v>
      </c>
      <c r="S2106">
        <v>0.24993689420404797</v>
      </c>
      <c r="T2106">
        <v>1.4037900235786982</v>
      </c>
      <c r="U2106">
        <v>0.14474224151750778</v>
      </c>
      <c r="V2106">
        <v>0.18551132850271035</v>
      </c>
      <c r="W2106">
        <v>9.5477193568725444E-2</v>
      </c>
      <c r="X2106">
        <v>1.5566040190233194E-2</v>
      </c>
      <c r="Y2106">
        <v>4.3502970317164918E-3</v>
      </c>
    </row>
    <row r="2107" spans="1:25" x14ac:dyDescent="0.25">
      <c r="A2107" s="1096"/>
      <c r="B2107" s="1455">
        <v>1857</v>
      </c>
      <c r="C2107" s="1100">
        <v>0.98640187357156062</v>
      </c>
      <c r="D2107" s="1100">
        <v>0.99020861225224543</v>
      </c>
      <c r="E2107" s="1100">
        <v>1.014592810602468</v>
      </c>
      <c r="F2107" s="1100">
        <v>1.005403914498525</v>
      </c>
      <c r="G2107" s="1100">
        <v>0.99473796336846676</v>
      </c>
      <c r="H2107" s="1100">
        <v>0.99466652842179448</v>
      </c>
      <c r="I2107" s="1100">
        <v>1.0377172491870572</v>
      </c>
      <c r="K2107">
        <v>2.2463937272211423</v>
      </c>
      <c r="L2107">
        <v>0</v>
      </c>
      <c r="M2107">
        <v>1.5163566923182454E-3</v>
      </c>
      <c r="N2107">
        <v>0.14408243369534945</v>
      </c>
      <c r="O2107">
        <v>2.0077171189049548E-2</v>
      </c>
      <c r="P2107">
        <v>2.6700480799461839E-2</v>
      </c>
      <c r="Q2107">
        <v>5.6814845987502288E-3</v>
      </c>
      <c r="R2107">
        <v>1.4949298661882328E-3</v>
      </c>
      <c r="S2107">
        <v>0.25499721442675533</v>
      </c>
      <c r="T2107">
        <v>1.3511514562244653</v>
      </c>
      <c r="U2107">
        <v>0.14477482699260086</v>
      </c>
      <c r="V2107">
        <v>0.18496257154641321</v>
      </c>
      <c r="W2107">
        <v>9.3839644035974709E-2</v>
      </c>
      <c r="X2107">
        <v>1.6079164246182422E-2</v>
      </c>
      <c r="Y2107">
        <v>4.0687062922664238E-3</v>
      </c>
    </row>
    <row r="2108" spans="1:25" x14ac:dyDescent="0.25">
      <c r="A2108" s="1096"/>
      <c r="B2108" s="1455">
        <v>1858</v>
      </c>
      <c r="C2108" s="1100">
        <v>0.9613291081076244</v>
      </c>
      <c r="D2108" s="1100">
        <v>1.011551615686731</v>
      </c>
      <c r="E2108" s="1100">
        <v>1.0018919746214601</v>
      </c>
      <c r="F2108" s="1100">
        <v>1.0198998733677274</v>
      </c>
      <c r="G2108" s="1100">
        <v>0.99239348816585438</v>
      </c>
      <c r="H2108" s="1100">
        <v>0.99064144577243196</v>
      </c>
      <c r="I2108" s="1100">
        <v>1.0445085423137375</v>
      </c>
      <c r="K2108">
        <v>2.2785152293944342</v>
      </c>
      <c r="L2108">
        <v>0</v>
      </c>
      <c r="M2108">
        <v>1.5835831735995399E-3</v>
      </c>
      <c r="N2108">
        <v>0.14480067944572103</v>
      </c>
      <c r="O2108">
        <v>2.0496145779505457E-2</v>
      </c>
      <c r="P2108">
        <v>2.6855348715015784E-2</v>
      </c>
      <c r="Q2108">
        <v>5.7268028515242127E-3</v>
      </c>
      <c r="R2108">
        <v>1.5611154867746315E-3</v>
      </c>
      <c r="S2108">
        <v>0.26011782020549074</v>
      </c>
      <c r="T2108">
        <v>1.3706094864294884</v>
      </c>
      <c r="U2108">
        <v>0.14852029419434665</v>
      </c>
      <c r="V2108">
        <v>0.18625466072217964</v>
      </c>
      <c r="W2108">
        <v>9.5017376997099223E-2</v>
      </c>
      <c r="X2108">
        <v>1.5890240007467412E-2</v>
      </c>
      <c r="Y2108">
        <v>4.2488417334186407E-3</v>
      </c>
    </row>
    <row r="2109" spans="1:25" x14ac:dyDescent="0.25">
      <c r="A2109" s="1096"/>
      <c r="B2109" s="1455">
        <v>1859</v>
      </c>
      <c r="C2109" s="1100">
        <v>0.98555626572807198</v>
      </c>
      <c r="D2109" s="1100">
        <v>1.0224459023760475</v>
      </c>
      <c r="E2109" s="1100">
        <v>1.0085603346731642</v>
      </c>
      <c r="F2109" s="1100">
        <v>0.99449489202809638</v>
      </c>
      <c r="G2109" s="1100">
        <v>0.9750769658878421</v>
      </c>
      <c r="H2109" s="1100">
        <v>1.0130354641903219</v>
      </c>
      <c r="I2109" s="1100">
        <v>0.99690853330938856</v>
      </c>
      <c r="K2109">
        <v>2.2183355879248587</v>
      </c>
      <c r="L2109">
        <v>0</v>
      </c>
      <c r="M2109">
        <v>1.5541899190848159E-3</v>
      </c>
      <c r="N2109">
        <v>0.14505013473640607</v>
      </c>
      <c r="O2109">
        <v>1.994945401497248E-2</v>
      </c>
      <c r="P2109">
        <v>2.6183619701334947E-2</v>
      </c>
      <c r="Q2109">
        <v>5.6114316448585477E-3</v>
      </c>
      <c r="R2109">
        <v>1.5326267089457476E-3</v>
      </c>
      <c r="S2109">
        <v>0.24273181803683255</v>
      </c>
      <c r="T2109">
        <v>1.3364798866287588</v>
      </c>
      <c r="U2109">
        <v>0.14488492648605861</v>
      </c>
      <c r="V2109">
        <v>0.1827863135923799</v>
      </c>
      <c r="W2109">
        <v>9.4806128563329539E-2</v>
      </c>
      <c r="X2109">
        <v>1.5702133058572213E-2</v>
      </c>
      <c r="Y2109">
        <v>4.1713046714915054E-3</v>
      </c>
    </row>
    <row r="2110" spans="1:25" x14ac:dyDescent="0.25">
      <c r="A2110" s="1096"/>
      <c r="B2110" s="1455">
        <v>1860</v>
      </c>
      <c r="C2110" s="1100">
        <v>1.0418117014525345</v>
      </c>
      <c r="D2110" s="1100">
        <v>1.0132609607609631</v>
      </c>
      <c r="E2110" s="1100">
        <v>1.025772175331348</v>
      </c>
      <c r="F2110" s="1100">
        <v>1.046110015540102</v>
      </c>
      <c r="G2110" s="1100">
        <v>0.99086386488977751</v>
      </c>
      <c r="H2110" s="1100">
        <v>1.0088853629671606</v>
      </c>
      <c r="I2110" s="1100">
        <v>1.0085142682704125</v>
      </c>
      <c r="K2110">
        <v>2.258174700508802</v>
      </c>
      <c r="L2110">
        <v>0</v>
      </c>
      <c r="M2110">
        <v>1.4155635226975455E-3</v>
      </c>
      <c r="N2110">
        <v>0.13914687199527334</v>
      </c>
      <c r="O2110">
        <v>1.8920050246005272E-2</v>
      </c>
      <c r="P2110">
        <v>2.7219774441899429E-2</v>
      </c>
      <c r="Q2110">
        <v>5.4138700656031543E-3</v>
      </c>
      <c r="R2110">
        <v>1.395842859386205E-3</v>
      </c>
      <c r="S2110">
        <v>0.23314452691609228</v>
      </c>
      <c r="T2110">
        <v>1.4058796472799304</v>
      </c>
      <c r="U2110">
        <v>0.13709961031235762</v>
      </c>
      <c r="V2110">
        <v>0.18133501872064337</v>
      </c>
      <c r="W2110">
        <v>9.0034435842758165E-2</v>
      </c>
      <c r="X2110">
        <v>1.6201591227775418E-2</v>
      </c>
      <c r="Y2110">
        <v>3.7990241237743183E-3</v>
      </c>
    </row>
    <row r="2111" spans="1:25" x14ac:dyDescent="0.25">
      <c r="A2111" s="1096"/>
      <c r="B2111" s="1455">
        <v>1861</v>
      </c>
      <c r="C2111" s="1100">
        <v>1.004473517477565</v>
      </c>
      <c r="D2111" s="1100">
        <v>1.0150585265470335</v>
      </c>
      <c r="E2111" s="1100">
        <v>0.95659770631191776</v>
      </c>
      <c r="F2111" s="1100">
        <v>1.0048790559968503</v>
      </c>
      <c r="G2111" s="1100">
        <v>0.98451014152023708</v>
      </c>
      <c r="H2111" s="1100">
        <v>1.0073485332331589</v>
      </c>
      <c r="I2111" s="1100">
        <v>1.0049496850530411</v>
      </c>
      <c r="K2111">
        <v>2.2093820224263401</v>
      </c>
      <c r="L2111">
        <v>0</v>
      </c>
      <c r="M2111">
        <v>1.6911299472355448E-3</v>
      </c>
      <c r="N2111">
        <v>0.13486183924204978</v>
      </c>
      <c r="O2111">
        <v>1.9572879464628108E-2</v>
      </c>
      <c r="P2111">
        <v>2.528249804116979E-2</v>
      </c>
      <c r="Q2111">
        <v>5.2226624096941218E-3</v>
      </c>
      <c r="R2111">
        <v>1.6675343378092771E-3</v>
      </c>
      <c r="S2111">
        <v>0.24009640127129789</v>
      </c>
      <c r="T2111">
        <v>1.3503717912955853</v>
      </c>
      <c r="U2111">
        <v>0.14203754458361054</v>
      </c>
      <c r="V2111">
        <v>0.18267463421919239</v>
      </c>
      <c r="W2111">
        <v>9.0950955320106081E-2</v>
      </c>
      <c r="X2111">
        <v>1.3795933423464116E-2</v>
      </c>
      <c r="Y2111">
        <v>4.5384787649701292E-3</v>
      </c>
    </row>
    <row r="2112" spans="1:25" x14ac:dyDescent="0.25">
      <c r="A2112" s="1096"/>
      <c r="B2112" s="1455">
        <v>1862</v>
      </c>
      <c r="C2112" s="1100">
        <v>0.99680631641109962</v>
      </c>
      <c r="D2112" s="1100">
        <v>1.0084520219317958</v>
      </c>
      <c r="E2112" s="1100">
        <v>0.98407499695679213</v>
      </c>
      <c r="F2112" s="1100">
        <v>0.99441366837179357</v>
      </c>
      <c r="G2112" s="1100">
        <v>0.9932112239315759</v>
      </c>
      <c r="H2112" s="1100">
        <v>0.99790332269195925</v>
      </c>
      <c r="I2112" s="1100">
        <v>1.0274546078271691</v>
      </c>
      <c r="K2112">
        <v>2.2114835982325465</v>
      </c>
      <c r="L2112">
        <v>0</v>
      </c>
      <c r="M2112">
        <v>1.5973510921620023E-3</v>
      </c>
      <c r="N2112">
        <v>0.13841588164620894</v>
      </c>
      <c r="O2112">
        <v>1.9768887804646623E-2</v>
      </c>
      <c r="P2112">
        <v>2.5767464991275572E-2</v>
      </c>
      <c r="Q2112">
        <v>5.4251785725355599E-3</v>
      </c>
      <c r="R2112">
        <v>1.5748529896529361E-3</v>
      </c>
      <c r="S2112">
        <v>0.24760109985743486</v>
      </c>
      <c r="T2112">
        <v>1.3363339270835524</v>
      </c>
      <c r="U2112">
        <v>0.14319322118531452</v>
      </c>
      <c r="V2112">
        <v>0.18413515606356082</v>
      </c>
      <c r="W2112">
        <v>9.1800047654789829E-2</v>
      </c>
      <c r="X2112">
        <v>1.4779000788049806E-2</v>
      </c>
      <c r="Y2112">
        <v>4.2862306876867776E-3</v>
      </c>
    </row>
    <row r="2113" spans="1:25" x14ac:dyDescent="0.25">
      <c r="A2113" s="1096"/>
      <c r="B2113" s="1455">
        <v>1863</v>
      </c>
      <c r="C2113" s="1100">
        <v>1.0190480712767933</v>
      </c>
      <c r="D2113" s="1100">
        <v>1.0043618823788643</v>
      </c>
      <c r="E2113" s="1100">
        <v>1.0385893309358156</v>
      </c>
      <c r="F2113" s="1100">
        <v>0.98470338659464685</v>
      </c>
      <c r="G2113" s="1100">
        <v>0.99251099026920975</v>
      </c>
      <c r="H2113" s="1100">
        <v>0.9788537044265132</v>
      </c>
      <c r="I2113" s="1100">
        <v>1.0255049720198022</v>
      </c>
      <c r="K2113">
        <v>2.1888064932974474</v>
      </c>
      <c r="L2113">
        <v>0</v>
      </c>
      <c r="M2113">
        <v>1.3697452285789233E-3</v>
      </c>
      <c r="N2113">
        <v>0.13988569041977858</v>
      </c>
      <c r="O2113">
        <v>1.9388151115175733E-2</v>
      </c>
      <c r="P2113">
        <v>2.6491821139388905E-2</v>
      </c>
      <c r="Q2113">
        <v>5.6184803121808995E-3</v>
      </c>
      <c r="R2113">
        <v>1.3500774194719776E-3</v>
      </c>
      <c r="S2113">
        <v>0.2411091005672033</v>
      </c>
      <c r="T2113">
        <v>1.3233833486300313</v>
      </c>
      <c r="U2113">
        <v>0.14019125705702781</v>
      </c>
      <c r="V2113">
        <v>0.18280547542385098</v>
      </c>
      <c r="W2113">
        <v>8.9842706185991689E-2</v>
      </c>
      <c r="X2113">
        <v>1.6435664573023274E-2</v>
      </c>
      <c r="Y2113">
        <v>3.6744656829010049E-3</v>
      </c>
    </row>
    <row r="2114" spans="1:25" x14ac:dyDescent="0.25">
      <c r="A2114" s="1096"/>
      <c r="B2114" s="1455">
        <v>1864</v>
      </c>
      <c r="C2114" s="1100">
        <v>0.98961552275373488</v>
      </c>
      <c r="D2114" s="1100">
        <v>1.0050927110718795</v>
      </c>
      <c r="E2114" s="1100">
        <v>1.0065150940001384</v>
      </c>
      <c r="F2114" s="1100">
        <v>0.98709208394893699</v>
      </c>
      <c r="G2114" s="1100">
        <v>0.9893945859640918</v>
      </c>
      <c r="H2114" s="1100">
        <v>1.0030363006060594</v>
      </c>
      <c r="I2114" s="1100">
        <v>0.96299478458556242</v>
      </c>
      <c r="K2114">
        <v>2.1978104670129279</v>
      </c>
      <c r="L2114">
        <v>0</v>
      </c>
      <c r="M2114">
        <v>1.5448672303019296E-3</v>
      </c>
      <c r="N2114">
        <v>0.14327229684231427</v>
      </c>
      <c r="O2114">
        <v>1.9941294576116538E-2</v>
      </c>
      <c r="P2114">
        <v>2.5908083381597013E-2</v>
      </c>
      <c r="Q2114">
        <v>5.5976647919790271E-3</v>
      </c>
      <c r="R2114">
        <v>1.523219693472734E-3</v>
      </c>
      <c r="S2114">
        <v>0.23470829952038053</v>
      </c>
      <c r="T2114">
        <v>1.3265278715432705</v>
      </c>
      <c r="U2114">
        <v>0.14428586610182859</v>
      </c>
      <c r="V2114">
        <v>0.18415589900966275</v>
      </c>
      <c r="W2114">
        <v>9.3757342393922055E-2</v>
      </c>
      <c r="X2114">
        <v>1.5531794512287915E-2</v>
      </c>
      <c r="Y2114">
        <v>4.1457018763957788E-3</v>
      </c>
    </row>
    <row r="2115" spans="1:25" x14ac:dyDescent="0.25">
      <c r="A2115" s="1096"/>
      <c r="B2115" s="1455">
        <v>1865</v>
      </c>
      <c r="C2115" s="1100">
        <v>1.0073067116164498</v>
      </c>
      <c r="D2115" s="1100">
        <v>0.99493395235483362</v>
      </c>
      <c r="E2115" s="1100">
        <v>0.99997898410908981</v>
      </c>
      <c r="F2115" s="1100">
        <v>0.9831480527145332</v>
      </c>
      <c r="G2115" s="1100">
        <v>1.0020582487704048</v>
      </c>
      <c r="H2115" s="1100">
        <v>1.0190877759464954</v>
      </c>
      <c r="I2115" s="1100">
        <v>1.0392688758990145</v>
      </c>
      <c r="K2115">
        <v>2.205403153488156</v>
      </c>
      <c r="L2115">
        <v>0</v>
      </c>
      <c r="M2115">
        <v>1.5665799483617047E-3</v>
      </c>
      <c r="N2115">
        <v>0.14247768932903709</v>
      </c>
      <c r="O2115">
        <v>1.9630841833179678E-2</v>
      </c>
      <c r="P2115">
        <v>2.5908008372570356E-2</v>
      </c>
      <c r="Q2115">
        <v>5.4744977695847389E-3</v>
      </c>
      <c r="R2115">
        <v>1.5449739196881297E-3</v>
      </c>
      <c r="S2115">
        <v>0.25138979907008469</v>
      </c>
      <c r="T2115">
        <v>1.3212169056615957</v>
      </c>
      <c r="U2115">
        <v>0.14173684673436696</v>
      </c>
      <c r="V2115">
        <v>0.18452865049079398</v>
      </c>
      <c r="W2115">
        <v>9.3599325505049097E-2</v>
      </c>
      <c r="X2115">
        <v>1.5257285041690631E-2</v>
      </c>
      <c r="Y2115">
        <v>4.2049097088753418E-3</v>
      </c>
    </row>
    <row r="2116" spans="1:25" x14ac:dyDescent="0.25">
      <c r="A2116" s="1096"/>
      <c r="B2116" s="1455">
        <v>1866</v>
      </c>
      <c r="C2116" s="1100">
        <v>0.98617287383743912</v>
      </c>
      <c r="D2116" s="1100">
        <v>1.0013310620434221</v>
      </c>
      <c r="E2116" s="1100">
        <v>0.98750459281772962</v>
      </c>
      <c r="F2116" s="1100">
        <v>0.9997092960130356</v>
      </c>
      <c r="G2116" s="1100">
        <v>1.0002498578729913</v>
      </c>
      <c r="H2116" s="1100">
        <v>0.97575842793374779</v>
      </c>
      <c r="I2116" s="1100">
        <v>0.95869660480827001</v>
      </c>
      <c r="K2116">
        <v>2.205221106518513</v>
      </c>
      <c r="L2116">
        <v>0</v>
      </c>
      <c r="M2116">
        <v>1.5700240558829445E-3</v>
      </c>
      <c r="N2116">
        <v>0.13742181583195873</v>
      </c>
      <c r="O2116">
        <v>2.0015389507536792E-2</v>
      </c>
      <c r="P2116">
        <v>2.5768831572129475E-2</v>
      </c>
      <c r="Q2116">
        <v>5.5119448105948547E-3</v>
      </c>
      <c r="R2116">
        <v>1.5474089840003845E-3</v>
      </c>
      <c r="S2116">
        <v>0.23264996387716941</v>
      </c>
      <c r="T2116">
        <v>1.3434548037730625</v>
      </c>
      <c r="U2116">
        <v>0.14474519553895704</v>
      </c>
      <c r="V2116">
        <v>0.18557533457195372</v>
      </c>
      <c r="W2116">
        <v>9.0953080733429531E-2</v>
      </c>
      <c r="X2116">
        <v>1.4935824222389558E-2</v>
      </c>
      <c r="Y2116">
        <v>4.2115371512145639E-3</v>
      </c>
    </row>
    <row r="2117" spans="1:25" x14ac:dyDescent="0.25">
      <c r="A2117" s="1096"/>
      <c r="B2117" s="1455">
        <v>1867</v>
      </c>
      <c r="C2117" s="1100">
        <v>1.0451170865375483</v>
      </c>
      <c r="D2117" s="1100">
        <v>0.96288108958124785</v>
      </c>
      <c r="E2117" s="1100">
        <v>1.0073689399111725</v>
      </c>
      <c r="F2117" s="1100">
        <v>1.0036158443219529</v>
      </c>
      <c r="G2117" s="1100">
        <v>0.9924639837753102</v>
      </c>
      <c r="H2117" s="1100">
        <v>1.0354027465496216</v>
      </c>
      <c r="I2117" s="1100">
        <v>1.0002804018527525</v>
      </c>
      <c r="K2117">
        <v>2.2091768350110241</v>
      </c>
      <c r="L2117">
        <v>0</v>
      </c>
      <c r="M2117">
        <v>1.5216498088300287E-3</v>
      </c>
      <c r="N2117">
        <v>0.14154627026116606</v>
      </c>
      <c r="O2117">
        <v>1.9061891788265249E-2</v>
      </c>
      <c r="P2117">
        <v>2.6135332607780903E-2</v>
      </c>
      <c r="Q2117">
        <v>5.3553868971316894E-3</v>
      </c>
      <c r="R2117">
        <v>1.5009941343870836E-3</v>
      </c>
      <c r="S2117">
        <v>0.2383699947976419</v>
      </c>
      <c r="T2117">
        <v>1.3487352247137963</v>
      </c>
      <c r="U2117">
        <v>0.13662536245053469</v>
      </c>
      <c r="V2117">
        <v>0.18131974359849617</v>
      </c>
      <c r="W2117">
        <v>9.2581093021161825E-2</v>
      </c>
      <c r="X2117">
        <v>1.5381979318272196E-2</v>
      </c>
      <c r="Y2117">
        <v>4.0852112312182226E-3</v>
      </c>
    </row>
    <row r="2118" spans="1:25" x14ac:dyDescent="0.25">
      <c r="A2118" s="1096"/>
      <c r="B2118" s="1455">
        <v>1868</v>
      </c>
      <c r="C2118" s="1100">
        <v>1.0046618451606897</v>
      </c>
      <c r="D2118" s="1100">
        <v>1.0039691396801058</v>
      </c>
      <c r="E2118" s="1100">
        <v>1.004657897308546</v>
      </c>
      <c r="F2118" s="1100">
        <v>0.99481880730943484</v>
      </c>
      <c r="G2118" s="1100">
        <v>0.99645464874919876</v>
      </c>
      <c r="H2118" s="1100">
        <v>1.014290988159545</v>
      </c>
      <c r="I2118" s="1100">
        <v>0.99543894306498049</v>
      </c>
      <c r="K2118">
        <v>2.2097388718943489</v>
      </c>
      <c r="L2118">
        <v>0</v>
      </c>
      <c r="M2118">
        <v>1.5451301018307674E-3</v>
      </c>
      <c r="N2118">
        <v>0.14251768954918198</v>
      </c>
      <c r="O2118">
        <v>1.9646323014887047E-2</v>
      </c>
      <c r="P2118">
        <v>2.6055877952464869E-2</v>
      </c>
      <c r="Q2118">
        <v>5.5046102224519111E-3</v>
      </c>
      <c r="R2118">
        <v>1.5237191258900911E-3</v>
      </c>
      <c r="S2118">
        <v>0.23999432038764421</v>
      </c>
      <c r="T2118">
        <v>1.3369084528716819</v>
      </c>
      <c r="U2118">
        <v>0.14212070850015512</v>
      </c>
      <c r="V2118">
        <v>0.1840544007663793</v>
      </c>
      <c r="W2118">
        <v>9.3366076975354054E-2</v>
      </c>
      <c r="X2118">
        <v>1.5444761463288874E-2</v>
      </c>
      <c r="Y2118">
        <v>4.1470611667979718E-3</v>
      </c>
    </row>
    <row r="2119" spans="1:25" x14ac:dyDescent="0.25">
      <c r="A2119" s="1096"/>
      <c r="B2119" s="1455">
        <v>1869</v>
      </c>
      <c r="C2119" s="1100">
        <v>0.99277094999601878</v>
      </c>
      <c r="D2119" s="1100">
        <v>0.99715661641609388</v>
      </c>
      <c r="E2119" s="1100">
        <v>1.0059536422343636</v>
      </c>
      <c r="F2119" s="1100">
        <v>1.0001227199178395</v>
      </c>
      <c r="G2119" s="1100">
        <v>1.0056021010280602</v>
      </c>
      <c r="H2119" s="1100">
        <v>0.97122925955488959</v>
      </c>
      <c r="I2119" s="1100">
        <v>1.0176960991649022</v>
      </c>
      <c r="K2119">
        <v>2.2196553957798693</v>
      </c>
      <c r="L2119">
        <v>0</v>
      </c>
      <c r="M2119">
        <v>1.4954689061935443E-3</v>
      </c>
      <c r="N2119">
        <v>0.13839166367380679</v>
      </c>
      <c r="O2119">
        <v>1.991225634251834E-2</v>
      </c>
      <c r="P2119">
        <v>2.6302903550103195E-2</v>
      </c>
      <c r="Q2119">
        <v>5.586370795635281E-3</v>
      </c>
      <c r="R2119">
        <v>1.4738272941773468E-3</v>
      </c>
      <c r="S2119">
        <v>0.24561129746050422</v>
      </c>
      <c r="T2119">
        <v>1.344038441010851</v>
      </c>
      <c r="U2119">
        <v>0.14382596400148037</v>
      </c>
      <c r="V2119">
        <v>0.18579684760243903</v>
      </c>
      <c r="W2119">
        <v>9.0593535092923672E-2</v>
      </c>
      <c r="X2119">
        <v>1.560648581390706E-2</v>
      </c>
      <c r="Y2119">
        <v>4.0112720477137849E-3</v>
      </c>
    </row>
    <row r="2120" spans="1:25" x14ac:dyDescent="0.25">
      <c r="A2120" s="1096"/>
      <c r="B2120" s="1455">
        <v>1870</v>
      </c>
      <c r="C2120" s="1100">
        <v>0.97619872478989012</v>
      </c>
      <c r="D2120" s="1100">
        <v>1.0179485863321707</v>
      </c>
      <c r="E2120" s="1100">
        <v>0.99321980658984554</v>
      </c>
      <c r="F2120" s="1100">
        <v>0.98492284164096178</v>
      </c>
      <c r="G2120" s="1100">
        <v>1.0116433072027595</v>
      </c>
      <c r="H2120" s="1100">
        <v>1.0082007051512223</v>
      </c>
      <c r="I2120" s="1100">
        <v>1.0025450668138245</v>
      </c>
      <c r="K2120">
        <v>2.2134542959699637</v>
      </c>
      <c r="L2120">
        <v>0</v>
      </c>
      <c r="M2120">
        <v>1.6136612056300032E-3</v>
      </c>
      <c r="N2120">
        <v>0.14377062302385699</v>
      </c>
      <c r="O2120">
        <v>2.0150446293010171E-2</v>
      </c>
      <c r="P2120">
        <v>2.5843980111625552E-2</v>
      </c>
      <c r="Q2120">
        <v>5.5812797067092464E-3</v>
      </c>
      <c r="R2120">
        <v>1.5911655146157895E-3</v>
      </c>
      <c r="S2120">
        <v>0.24646633077198649</v>
      </c>
      <c r="T2120">
        <v>1.3235918734543461</v>
      </c>
      <c r="U2120">
        <v>0.1462375640784104</v>
      </c>
      <c r="V2120">
        <v>0.18748280013425442</v>
      </c>
      <c r="W2120">
        <v>9.4829921236289819E-2</v>
      </c>
      <c r="X2120">
        <v>1.5191344847276345E-2</v>
      </c>
      <c r="Y2120">
        <v>4.3306280032132556E-3</v>
      </c>
    </row>
    <row r="2121" spans="1:25" x14ac:dyDescent="0.25">
      <c r="A2121" s="1096"/>
      <c r="B2121" s="1455">
        <v>1871</v>
      </c>
      <c r="C2121" s="1100">
        <v>0.97407530688333466</v>
      </c>
      <c r="D2121" s="1100">
        <v>1.0156107422083733</v>
      </c>
      <c r="E2121" s="1100">
        <v>1.002372671509385</v>
      </c>
      <c r="F2121" s="1100">
        <v>1.0063271245260765</v>
      </c>
      <c r="G2121" s="1100">
        <v>0.98909034268923857</v>
      </c>
      <c r="H2121" s="1100">
        <v>1.0036210480495884</v>
      </c>
      <c r="I2121" s="1100">
        <v>0.99388469401769908</v>
      </c>
      <c r="K2121">
        <v>2.2406649847356523</v>
      </c>
      <c r="L2121">
        <v>0</v>
      </c>
      <c r="M2121">
        <v>1.5803667659471236E-3</v>
      </c>
      <c r="N2121">
        <v>0.14474349637562839</v>
      </c>
      <c r="O2121">
        <v>2.0210438277878048E-2</v>
      </c>
      <c r="P2121">
        <v>2.6364205532771894E-2</v>
      </c>
      <c r="Q2121">
        <v>5.649699652324207E-3</v>
      </c>
      <c r="R2121">
        <v>1.5582346924244439E-3</v>
      </c>
      <c r="S2121">
        <v>0.24484693878864408</v>
      </c>
      <c r="T2121">
        <v>1.352370313638152</v>
      </c>
      <c r="U2121">
        <v>0.14657797813996767</v>
      </c>
      <c r="V2121">
        <v>0.18507419384219334</v>
      </c>
      <c r="W2121">
        <v>9.4952767555058548E-2</v>
      </c>
      <c r="X2121">
        <v>1.5656083845704698E-2</v>
      </c>
      <c r="Y2121">
        <v>4.2410011608510316E-3</v>
      </c>
    </row>
    <row r="2122" spans="1:25" x14ac:dyDescent="0.25">
      <c r="A2122" s="1096"/>
      <c r="B2122" s="1455">
        <v>1872</v>
      </c>
      <c r="C2122" s="1100">
        <v>0.98350204182873258</v>
      </c>
      <c r="D2122" s="1100">
        <v>0.97974962058386905</v>
      </c>
      <c r="E2122" s="1100">
        <v>0.97978518583868746</v>
      </c>
      <c r="F2122" s="1100">
        <v>0.9514828400235702</v>
      </c>
      <c r="G2122" s="1100">
        <v>0.99553604708586485</v>
      </c>
      <c r="H2122" s="1100">
        <v>1.0025062811066714</v>
      </c>
      <c r="I2122" s="1100">
        <v>1.0002844987868114</v>
      </c>
      <c r="K2122">
        <v>2.16188441651834</v>
      </c>
      <c r="L2122">
        <v>0</v>
      </c>
      <c r="M2122">
        <v>1.6513796066169643E-3</v>
      </c>
      <c r="N2122">
        <v>0.1412618252291854</v>
      </c>
      <c r="O2122">
        <v>2.0161266011297006E-2</v>
      </c>
      <c r="P2122">
        <v>2.4956913526256452E-2</v>
      </c>
      <c r="Q2122">
        <v>5.5088131372176014E-3</v>
      </c>
      <c r="R2122">
        <v>1.6282273252560457E-3</v>
      </c>
      <c r="S2122">
        <v>0.24820783123228346</v>
      </c>
      <c r="T2122">
        <v>1.2786368313571321</v>
      </c>
      <c r="U2122">
        <v>0.14512024722373476</v>
      </c>
      <c r="V2122">
        <v>0.18519910816911012</v>
      </c>
      <c r="W2122">
        <v>9.3930152169678996E-2</v>
      </c>
      <c r="X2122">
        <v>1.4493082709448523E-2</v>
      </c>
      <c r="Y2122">
        <v>4.4314980343534392E-3</v>
      </c>
    </row>
    <row r="2123" spans="1:25" x14ac:dyDescent="0.25">
      <c r="A2123" s="1096"/>
      <c r="B2123" s="1455">
        <v>1873</v>
      </c>
      <c r="C2123" s="1100">
        <v>1.006730122750876</v>
      </c>
      <c r="D2123" s="1100">
        <v>0.99960742691137305</v>
      </c>
      <c r="E2123" s="1100">
        <v>1.0161462130547787</v>
      </c>
      <c r="F2123" s="1100">
        <v>0.98416324953276435</v>
      </c>
      <c r="G2123" s="1100">
        <v>0.98557020444829613</v>
      </c>
      <c r="H2123" s="1100">
        <v>1.0139746803747254</v>
      </c>
      <c r="I2123" s="1100">
        <v>1.0431211258104549</v>
      </c>
      <c r="K2123">
        <v>2.2075044382344333</v>
      </c>
      <c r="L2123">
        <v>0</v>
      </c>
      <c r="M2123">
        <v>1.506560201208203E-3</v>
      </c>
      <c r="N2123">
        <v>0.14386348811839561</v>
      </c>
      <c r="O2123">
        <v>1.9631890007135677E-2</v>
      </c>
      <c r="P2123">
        <v>2.6218365655392321E-2</v>
      </c>
      <c r="Q2123">
        <v>5.564085821402609E-3</v>
      </c>
      <c r="R2123">
        <v>1.4856771786853117E-3</v>
      </c>
      <c r="S2123">
        <v>0.25158260401801719</v>
      </c>
      <c r="T2123">
        <v>1.322609297138494</v>
      </c>
      <c r="U2123">
        <v>0.14185504360410595</v>
      </c>
      <c r="V2123">
        <v>0.18271303032889685</v>
      </c>
      <c r="W2123">
        <v>9.3611620867094347E-2</v>
      </c>
      <c r="X2123">
        <v>1.5832372170988099E-2</v>
      </c>
      <c r="Y2123">
        <v>4.0435235270310892E-3</v>
      </c>
    </row>
    <row r="2124" spans="1:25" x14ac:dyDescent="0.25">
      <c r="A2124" s="1096"/>
      <c r="B2124" s="1455">
        <v>1874</v>
      </c>
      <c r="C2124" s="1100">
        <v>0.97893546288249567</v>
      </c>
      <c r="D2124" s="1100">
        <v>0.99893169496263601</v>
      </c>
      <c r="E2124" s="1100">
        <v>1.02572818211349</v>
      </c>
      <c r="F2124" s="1100">
        <v>0.99561770291673968</v>
      </c>
      <c r="G2124" s="1100">
        <v>1.0115944075079675</v>
      </c>
      <c r="H2124" s="1100">
        <v>0.9871818677711458</v>
      </c>
      <c r="I2124" s="1100">
        <v>0.98451417179971545</v>
      </c>
      <c r="K2124">
        <v>2.2257107789528279</v>
      </c>
      <c r="L2124">
        <v>0</v>
      </c>
      <c r="M2124">
        <v>1.4788375934746652E-3</v>
      </c>
      <c r="N2124">
        <v>0.14530214816858156</v>
      </c>
      <c r="O2124">
        <v>2.0198432282977456E-2</v>
      </c>
      <c r="P2124">
        <v>2.6607071692898825E-2</v>
      </c>
      <c r="Q2124">
        <v>5.7794201987522408E-3</v>
      </c>
      <c r="R2124">
        <v>1.457782494399876E-3</v>
      </c>
      <c r="S2124">
        <v>0.2421842547439462</v>
      </c>
      <c r="T2124">
        <v>1.338022335992229</v>
      </c>
      <c r="U2124">
        <v>0.14590530430449025</v>
      </c>
      <c r="V2124">
        <v>0.18733707290490287</v>
      </c>
      <c r="W2124">
        <v>9.4019592033559002E-2</v>
      </c>
      <c r="X2124">
        <v>1.6408598337678597E-2</v>
      </c>
      <c r="Y2124">
        <v>3.9676033918863369E-3</v>
      </c>
    </row>
    <row r="2125" spans="1:25" x14ac:dyDescent="0.25">
      <c r="A2125" s="1096"/>
      <c r="B2125" s="1455">
        <v>1875</v>
      </c>
      <c r="C2125" s="1100">
        <v>0.99441059716708891</v>
      </c>
      <c r="D2125" s="1100">
        <v>0.96747059233985788</v>
      </c>
      <c r="E2125" s="1100">
        <v>0.98762233363373064</v>
      </c>
      <c r="F2125" s="1100">
        <v>0.99589014787628938</v>
      </c>
      <c r="G2125" s="1100">
        <v>0.97181527302330417</v>
      </c>
      <c r="H2125" s="1100">
        <v>1.021243243877769</v>
      </c>
      <c r="I2125" s="1100">
        <v>1.0304878189894739</v>
      </c>
      <c r="K2125">
        <v>2.2297562393763117</v>
      </c>
      <c r="L2125">
        <v>0</v>
      </c>
      <c r="M2125">
        <v>1.6415776118564244E-3</v>
      </c>
      <c r="N2125">
        <v>0.14382951826331986</v>
      </c>
      <c r="O2125">
        <v>2.0000449241239605E-2</v>
      </c>
      <c r="P2125">
        <v>2.595288965586038E-2</v>
      </c>
      <c r="Q2125">
        <v>5.5084868844677845E-3</v>
      </c>
      <c r="R2125">
        <v>1.6189850124964866E-3</v>
      </c>
      <c r="S2125">
        <v>0.25613291759778484</v>
      </c>
      <c r="T2125">
        <v>1.3383226137333966</v>
      </c>
      <c r="U2125">
        <v>0.14354639462361177</v>
      </c>
      <c r="V2125">
        <v>0.18186296929285758</v>
      </c>
      <c r="W2125">
        <v>9.5187312532281687E-2</v>
      </c>
      <c r="X2125">
        <v>1.5028936645099767E-2</v>
      </c>
      <c r="Y2125">
        <v>4.4063435057495022E-3</v>
      </c>
    </row>
    <row r="2126" spans="1:25" x14ac:dyDescent="0.25">
      <c r="A2126" s="1096"/>
      <c r="B2126" s="1455">
        <v>1876</v>
      </c>
      <c r="C2126" s="1100">
        <v>0.9910864825029323</v>
      </c>
      <c r="D2126" s="1100">
        <v>0.98546534025313626</v>
      </c>
      <c r="E2126" s="1100">
        <v>0.97442926338047708</v>
      </c>
      <c r="F2126" s="1100">
        <v>1.0413961788155657</v>
      </c>
      <c r="G2126" s="1100">
        <v>1.0046890354332072</v>
      </c>
      <c r="H2126" s="1100">
        <v>0.98974793266225625</v>
      </c>
      <c r="I2126" s="1100">
        <v>1.0358030348391418</v>
      </c>
      <c r="K2126">
        <v>2.2827540206519932</v>
      </c>
      <c r="L2126">
        <v>0</v>
      </c>
      <c r="M2126">
        <v>1.6338037783747348E-3</v>
      </c>
      <c r="N2126">
        <v>0.13748611947082853</v>
      </c>
      <c r="O2126">
        <v>1.9978017726465985E-2</v>
      </c>
      <c r="P2126">
        <v>2.6531657300230948E-2</v>
      </c>
      <c r="Q2126">
        <v>5.429059910728274E-3</v>
      </c>
      <c r="R2126">
        <v>1.6106026413135743E-3</v>
      </c>
      <c r="S2126">
        <v>0.25319856654116096</v>
      </c>
      <c r="T2126">
        <v>1.3994595245179899</v>
      </c>
      <c r="U2126">
        <v>0.1439972963851183</v>
      </c>
      <c r="V2126">
        <v>0.18576779043362421</v>
      </c>
      <c r="W2126">
        <v>9.1716360984930287E-2</v>
      </c>
      <c r="X2126">
        <v>1.4829299063339321E-2</v>
      </c>
      <c r="Y2126">
        <v>4.3835294546375322E-3</v>
      </c>
    </row>
    <row r="2127" spans="1:25" x14ac:dyDescent="0.25">
      <c r="A2127" s="1096"/>
      <c r="B2127" s="1455">
        <v>1877</v>
      </c>
      <c r="C2127" s="1100">
        <v>1.015677789308449</v>
      </c>
      <c r="D2127" s="1100">
        <v>1.0341952714133733</v>
      </c>
      <c r="E2127" s="1100">
        <v>0.97461909054280671</v>
      </c>
      <c r="F2127" s="1100">
        <v>0.96104793560968105</v>
      </c>
      <c r="G2127" s="1100">
        <v>1.0034135660827861</v>
      </c>
      <c r="H2127" s="1100">
        <v>1.0167542394655256</v>
      </c>
      <c r="I2127" s="1100">
        <v>1.0029886508647072</v>
      </c>
      <c r="K2127">
        <v>2.1469830414955493</v>
      </c>
      <c r="L2127">
        <v>0</v>
      </c>
      <c r="M2127">
        <v>1.6198138163942917E-3</v>
      </c>
      <c r="N2127">
        <v>0.13643937919058599</v>
      </c>
      <c r="O2127">
        <v>1.9288529851440056E-2</v>
      </c>
      <c r="P2127">
        <v>2.4787730792311023E-2</v>
      </c>
      <c r="Q2127">
        <v>5.242704939221389E-3</v>
      </c>
      <c r="R2127">
        <v>1.5974223217472842E-3</v>
      </c>
      <c r="S2127">
        <v>0.23567563427555413</v>
      </c>
      <c r="T2127">
        <v>1.2914853258480679</v>
      </c>
      <c r="U2127">
        <v>0.14051130260703179</v>
      </c>
      <c r="V2127">
        <v>0.18417510463643616</v>
      </c>
      <c r="W2127">
        <v>9.1007607852143485E-2</v>
      </c>
      <c r="X2127">
        <v>1.4044456027733552E-2</v>
      </c>
      <c r="Y2127">
        <v>4.3476569696692677E-3</v>
      </c>
    </row>
    <row r="2128" spans="1:25" x14ac:dyDescent="0.25">
      <c r="A2128" s="1096"/>
      <c r="B2128" s="1455">
        <v>1878</v>
      </c>
      <c r="C2128" s="1100">
        <v>1.0170190206417995</v>
      </c>
      <c r="D2128" s="1100">
        <v>1.0298920276276242</v>
      </c>
      <c r="E2128" s="1100">
        <v>1.0315317124723706</v>
      </c>
      <c r="F2128" s="1100">
        <v>0.98133072812590405</v>
      </c>
      <c r="G2128" s="1100">
        <v>0.99505803288672146</v>
      </c>
      <c r="H2128" s="1100">
        <v>1.0024641871495918</v>
      </c>
      <c r="I2128" s="1100">
        <v>0.98439909956642346</v>
      </c>
      <c r="K2128">
        <v>2.1775996988921897</v>
      </c>
      <c r="L2128">
        <v>0</v>
      </c>
      <c r="M2128">
        <v>1.4185671321099197E-3</v>
      </c>
      <c r="N2128">
        <v>0.14187173395251348</v>
      </c>
      <c r="O2128">
        <v>1.9315516791056302E-2</v>
      </c>
      <c r="P2128">
        <v>2.6158652823137691E-2</v>
      </c>
      <c r="Q2128">
        <v>5.5586171642217578E-3</v>
      </c>
      <c r="R2128">
        <v>1.39867803796307E-3</v>
      </c>
      <c r="S2128">
        <v>0.23079274571740807</v>
      </c>
      <c r="T2128">
        <v>1.3188344695241168</v>
      </c>
      <c r="U2128">
        <v>0.14045489124138733</v>
      </c>
      <c r="V2128">
        <v>0.1832030632496264</v>
      </c>
      <c r="W2128">
        <v>9.1490831330865913E-2</v>
      </c>
      <c r="X2128">
        <v>1.613232564675696E-2</v>
      </c>
      <c r="Y2128">
        <v>3.8067405452441778E-3</v>
      </c>
    </row>
    <row r="2129" spans="1:25" x14ac:dyDescent="0.25">
      <c r="A2129" s="1096"/>
      <c r="B2129" s="1455">
        <v>1879</v>
      </c>
      <c r="C2129" s="1100">
        <v>1.0057946257369812</v>
      </c>
      <c r="D2129" s="1100">
        <v>1.0228523333034616</v>
      </c>
      <c r="E2129" s="1100">
        <v>1.0102432285148635</v>
      </c>
      <c r="F2129" s="1100">
        <v>1.018999011639657</v>
      </c>
      <c r="G2129" s="1100">
        <v>1.0122454353528723</v>
      </c>
      <c r="H2129" s="1100">
        <v>1.0326258610469317</v>
      </c>
      <c r="I2129" s="1100">
        <v>1.009698550300443</v>
      </c>
      <c r="K2129">
        <v>2.2511631580651419</v>
      </c>
      <c r="L2129">
        <v>0</v>
      </c>
      <c r="M2129">
        <v>1.5468148245377893E-3</v>
      </c>
      <c r="N2129">
        <v>0.14513590870042942</v>
      </c>
      <c r="O2129">
        <v>1.9547368285361265E-2</v>
      </c>
      <c r="P2129">
        <v>2.6665940002104479E-2</v>
      </c>
      <c r="Q2129">
        <v>5.5075925907328892E-3</v>
      </c>
      <c r="R2129">
        <v>1.5257610821199654E-3</v>
      </c>
      <c r="S2129">
        <v>0.24243328705834483</v>
      </c>
      <c r="T2129">
        <v>1.369413514822472</v>
      </c>
      <c r="U2129">
        <v>0.14197344432735484</v>
      </c>
      <c r="V2129">
        <v>0.18577773307334886</v>
      </c>
      <c r="W2129">
        <v>9.4768055914413535E-2</v>
      </c>
      <c r="X2129">
        <v>1.5808748334468839E-2</v>
      </c>
      <c r="Y2129">
        <v>4.1526186985249985E-3</v>
      </c>
    </row>
    <row r="2130" spans="1:25" x14ac:dyDescent="0.25">
      <c r="A2130" s="1096"/>
      <c r="B2130" s="1455">
        <v>1880</v>
      </c>
      <c r="C2130" s="1100">
        <v>0.97165143671971577</v>
      </c>
      <c r="D2130" s="1100">
        <v>1.000618230355524</v>
      </c>
      <c r="E2130" s="1100">
        <v>0.98165457564624281</v>
      </c>
      <c r="F2130" s="1100">
        <v>1.0093720839608931</v>
      </c>
      <c r="G2130" s="1100">
        <v>1.0100507831830239</v>
      </c>
      <c r="H2130" s="1100">
        <v>1.0362466020003507</v>
      </c>
      <c r="I2130" s="1100">
        <v>1.0010915740019257</v>
      </c>
      <c r="K2130">
        <v>2.2594937398996793</v>
      </c>
      <c r="L2130">
        <v>0</v>
      </c>
      <c r="M2130">
        <v>1.7131485323242019E-3</v>
      </c>
      <c r="N2130">
        <v>0.14744506414720454</v>
      </c>
      <c r="O2130">
        <v>2.0313953440351053E-2</v>
      </c>
      <c r="P2130">
        <v>2.6140729316358229E-2</v>
      </c>
      <c r="Q2130">
        <v>5.561085114128333E-3</v>
      </c>
      <c r="R2130">
        <v>1.6899122911230666E-3</v>
      </c>
      <c r="S2130">
        <v>0.25160176318693028</v>
      </c>
      <c r="T2130">
        <v>1.3564326857722884</v>
      </c>
      <c r="U2130">
        <v>0.14689460094946144</v>
      </c>
      <c r="V2130">
        <v>0.18757694589040977</v>
      </c>
      <c r="W2130">
        <v>9.7931071730590069E-2</v>
      </c>
      <c r="X2130">
        <v>1.5019692416156485E-2</v>
      </c>
      <c r="Y2130">
        <v>4.5993841769999362E-3</v>
      </c>
    </row>
    <row r="2131" spans="1:25" x14ac:dyDescent="0.25">
      <c r="A2131" s="1096"/>
      <c r="B2131" s="1455">
        <v>1881</v>
      </c>
      <c r="C2131" s="1100">
        <v>1.0031595045434463</v>
      </c>
      <c r="D2131" s="1100">
        <v>0.96703289606663811</v>
      </c>
      <c r="E2131" s="1100">
        <v>0.99851147726011591</v>
      </c>
      <c r="F2131" s="1100">
        <v>0.98262560858791936</v>
      </c>
      <c r="G2131" s="1100">
        <v>1.0172582431837218</v>
      </c>
      <c r="H2131" s="1100">
        <v>1.0063400716391053</v>
      </c>
      <c r="I2131" s="1100">
        <v>0.98424905151798714</v>
      </c>
      <c r="K2131">
        <v>2.1965877799632159</v>
      </c>
      <c r="L2131">
        <v>0</v>
      </c>
      <c r="M2131">
        <v>1.5678950776799481E-3</v>
      </c>
      <c r="N2131">
        <v>0.14194128613278439</v>
      </c>
      <c r="O2131">
        <v>1.9834815546459699E-2</v>
      </c>
      <c r="P2131">
        <v>2.5769409890079472E-2</v>
      </c>
      <c r="Q2131">
        <v>5.5232236158345594E-3</v>
      </c>
      <c r="R2131">
        <v>1.5459969891463657E-3</v>
      </c>
      <c r="S2131">
        <v>0.24146453155119449</v>
      </c>
      <c r="T2131">
        <v>1.3205125398481548</v>
      </c>
      <c r="U2131">
        <v>0.14231943981642525</v>
      </c>
      <c r="V2131">
        <v>0.18648899650746362</v>
      </c>
      <c r="W2131">
        <v>9.3328355188319459E-2</v>
      </c>
      <c r="X2131">
        <v>1.5219385788347417E-2</v>
      </c>
      <c r="Y2131">
        <v>4.2076941666859035E-3</v>
      </c>
    </row>
    <row r="2132" spans="1:25" x14ac:dyDescent="0.25">
      <c r="A2132" s="1096"/>
      <c r="B2132" s="1455">
        <v>1882</v>
      </c>
      <c r="C2132" s="1100">
        <v>1.0085842861804402</v>
      </c>
      <c r="D2132" s="1100">
        <v>0.99075733469950866</v>
      </c>
      <c r="E2132" s="1100">
        <v>1.005504557060289</v>
      </c>
      <c r="F2132" s="1100">
        <v>0.98879723504882533</v>
      </c>
      <c r="G2132" s="1100">
        <v>1.0140932032781009</v>
      </c>
      <c r="H2132" s="1100">
        <v>0.96342179235769199</v>
      </c>
      <c r="I2132" s="1100">
        <v>0.98666478360931009</v>
      </c>
      <c r="K2132">
        <v>2.1848325476946009</v>
      </c>
      <c r="L2132">
        <v>0</v>
      </c>
      <c r="M2132">
        <v>1.463622298219047E-3</v>
      </c>
      <c r="N2132">
        <v>0.13524489513837848</v>
      </c>
      <c r="O2132">
        <v>1.962755949820038E-2</v>
      </c>
      <c r="P2132">
        <v>2.5903181481552351E-2</v>
      </c>
      <c r="Q2132">
        <v>5.5040220036590174E-3</v>
      </c>
      <c r="R2132">
        <v>1.4422699064843222E-3</v>
      </c>
      <c r="S2132">
        <v>0.23453098609946982</v>
      </c>
      <c r="T2132">
        <v>1.3288176597012626</v>
      </c>
      <c r="U2132">
        <v>0.1415699272877648</v>
      </c>
      <c r="V2132">
        <v>0.18581925222901671</v>
      </c>
      <c r="W2132">
        <v>8.85571341233585E-2</v>
      </c>
      <c r="X2132">
        <v>1.5353899282369098E-2</v>
      </c>
      <c r="Y2132">
        <v>3.9253832413034314E-3</v>
      </c>
    </row>
    <row r="2133" spans="1:25" x14ac:dyDescent="0.25">
      <c r="A2133" s="1096"/>
      <c r="B2133" s="1455">
        <v>1883</v>
      </c>
      <c r="C2133" s="1100">
        <v>0.98815860890743745</v>
      </c>
      <c r="D2133" s="1100">
        <v>1.0046838593219936</v>
      </c>
      <c r="E2133" s="1100">
        <v>1.024264904966119</v>
      </c>
      <c r="F2133" s="1100">
        <v>0.9815488483195931</v>
      </c>
      <c r="G2133" s="1100">
        <v>1.0243897449146815</v>
      </c>
      <c r="H2133" s="1100">
        <v>0.97795444310031432</v>
      </c>
      <c r="I2133" s="1100">
        <v>1.01174574321599</v>
      </c>
      <c r="K2133">
        <v>2.2033623921518077</v>
      </c>
      <c r="L2133">
        <v>0</v>
      </c>
      <c r="M2133">
        <v>1.4539316161852002E-3</v>
      </c>
      <c r="N2133">
        <v>0.14220664848629563</v>
      </c>
      <c r="O2133">
        <v>1.9983718733545319E-2</v>
      </c>
      <c r="P2133">
        <v>2.6349593947409107E-2</v>
      </c>
      <c r="Q2133">
        <v>5.7096946016345776E-3</v>
      </c>
      <c r="R2133">
        <v>1.4330358002873243E-3</v>
      </c>
      <c r="S2133">
        <v>0.24508540684088898</v>
      </c>
      <c r="T2133">
        <v>1.3191119784709335</v>
      </c>
      <c r="U2133">
        <v>0.14454005016409788</v>
      </c>
      <c r="V2133">
        <v>0.18821610653504781</v>
      </c>
      <c r="W2133">
        <v>9.209510952139946E-2</v>
      </c>
      <c r="X2133">
        <v>1.6184729618195469E-2</v>
      </c>
      <c r="Y2133">
        <v>3.9002510482574917E-3</v>
      </c>
    </row>
    <row r="2134" spans="1:25" x14ac:dyDescent="0.25">
      <c r="A2134" s="1096"/>
      <c r="B2134" s="1455">
        <v>1884</v>
      </c>
      <c r="C2134" s="1100">
        <v>0.99179166793738882</v>
      </c>
      <c r="D2134" s="1100">
        <v>1.0020890635964999</v>
      </c>
      <c r="E2134" s="1100">
        <v>1.0308554323031593</v>
      </c>
      <c r="F2134" s="1100">
        <v>1.0095103708712285</v>
      </c>
      <c r="G2134" s="1100">
        <v>0.98943934472973272</v>
      </c>
      <c r="H2134" s="1100">
        <v>1.0251636155634549</v>
      </c>
      <c r="I2134" s="1100">
        <v>0.98809244023994824</v>
      </c>
      <c r="K2134">
        <v>2.246739129906719</v>
      </c>
      <c r="L2134">
        <v>0</v>
      </c>
      <c r="M2134">
        <v>1.4986828495505554E-3</v>
      </c>
      <c r="N2134">
        <v>0.14962602033515804</v>
      </c>
      <c r="O2134">
        <v>1.9926013098162453E-2</v>
      </c>
      <c r="P2134">
        <v>2.6901003915259066E-2</v>
      </c>
      <c r="Q2134">
        <v>5.7304753559790523E-3</v>
      </c>
      <c r="R2134">
        <v>1.4781357497575004E-3</v>
      </c>
      <c r="S2134">
        <v>0.24260848490091613</v>
      </c>
      <c r="T2134">
        <v>1.3567042400017775</v>
      </c>
      <c r="U2134">
        <v>0.14402594439030311</v>
      </c>
      <c r="V2134">
        <v>0.18405183501125472</v>
      </c>
      <c r="W2134">
        <v>9.6529298699832289E-2</v>
      </c>
      <c r="X2134">
        <v>1.6633363054348302E-2</v>
      </c>
      <c r="Y2134">
        <v>4.0229982435209645E-3</v>
      </c>
    </row>
    <row r="2135" spans="1:25" x14ac:dyDescent="0.25">
      <c r="A2135" s="1096"/>
      <c r="B2135" s="1455">
        <v>1885</v>
      </c>
      <c r="C2135" s="1100">
        <v>0.97720050052429808</v>
      </c>
      <c r="D2135" s="1100">
        <v>1.0241695439603347</v>
      </c>
      <c r="E2135" s="1100">
        <v>0.99701414489020823</v>
      </c>
      <c r="F2135" s="1100">
        <v>1.0009166591220078</v>
      </c>
      <c r="G2135" s="1100">
        <v>0.96610150174388987</v>
      </c>
      <c r="H2135" s="1100">
        <v>0.99791112200129395</v>
      </c>
      <c r="I2135" s="1100">
        <v>1.0300343810246959</v>
      </c>
      <c r="K2135">
        <v>2.2325659806683662</v>
      </c>
      <c r="L2135">
        <v>0</v>
      </c>
      <c r="M2135">
        <v>1.5809352700037721E-3</v>
      </c>
      <c r="N2135">
        <v>0.14245867379200966</v>
      </c>
      <c r="O2135">
        <v>2.0105236398685476E-2</v>
      </c>
      <c r="P2135">
        <v>2.6204124174693862E-2</v>
      </c>
      <c r="Q2135">
        <v>5.5900949315772072E-3</v>
      </c>
      <c r="R2135">
        <v>1.5586685523407526E-3</v>
      </c>
      <c r="S2135">
        <v>0.25136834210855036</v>
      </c>
      <c r="T2135">
        <v>1.3450908618288673</v>
      </c>
      <c r="U2135">
        <v>0.14609658154586155</v>
      </c>
      <c r="V2135">
        <v>0.18227597947347743</v>
      </c>
      <c r="W2135">
        <v>9.3752088019282864E-2</v>
      </c>
      <c r="X2135">
        <v>1.5404083128499536E-2</v>
      </c>
      <c r="Y2135">
        <v>4.2421819845213406E-3</v>
      </c>
    </row>
    <row r="2136" spans="1:25" x14ac:dyDescent="0.25">
      <c r="A2136" s="1096"/>
      <c r="B2136" s="1455">
        <v>1886</v>
      </c>
      <c r="C2136" s="1100">
        <v>0.99531045873012114</v>
      </c>
      <c r="D2136" s="1100">
        <v>0.99584998642512457</v>
      </c>
      <c r="E2136" s="1100">
        <v>1.0408906461645155</v>
      </c>
      <c r="F2136" s="1100">
        <v>1.0081077504793137</v>
      </c>
      <c r="G2136" s="1100">
        <v>0.97640475509221458</v>
      </c>
      <c r="H2136" s="1100">
        <v>1.038990486795317</v>
      </c>
      <c r="I2136" s="1100">
        <v>1.0122542226851532</v>
      </c>
      <c r="K2136">
        <v>2.2549493370870639</v>
      </c>
      <c r="L2136">
        <v>0</v>
      </c>
      <c r="M2136">
        <v>1.4842164548362743E-3</v>
      </c>
      <c r="N2136">
        <v>0.15275925674921714</v>
      </c>
      <c r="O2136">
        <v>1.9889205761975802E-2</v>
      </c>
      <c r="P2136">
        <v>2.7139022205496154E-2</v>
      </c>
      <c r="Q2136">
        <v>5.7767396638253683E-3</v>
      </c>
      <c r="R2136">
        <v>1.4641384919129904E-3</v>
      </c>
      <c r="S2136">
        <v>0.24964006220109969</v>
      </c>
      <c r="T2136">
        <v>1.3548430986643363</v>
      </c>
      <c r="U2136">
        <v>0.14354009702096074</v>
      </c>
      <c r="V2136">
        <v>0.18237650691154339</v>
      </c>
      <c r="W2136">
        <v>9.7980878227860377E-2</v>
      </c>
      <c r="X2136">
        <v>1.7039645321808228E-2</v>
      </c>
      <c r="Y2136">
        <v>3.9849023218630174E-3</v>
      </c>
    </row>
    <row r="2137" spans="1:25" x14ac:dyDescent="0.25">
      <c r="A2137" s="1096"/>
      <c r="B2137" s="1455">
        <v>1887</v>
      </c>
      <c r="C2137" s="1100">
        <v>1.010185870411664</v>
      </c>
      <c r="D2137" s="1100">
        <v>1.0318496521100546</v>
      </c>
      <c r="E2137" s="1100">
        <v>1.0076782401422129</v>
      </c>
      <c r="F2137" s="1100">
        <v>1.0249187550518577</v>
      </c>
      <c r="G2137" s="1100">
        <v>1.0180699725928244</v>
      </c>
      <c r="H2137" s="1100">
        <v>0.99472610698947095</v>
      </c>
      <c r="I2137" s="1100">
        <v>0.98387626552830576</v>
      </c>
      <c r="K2137">
        <v>2.2362799973635221</v>
      </c>
      <c r="L2137">
        <v>0</v>
      </c>
      <c r="M2137">
        <v>1.488620480152227E-3</v>
      </c>
      <c r="N2137">
        <v>0.13852522094127995</v>
      </c>
      <c r="O2137">
        <v>1.9423356530573598E-2</v>
      </c>
      <c r="P2137">
        <v>2.6567748326441137E-2</v>
      </c>
      <c r="Q2137">
        <v>5.4586292310988315E-3</v>
      </c>
      <c r="R2137">
        <v>1.4675868394887334E-3</v>
      </c>
      <c r="S2137">
        <v>0.23123718525167233</v>
      </c>
      <c r="T2137">
        <v>1.3773642510458048</v>
      </c>
      <c r="U2137">
        <v>0.14135043646153908</v>
      </c>
      <c r="V2137">
        <v>0.18617740665307342</v>
      </c>
      <c r="W2137">
        <v>9.0588560952350711E-2</v>
      </c>
      <c r="X2137">
        <v>1.5613948023133812E-2</v>
      </c>
      <c r="Y2137">
        <v>3.9942875872167162E-3</v>
      </c>
    </row>
    <row r="2138" spans="1:25" x14ac:dyDescent="0.25">
      <c r="A2138" s="1096"/>
      <c r="B2138" s="1455">
        <v>1888</v>
      </c>
      <c r="C2138" s="1100">
        <v>0.96903218464296625</v>
      </c>
      <c r="D2138" s="1100">
        <v>1.0165007587529222</v>
      </c>
      <c r="E2138" s="1100">
        <v>1.008338710157368</v>
      </c>
      <c r="F2138" s="1100">
        <v>0.96498301114745355</v>
      </c>
      <c r="G2138" s="1100">
        <v>0.9800023740995929</v>
      </c>
      <c r="H2138" s="1100">
        <v>1.0141698065555445</v>
      </c>
      <c r="I2138" s="1100">
        <v>1.002545338941665</v>
      </c>
      <c r="K2138">
        <v>2.1938352008498576</v>
      </c>
      <c r="L2138">
        <v>0</v>
      </c>
      <c r="M2138">
        <v>1.5852232333952855E-3</v>
      </c>
      <c r="N2138">
        <v>0.1478497857148279</v>
      </c>
      <c r="O2138">
        <v>2.0315539867079086E-2</v>
      </c>
      <c r="P2138">
        <v>2.5777656848463303E-2</v>
      </c>
      <c r="Q2138">
        <v>5.713138238077153E-3</v>
      </c>
      <c r="R2138">
        <v>1.5632540593755423E-3</v>
      </c>
      <c r="S2138">
        <v>0.24907647530560104</v>
      </c>
      <c r="T2138">
        <v>1.2968191372044278</v>
      </c>
      <c r="U2138">
        <v>0.14735499857767251</v>
      </c>
      <c r="V2138">
        <v>0.18436941406507551</v>
      </c>
      <c r="W2138">
        <v>9.6648652008291536E-2</v>
      </c>
      <c r="X2138">
        <v>1.5677709971299487E-2</v>
      </c>
      <c r="Y2138">
        <v>4.2546622230580497E-3</v>
      </c>
    </row>
    <row r="2139" spans="1:25" x14ac:dyDescent="0.25">
      <c r="A2139" s="1096"/>
      <c r="B2139" s="1455">
        <v>1889</v>
      </c>
      <c r="C2139" s="1100">
        <v>1.0121885162607613</v>
      </c>
      <c r="D2139" s="1100">
        <v>1.0120629046567309</v>
      </c>
      <c r="E2139" s="1100">
        <v>1.0264776292502986</v>
      </c>
      <c r="F2139" s="1100">
        <v>1.0080146840983275</v>
      </c>
      <c r="G2139" s="1100">
        <v>1.01978968971392</v>
      </c>
      <c r="H2139" s="1100">
        <v>0.96127289981015107</v>
      </c>
      <c r="I2139" s="1100">
        <v>0.96304505162211607</v>
      </c>
      <c r="K2139">
        <v>2.2039110455822595</v>
      </c>
      <c r="L2139">
        <v>0</v>
      </c>
      <c r="M2139">
        <v>1.3865548477188928E-3</v>
      </c>
      <c r="N2139">
        <v>0.13649004431543157</v>
      </c>
      <c r="O2139">
        <v>1.9479278508966035E-2</v>
      </c>
      <c r="P2139">
        <v>2.6542009287311468E-2</v>
      </c>
      <c r="Q2139">
        <v>5.5777875214626012E-3</v>
      </c>
      <c r="R2139">
        <v>1.3662815531068863E-3</v>
      </c>
      <c r="S2139">
        <v>0.22566485516303095</v>
      </c>
      <c r="T2139">
        <v>1.3546844111975926</v>
      </c>
      <c r="U2139">
        <v>0.14111364296321169</v>
      </c>
      <c r="V2139">
        <v>0.18627234676575857</v>
      </c>
      <c r="W2139">
        <v>8.8279078192055507E-2</v>
      </c>
      <c r="X2139">
        <v>1.6109296969087857E-2</v>
      </c>
      <c r="Y2139">
        <v>3.7185679929640104E-3</v>
      </c>
    </row>
    <row r="2140" spans="1:25" x14ac:dyDescent="0.25">
      <c r="A2140" s="1096"/>
      <c r="B2140" s="1455">
        <v>1890</v>
      </c>
      <c r="C2140" s="1100">
        <v>1.0362451682893923</v>
      </c>
      <c r="D2140" s="1100">
        <v>1.0144024951188975</v>
      </c>
      <c r="E2140" s="1100">
        <v>0.97663580105700731</v>
      </c>
      <c r="F2140" s="1100">
        <v>0.98769652917234807</v>
      </c>
      <c r="G2140" s="1100">
        <v>1.0110837285611953</v>
      </c>
      <c r="H2140" s="1100">
        <v>1.0023044012684377</v>
      </c>
      <c r="I2140" s="1100">
        <v>1.0010495473306902</v>
      </c>
      <c r="K2140">
        <v>2.169253613736966</v>
      </c>
      <c r="L2140">
        <v>0</v>
      </c>
      <c r="M2140">
        <v>1.5652318626607053E-3</v>
      </c>
      <c r="N2140">
        <v>0.13262225547727854</v>
      </c>
      <c r="O2140">
        <v>1.8987442345712396E-2</v>
      </c>
      <c r="P2140">
        <v>2.521090245408928E-2</v>
      </c>
      <c r="Q2140">
        <v>5.1714834003716544E-3</v>
      </c>
      <c r="R2140">
        <v>1.5432829495369092E-3</v>
      </c>
      <c r="S2140">
        <v>0.23166349302642825</v>
      </c>
      <c r="T2140">
        <v>1.3272986200960455</v>
      </c>
      <c r="U2140">
        <v>0.1377268993776381</v>
      </c>
      <c r="V2140">
        <v>0.18388496939710519</v>
      </c>
      <c r="W2140">
        <v>8.8353484211071531E-2</v>
      </c>
      <c r="X2140">
        <v>1.4155705418798107E-2</v>
      </c>
      <c r="Y2140">
        <v>4.2003074455518796E-3</v>
      </c>
    </row>
    <row r="2141" spans="1:25" x14ac:dyDescent="0.25">
      <c r="A2141" s="1096"/>
      <c r="B2141" s="1455">
        <v>1891</v>
      </c>
      <c r="C2141" s="1100">
        <v>0.99474631100079114</v>
      </c>
      <c r="D2141" s="1100">
        <v>0.98714285163638238</v>
      </c>
      <c r="E2141" s="1100">
        <v>0.99752161362076541</v>
      </c>
      <c r="F2141" s="1100">
        <v>0.98669789285877796</v>
      </c>
      <c r="G2141" s="1100">
        <v>1.010309365004304</v>
      </c>
      <c r="H2141" s="1100">
        <v>1.0121082009233182</v>
      </c>
      <c r="I2141" s="1100">
        <v>0.99146319172276487</v>
      </c>
      <c r="K2141">
        <v>2.2071290742292407</v>
      </c>
      <c r="L2141">
        <v>0</v>
      </c>
      <c r="M2141">
        <v>1.5862869678872815E-3</v>
      </c>
      <c r="N2141">
        <v>0.14318897029431479</v>
      </c>
      <c r="O2141">
        <v>1.9911579057021164E-2</v>
      </c>
      <c r="P2141">
        <v>2.586137674209699E-2</v>
      </c>
      <c r="Q2141">
        <v>5.5390791294924815E-3</v>
      </c>
      <c r="R2141">
        <v>1.5642582719026224E-3</v>
      </c>
      <c r="S2141">
        <v>0.24322914277701305</v>
      </c>
      <c r="T2141">
        <v>1.3259836122485302</v>
      </c>
      <c r="U2141">
        <v>0.14352083429171891</v>
      </c>
      <c r="V2141">
        <v>0.18620279837783407</v>
      </c>
      <c r="W2141">
        <v>9.4204217565918583E-2</v>
      </c>
      <c r="X2141">
        <v>1.5252097082768456E-2</v>
      </c>
      <c r="Y2141">
        <v>4.2573953585181915E-3</v>
      </c>
    </row>
    <row r="2142" spans="1:25" x14ac:dyDescent="0.25">
      <c r="A2142" s="1096"/>
      <c r="B2142" s="1455">
        <v>1892</v>
      </c>
      <c r="C2142" s="1100">
        <v>0.99026970638124545</v>
      </c>
      <c r="D2142" s="1100">
        <v>0.98604823441759315</v>
      </c>
      <c r="E2142" s="1100">
        <v>0.99677601519354264</v>
      </c>
      <c r="F2142" s="1100">
        <v>1.0081206116063768</v>
      </c>
      <c r="G2142" s="1100">
        <v>0.97910361260347256</v>
      </c>
      <c r="H2142" s="1100">
        <v>0.99495811412371782</v>
      </c>
      <c r="I2142" s="1100">
        <v>0.99245140374542651</v>
      </c>
      <c r="K2142">
        <v>2.2308293467841547</v>
      </c>
      <c r="L2142">
        <v>0</v>
      </c>
      <c r="M2142">
        <v>1.5692633864465078E-3</v>
      </c>
      <c r="N2142">
        <v>0.14129920411922728</v>
      </c>
      <c r="O2142">
        <v>2.0006002329746222E-2</v>
      </c>
      <c r="P2142">
        <v>2.6204480267788346E-2</v>
      </c>
      <c r="Q2142">
        <v>5.5611701294909621E-3</v>
      </c>
      <c r="R2142">
        <v>1.547095462602544E-3</v>
      </c>
      <c r="S2142">
        <v>0.24332049173191203</v>
      </c>
      <c r="T2142">
        <v>1.3547715922227923</v>
      </c>
      <c r="U2142">
        <v>0.14416790063281179</v>
      </c>
      <c r="V2142">
        <v>0.1829443221471814</v>
      </c>
      <c r="W2142">
        <v>9.3002234846281298E-2</v>
      </c>
      <c r="X2142">
        <v>1.536343243144375E-2</v>
      </c>
      <c r="Y2142">
        <v>4.2106838493219442E-3</v>
      </c>
    </row>
    <row r="2143" spans="1:25" x14ac:dyDescent="0.25">
      <c r="A2143" s="1096"/>
      <c r="B2143" s="1455">
        <v>1893</v>
      </c>
      <c r="C2143" s="1100">
        <v>0.98902190260628531</v>
      </c>
      <c r="D2143" s="1100">
        <v>0.99006082005854068</v>
      </c>
      <c r="E2143" s="1100">
        <v>0.9891276324525472</v>
      </c>
      <c r="F2143" s="1100">
        <v>0.99557104440279343</v>
      </c>
      <c r="G2143" s="1100">
        <v>1.0055781813181381</v>
      </c>
      <c r="H2143" s="1100">
        <v>0.99793108616276704</v>
      </c>
      <c r="I2143" s="1100">
        <v>1.0074549891449653</v>
      </c>
      <c r="K2143">
        <v>2.2198087988084323</v>
      </c>
      <c r="L2143">
        <v>0</v>
      </c>
      <c r="M2143">
        <v>1.5996821875853596E-3</v>
      </c>
      <c r="N2143">
        <v>0.14075230039019412</v>
      </c>
      <c r="O2143">
        <v>2.0008518216769602E-2</v>
      </c>
      <c r="P2143">
        <v>2.5919516484116251E-2</v>
      </c>
      <c r="Q2143">
        <v>5.5191077536632148E-3</v>
      </c>
      <c r="R2143">
        <v>1.5771518792886297E-3</v>
      </c>
      <c r="S2143">
        <v>0.24699168110571121</v>
      </c>
      <c r="T2143">
        <v>1.3378957938626044</v>
      </c>
      <c r="U2143">
        <v>0.14433200608693419</v>
      </c>
      <c r="V2143">
        <v>0.18600580296947211</v>
      </c>
      <c r="W2143">
        <v>9.306671939984551E-2</v>
      </c>
      <c r="X2143">
        <v>1.5047395339970727E-2</v>
      </c>
      <c r="Y2143">
        <v>4.2924875074463707E-3</v>
      </c>
    </row>
    <row r="2144" spans="1:25" x14ac:dyDescent="0.25">
      <c r="A2144" s="1096"/>
      <c r="B2144" s="1455">
        <v>1894</v>
      </c>
      <c r="C2144" s="1100">
        <v>0.97675363187038855</v>
      </c>
      <c r="D2144" s="1100">
        <v>1.0051035581174153</v>
      </c>
      <c r="E2144" s="1100">
        <v>1.0475364933902382</v>
      </c>
      <c r="F2144" s="1100">
        <v>1.0383714569743696</v>
      </c>
      <c r="G2144" s="1100">
        <v>0.9829473183253965</v>
      </c>
      <c r="H2144" s="1100">
        <v>1.0134138625762359</v>
      </c>
      <c r="I2144" s="1100">
        <v>0.96039221198083369</v>
      </c>
      <c r="K2144">
        <v>2.2894380789210089</v>
      </c>
      <c r="L2144">
        <v>0</v>
      </c>
      <c r="M2144">
        <v>1.4518957181142073E-3</v>
      </c>
      <c r="N2144">
        <v>0.15240076884158055</v>
      </c>
      <c r="O2144">
        <v>2.0230145474557468E-2</v>
      </c>
      <c r="P2144">
        <v>2.7748210011327573E-2</v>
      </c>
      <c r="Q2144">
        <v>5.9141979400087847E-3</v>
      </c>
      <c r="R2144">
        <v>1.4317592842250531E-3</v>
      </c>
      <c r="S2144">
        <v>0.23828183984339504</v>
      </c>
      <c r="T2144">
        <v>1.395533401636567</v>
      </c>
      <c r="U2144">
        <v>0.14628290707007999</v>
      </c>
      <c r="V2144">
        <v>0.18425561993845149</v>
      </c>
      <c r="W2144">
        <v>9.7378728672857323E-2</v>
      </c>
      <c r="X2144">
        <v>1.7535619133733811E-2</v>
      </c>
      <c r="Y2144">
        <v>3.896776792339397E-3</v>
      </c>
    </row>
    <row r="2145" spans="1:25" x14ac:dyDescent="0.25">
      <c r="A2145" s="1096"/>
      <c r="B2145" s="1455">
        <v>1895</v>
      </c>
      <c r="C2145" s="1100">
        <v>0.99899123360672815</v>
      </c>
      <c r="D2145" s="1100">
        <v>0.98160935049838494</v>
      </c>
      <c r="E2145" s="1100">
        <v>1.0234114173139184</v>
      </c>
      <c r="F2145" s="1100">
        <v>0.98124518561395224</v>
      </c>
      <c r="G2145" s="1100">
        <v>0.96779774628676818</v>
      </c>
      <c r="H2145" s="1100">
        <v>0.95504283218457864</v>
      </c>
      <c r="I2145" s="1100">
        <v>0.9602806721731002</v>
      </c>
      <c r="K2145">
        <v>2.1724183972989368</v>
      </c>
      <c r="L2145">
        <v>0</v>
      </c>
      <c r="M2145">
        <v>1.4141804326081107E-3</v>
      </c>
      <c r="N2145">
        <v>0.13791480664352931</v>
      </c>
      <c r="O2145">
        <v>1.9867787044444592E-2</v>
      </c>
      <c r="P2145">
        <v>2.6012469289254783E-2</v>
      </c>
      <c r="Q2145">
        <v>5.6717665920210285E-3</v>
      </c>
      <c r="R2145">
        <v>1.3933683303423124E-3</v>
      </c>
      <c r="S2145">
        <v>0.23101396343343633</v>
      </c>
      <c r="T2145">
        <v>1.3187021208481271</v>
      </c>
      <c r="U2145">
        <v>0.14297074686936345</v>
      </c>
      <c r="V2145">
        <v>0.18116748345912029</v>
      </c>
      <c r="W2145">
        <v>8.9360125064198784E-2</v>
      </c>
      <c r="X2145">
        <v>1.5965650886262873E-2</v>
      </c>
      <c r="Y2145">
        <v>3.7922892714451232E-3</v>
      </c>
    </row>
    <row r="2146" spans="1:25" x14ac:dyDescent="0.25">
      <c r="A2146" s="1096"/>
      <c r="B2146" s="1455">
        <v>1896</v>
      </c>
      <c r="C2146" s="1100">
        <v>1.0085642952045422</v>
      </c>
      <c r="D2146" s="1100">
        <v>1.0149558744676483</v>
      </c>
      <c r="E2146" s="1100">
        <v>1.0300350251385704</v>
      </c>
      <c r="F2146" s="1100">
        <v>1.0144360407360342</v>
      </c>
      <c r="G2146" s="1100">
        <v>0.99644962064492959</v>
      </c>
      <c r="H2146" s="1100">
        <v>0.99593120556674364</v>
      </c>
      <c r="I2146" s="1100">
        <v>0.97339147937594284</v>
      </c>
      <c r="K2146">
        <v>2.2264800078106286</v>
      </c>
      <c r="L2146">
        <v>0</v>
      </c>
      <c r="M2146">
        <v>1.4301654151571937E-3</v>
      </c>
      <c r="N2146">
        <v>0.14237455314888678</v>
      </c>
      <c r="O2146">
        <v>1.9539209258064193E-2</v>
      </c>
      <c r="P2146">
        <v>2.6782979375624551E-2</v>
      </c>
      <c r="Q2146">
        <v>5.6146803658961757E-3</v>
      </c>
      <c r="R2146">
        <v>1.4099821740591603E-3</v>
      </c>
      <c r="S2146">
        <v>0.23128215542434707</v>
      </c>
      <c r="T2146">
        <v>1.3633220927075183</v>
      </c>
      <c r="U2146">
        <v>0.14162888255228975</v>
      </c>
      <c r="V2146">
        <v>0.18384820595354573</v>
      </c>
      <c r="W2146">
        <v>9.1894845152478657E-2</v>
      </c>
      <c r="X2146">
        <v>1.6375080435784256E-2</v>
      </c>
      <c r="Y2146">
        <v>3.837506677290273E-3</v>
      </c>
    </row>
    <row r="2147" spans="1:25" x14ac:dyDescent="0.25">
      <c r="A2147" s="1096"/>
      <c r="B2147" s="1455">
        <v>1897</v>
      </c>
      <c r="C2147" s="1100">
        <v>1.0112345750047484</v>
      </c>
      <c r="D2147" s="1100">
        <v>1.0146328486826666</v>
      </c>
      <c r="E2147" s="1100">
        <v>0.99763908508042742</v>
      </c>
      <c r="F2147" s="1100">
        <v>1.029716689287562</v>
      </c>
      <c r="G2147" s="1100">
        <v>1.0294848989061829</v>
      </c>
      <c r="H2147" s="1100">
        <v>0.99866897504315433</v>
      </c>
      <c r="I2147" s="1100">
        <v>1.0151111606769379</v>
      </c>
      <c r="K2147">
        <v>2.252880302996358</v>
      </c>
      <c r="L2147">
        <v>0</v>
      </c>
      <c r="M2147">
        <v>1.530053621792981E-3</v>
      </c>
      <c r="N2147">
        <v>0.13813582034247926</v>
      </c>
      <c r="O2147">
        <v>1.9468988185171749E-2</v>
      </c>
      <c r="P2147">
        <v>2.6599134789094855E-2</v>
      </c>
      <c r="Q2147">
        <v>5.4165979206477087E-3</v>
      </c>
      <c r="R2147">
        <v>1.5085199013820021E-3</v>
      </c>
      <c r="S2147">
        <v>0.24056883633691536</v>
      </c>
      <c r="T2147">
        <v>1.3837950287314376</v>
      </c>
      <c r="U2147">
        <v>0.14118098248020014</v>
      </c>
      <c r="V2147">
        <v>0.18739808713866454</v>
      </c>
      <c r="W2147">
        <v>9.0873386356289568E-2</v>
      </c>
      <c r="X2147">
        <v>1.5359280547756541E-2</v>
      </c>
      <c r="Y2147">
        <v>4.1056938881099663E-3</v>
      </c>
    </row>
    <row r="2148" spans="1:25" x14ac:dyDescent="0.25">
      <c r="A2148" s="1096"/>
      <c r="B2148" s="1455">
        <v>1898</v>
      </c>
      <c r="C2148" s="1100">
        <v>1.0226706260050109</v>
      </c>
      <c r="D2148" s="1100">
        <v>1.0341217625781733</v>
      </c>
      <c r="E2148" s="1100">
        <v>0.9792930866436339</v>
      </c>
      <c r="F2148" s="1100">
        <v>1.0342290123883002</v>
      </c>
      <c r="G2148" s="1100">
        <v>1.0203104382236263</v>
      </c>
      <c r="H2148" s="1100">
        <v>0.97020701001880161</v>
      </c>
      <c r="I2148" s="1100">
        <v>1.0111926981971879</v>
      </c>
      <c r="K2148">
        <v>2.2327804645739908</v>
      </c>
      <c r="L2148">
        <v>0</v>
      </c>
      <c r="M2148">
        <v>1.520355490505121E-3</v>
      </c>
      <c r="N2148">
        <v>0.12979882342039953</v>
      </c>
      <c r="O2148">
        <v>1.9159761404572831E-2</v>
      </c>
      <c r="P2148">
        <v>2.616016256652872E-2</v>
      </c>
      <c r="Q2148">
        <v>5.2325460797599888E-3</v>
      </c>
      <c r="R2148">
        <v>1.4983305514412325E-3</v>
      </c>
      <c r="S2148">
        <v>0.23236303887079163</v>
      </c>
      <c r="T2148">
        <v>1.3898335288605626</v>
      </c>
      <c r="U2148">
        <v>0.13956099509009318</v>
      </c>
      <c r="V2148">
        <v>0.18568976381682464</v>
      </c>
      <c r="W2148">
        <v>8.6333641999799732E-2</v>
      </c>
      <c r="X2148">
        <v>1.459226556723155E-2</v>
      </c>
      <c r="Y2148">
        <v>4.0779618364894972E-3</v>
      </c>
    </row>
    <row r="2149" spans="1:25" x14ac:dyDescent="0.25">
      <c r="A2149" s="1096"/>
      <c r="B2149" s="1455">
        <v>1899</v>
      </c>
      <c r="C2149" s="1100">
        <v>0.96580050164899223</v>
      </c>
      <c r="D2149" s="1100">
        <v>0.96302904151849955</v>
      </c>
      <c r="E2149" s="1100">
        <v>1.008995450110828</v>
      </c>
      <c r="F2149" s="1100">
        <v>0.99818087928329013</v>
      </c>
      <c r="G2149" s="1100">
        <v>1.0157074373620996</v>
      </c>
      <c r="H2149" s="1100">
        <v>0.97262703307425924</v>
      </c>
      <c r="I2149" s="1100">
        <v>1.0070133146032529</v>
      </c>
      <c r="K2149">
        <v>2.2434290930883978</v>
      </c>
      <c r="L2149">
        <v>0</v>
      </c>
      <c r="M2149">
        <v>1.541513995837364E-3</v>
      </c>
      <c r="N2149">
        <v>0.14397203289471278</v>
      </c>
      <c r="O2149">
        <v>2.0627718857794859E-2</v>
      </c>
      <c r="P2149">
        <v>2.6540939938699926E-2</v>
      </c>
      <c r="Q2149">
        <v>5.8047416278465503E-3</v>
      </c>
      <c r="R2149">
        <v>1.5192381033607076E-3</v>
      </c>
      <c r="S2149">
        <v>0.25438547643115378</v>
      </c>
      <c r="T2149">
        <v>1.341434178074536</v>
      </c>
      <c r="U2149">
        <v>0.14784963354239777</v>
      </c>
      <c r="V2149">
        <v>0.18861077758003164</v>
      </c>
      <c r="W2149">
        <v>9.4077306638044741E-2</v>
      </c>
      <c r="X2149">
        <v>1.6013698095012456E-2</v>
      </c>
      <c r="Y2149">
        <v>4.134865300641671E-3</v>
      </c>
    </row>
    <row r="2150" spans="1:25" x14ac:dyDescent="0.25">
      <c r="A2150" s="1096"/>
      <c r="B2150" s="1455">
        <v>1900</v>
      </c>
      <c r="C2150" s="1100">
        <v>0.99549972968945244</v>
      </c>
      <c r="D2150" s="1100">
        <v>0.98229211488391799</v>
      </c>
      <c r="E2150" s="1100">
        <v>0.9601529809794388</v>
      </c>
      <c r="F2150" s="1100">
        <v>0.99987197892270507</v>
      </c>
      <c r="G2150" s="1100">
        <v>0.98553008866155389</v>
      </c>
      <c r="H2150" s="1100">
        <v>0.97600846373017103</v>
      </c>
      <c r="I2150" s="1100">
        <v>1.0125381149539268</v>
      </c>
      <c r="K2150">
        <v>2.2077059617647787</v>
      </c>
      <c r="L2150">
        <v>0</v>
      </c>
      <c r="M2150">
        <v>1.6531097407520381E-3</v>
      </c>
      <c r="N2150">
        <v>0.13319734941098305</v>
      </c>
      <c r="O2150">
        <v>1.9894623239948353E-2</v>
      </c>
      <c r="P2150">
        <v>2.5361444680099158E-2</v>
      </c>
      <c r="Q2150">
        <v>5.3279649422925766E-3</v>
      </c>
      <c r="R2150">
        <v>1.6293039792652745E-3</v>
      </c>
      <c r="S2150">
        <v>0.24557955452020447</v>
      </c>
      <c r="T2150">
        <v>1.3436455990885532</v>
      </c>
      <c r="U2150">
        <v>0.14332608725847387</v>
      </c>
      <c r="V2150">
        <v>0.18332485843853236</v>
      </c>
      <c r="W2150">
        <v>8.9632454904380029E-2</v>
      </c>
      <c r="X2150">
        <v>1.4005402711152071E-2</v>
      </c>
      <c r="Y2150">
        <v>4.4344283316476614E-3</v>
      </c>
    </row>
    <row r="2151" spans="1:25" x14ac:dyDescent="0.25">
      <c r="A2151" s="1096"/>
      <c r="B2151" s="1455">
        <v>1901</v>
      </c>
      <c r="C2151" s="1100">
        <v>1.0178194999058061</v>
      </c>
      <c r="D2151" s="1100">
        <v>0.98583071886087559</v>
      </c>
      <c r="E2151" s="1100">
        <v>1.0289399286090524</v>
      </c>
      <c r="F2151" s="1100">
        <v>1.0402526540252717</v>
      </c>
      <c r="G2151" s="1100">
        <v>0.98754024685310293</v>
      </c>
      <c r="H2151" s="1100">
        <v>1.0082032409115329</v>
      </c>
      <c r="I2151" s="1100">
        <v>1.0043058380832615</v>
      </c>
      <c r="K2151">
        <v>2.2707307917875403</v>
      </c>
      <c r="L2151">
        <v>0</v>
      </c>
      <c r="M2151">
        <v>1.4471403750784039E-3</v>
      </c>
      <c r="N2151">
        <v>0.14361462207213205</v>
      </c>
      <c r="O2151">
        <v>1.9485276456768924E-2</v>
      </c>
      <c r="P2151">
        <v>2.7339565425150397E-2</v>
      </c>
      <c r="Q2151">
        <v>5.5931217833496121E-3</v>
      </c>
      <c r="R2151">
        <v>1.4269661645688906E-3</v>
      </c>
      <c r="S2151">
        <v>0.24088437758926223</v>
      </c>
      <c r="T2151">
        <v>1.3980150519649901</v>
      </c>
      <c r="U2151">
        <v>0.14033853905443727</v>
      </c>
      <c r="V2151">
        <v>0.18230506937943061</v>
      </c>
      <c r="W2151">
        <v>9.2754207255296955E-2</v>
      </c>
      <c r="X2151">
        <v>1.653740351654303E-2</v>
      </c>
      <c r="Y2151">
        <v>3.8837315006867942E-3</v>
      </c>
    </row>
    <row r="2152" spans="1:25" x14ac:dyDescent="0.25">
      <c r="A2152" s="1096"/>
      <c r="B2152" s="1455">
        <v>1902</v>
      </c>
      <c r="C2152" s="1100">
        <v>0.97126919650717924</v>
      </c>
      <c r="D2152" s="1100">
        <v>0.98019536015823039</v>
      </c>
      <c r="E2152" s="1100">
        <v>0.97706708577485757</v>
      </c>
      <c r="F2152" s="1100">
        <v>0.99938408461871597</v>
      </c>
      <c r="G2152" s="1100">
        <v>1.0112570913547867</v>
      </c>
      <c r="H2152" s="1100">
        <v>1.0198298509098174</v>
      </c>
      <c r="I2152" s="1100">
        <v>1.001145084597048</v>
      </c>
      <c r="K2152">
        <v>2.2436673875835291</v>
      </c>
      <c r="L2152">
        <v>0</v>
      </c>
      <c r="M2152">
        <v>1.7104880390927219E-3</v>
      </c>
      <c r="N2152">
        <v>0.14515458315805424</v>
      </c>
      <c r="O2152">
        <v>2.0411398593000101E-2</v>
      </c>
      <c r="P2152">
        <v>2.5889986811934496E-2</v>
      </c>
      <c r="Q2152">
        <v>5.5617586696756049E-3</v>
      </c>
      <c r="R2152">
        <v>1.6869144179980993E-3</v>
      </c>
      <c r="S2152">
        <v>0.25290748592909162</v>
      </c>
      <c r="T2152">
        <v>1.3430052036553581</v>
      </c>
      <c r="U2152">
        <v>0.14694157271961938</v>
      </c>
      <c r="V2152">
        <v>0.1877333434856488</v>
      </c>
      <c r="W2152">
        <v>9.6677328799248424E-2</v>
      </c>
      <c r="X2152">
        <v>1.4817074428390899E-2</v>
      </c>
      <c r="Y2152">
        <v>4.5912249546023855E-3</v>
      </c>
    </row>
    <row r="2153" spans="1:25" x14ac:dyDescent="0.25">
      <c r="A2153" s="1096"/>
      <c r="B2153" s="1455">
        <v>1903</v>
      </c>
      <c r="C2153" s="1100">
        <v>1.0002239125316181</v>
      </c>
      <c r="D2153" s="1100">
        <v>0.99938969371261077</v>
      </c>
      <c r="E2153" s="1100">
        <v>0.96991182140281318</v>
      </c>
      <c r="F2153" s="1100">
        <v>0.98693218761325563</v>
      </c>
      <c r="G2153" s="1100">
        <v>1.0171073281359482</v>
      </c>
      <c r="H2153" s="1100">
        <v>0.9882408812170691</v>
      </c>
      <c r="I2153" s="1100">
        <v>0.99524119186091797</v>
      </c>
      <c r="K2153">
        <v>2.1889820904770874</v>
      </c>
      <c r="L2153">
        <v>0</v>
      </c>
      <c r="M2153">
        <v>1.6265354986045419E-3</v>
      </c>
      <c r="N2153">
        <v>0.13501235104881876</v>
      </c>
      <c r="O2153">
        <v>1.9731691700510024E-2</v>
      </c>
      <c r="P2153">
        <v>2.5271230543698578E-2</v>
      </c>
      <c r="Q2153">
        <v>5.3374494395278284E-3</v>
      </c>
      <c r="R2153">
        <v>1.6034023521536061E-3</v>
      </c>
      <c r="S2153">
        <v>0.23921940013817003</v>
      </c>
      <c r="T2153">
        <v>1.3262647995494787</v>
      </c>
      <c r="U2153">
        <v>0.14267147443253764</v>
      </c>
      <c r="V2153">
        <v>0.18662127120828301</v>
      </c>
      <c r="W2153">
        <v>9.0313668391830706E-2</v>
      </c>
      <c r="X2153">
        <v>1.4197954529564107E-2</v>
      </c>
      <c r="Y2153">
        <v>4.3639326411187805E-3</v>
      </c>
    </row>
    <row r="2154" spans="1:25" x14ac:dyDescent="0.25">
      <c r="A2154" s="1096"/>
      <c r="B2154" s="1455">
        <v>1904</v>
      </c>
      <c r="C2154" s="1100">
        <v>1.001013585968481</v>
      </c>
      <c r="D2154" s="1100">
        <v>1.0314017404008489</v>
      </c>
      <c r="E2154" s="1100">
        <v>1.0043105152719356</v>
      </c>
      <c r="F2154" s="1100">
        <v>0.98920346421885452</v>
      </c>
      <c r="G2154" s="1100">
        <v>0.99322839872153168</v>
      </c>
      <c r="H2154" s="1100">
        <v>1.0070792942702518</v>
      </c>
      <c r="I2154" s="1100">
        <v>0.97305147044762041</v>
      </c>
      <c r="K2154">
        <v>2.191618156487757</v>
      </c>
      <c r="L2154">
        <v>0</v>
      </c>
      <c r="M2154">
        <v>1.5317348767525428E-3</v>
      </c>
      <c r="N2154">
        <v>0.14111980538510749</v>
      </c>
      <c r="O2154">
        <v>1.9601115795661258E-2</v>
      </c>
      <c r="P2154">
        <v>2.5838283746064075E-2</v>
      </c>
      <c r="Q2154">
        <v>5.4900312259450676E-3</v>
      </c>
      <c r="R2154">
        <v>1.5103575246187238E-3</v>
      </c>
      <c r="S2154">
        <v>0.23176947978928347</v>
      </c>
      <c r="T2154">
        <v>1.3293615739147229</v>
      </c>
      <c r="U2154">
        <v>0.14263787714423407</v>
      </c>
      <c r="V2154">
        <v>0.1839046368744354</v>
      </c>
      <c r="W2154">
        <v>9.2469318467144901E-2</v>
      </c>
      <c r="X2154">
        <v>1.5336716204502034E-2</v>
      </c>
      <c r="Y2154">
        <v>4.1106952927879858E-3</v>
      </c>
    </row>
    <row r="2155" spans="1:25" x14ac:dyDescent="0.25">
      <c r="A2155" s="1096"/>
      <c r="B2155" s="1455">
        <v>1905</v>
      </c>
      <c r="C2155" s="1100">
        <v>0.99394648529028296</v>
      </c>
      <c r="D2155" s="1100">
        <v>0.98080044704151548</v>
      </c>
      <c r="E2155" s="1100">
        <v>1.037217819576993</v>
      </c>
      <c r="F2155" s="1100">
        <v>1.0065228739045418</v>
      </c>
      <c r="G2155" s="1100">
        <v>0.98288556269649696</v>
      </c>
      <c r="H2155" s="1100">
        <v>0.95787115407413059</v>
      </c>
      <c r="I2155" s="1100">
        <v>1.0092684157531007</v>
      </c>
      <c r="K2155">
        <v>2.2286643171289247</v>
      </c>
      <c r="L2155">
        <v>0</v>
      </c>
      <c r="M2155">
        <v>1.3853882784068215E-3</v>
      </c>
      <c r="N2155">
        <v>0.14085485816428761</v>
      </c>
      <c r="O2155">
        <v>1.9981001323873211E-2</v>
      </c>
      <c r="P2155">
        <v>2.6978854621414011E-2</v>
      </c>
      <c r="Q2155">
        <v>5.7824695766556791E-3</v>
      </c>
      <c r="R2155">
        <v>1.3650601034034986E-3</v>
      </c>
      <c r="S2155">
        <v>0.24447131727667459</v>
      </c>
      <c r="T2155">
        <v>1.3527041376342623</v>
      </c>
      <c r="U2155">
        <v>0.14372851729561265</v>
      </c>
      <c r="V2155">
        <v>0.18318735003181572</v>
      </c>
      <c r="W2155">
        <v>9.0536767299207191E-2</v>
      </c>
      <c r="X2155">
        <v>1.6744128470598876E-2</v>
      </c>
      <c r="Y2155">
        <v>3.7152436095221745E-3</v>
      </c>
    </row>
    <row r="2156" spans="1:25" x14ac:dyDescent="0.25">
      <c r="A2156" s="1096"/>
      <c r="B2156" s="1455">
        <v>1906</v>
      </c>
      <c r="C2156" s="1100">
        <v>1.0243216002694868</v>
      </c>
      <c r="D2156" s="1100">
        <v>1.0046136793457732</v>
      </c>
      <c r="E2156" s="1100">
        <v>1.0256272708852996</v>
      </c>
      <c r="F2156" s="1100">
        <v>0.97237061268668246</v>
      </c>
      <c r="G2156" s="1100">
        <v>1.0163563463020979</v>
      </c>
      <c r="H2156" s="1100">
        <v>0.97657910483491339</v>
      </c>
      <c r="I2156" s="1100">
        <v>0.9955723303207723</v>
      </c>
      <c r="K2156">
        <v>2.1601627722216694</v>
      </c>
      <c r="L2156">
        <v>0</v>
      </c>
      <c r="M2156">
        <v>1.3966828782799084E-3</v>
      </c>
      <c r="N2156">
        <v>0.13716682890238061</v>
      </c>
      <c r="O2156">
        <v>1.9279336262785905E-2</v>
      </c>
      <c r="P2156">
        <v>2.5917170497079475E-2</v>
      </c>
      <c r="Q2156">
        <v>5.5158856507885358E-3</v>
      </c>
      <c r="R2156">
        <v>1.3765815684140044E-3</v>
      </c>
      <c r="S2156">
        <v>0.23256438256464457</v>
      </c>
      <c r="T2156">
        <v>1.3067800877596634</v>
      </c>
      <c r="U2156">
        <v>0.13944023374569411</v>
      </c>
      <c r="V2156">
        <v>0.18518898840035419</v>
      </c>
      <c r="W2156">
        <v>8.8760747660060327E-2</v>
      </c>
      <c r="X2156">
        <v>1.5822610848853096E-2</v>
      </c>
      <c r="Y2156">
        <v>3.7466012392308509E-3</v>
      </c>
    </row>
    <row r="2157" spans="1:25" x14ac:dyDescent="0.25">
      <c r="A2157" s="1096"/>
      <c r="B2157" s="1455">
        <v>1907</v>
      </c>
      <c r="C2157" s="1100">
        <v>0.98136738353710939</v>
      </c>
      <c r="D2157" s="1100">
        <v>0.97952382411629479</v>
      </c>
      <c r="E2157" s="1100">
        <v>0.98462107358180873</v>
      </c>
      <c r="F2157" s="1100">
        <v>1.0082616143967538</v>
      </c>
      <c r="G2157" s="1100">
        <v>1.0265998452164187</v>
      </c>
      <c r="H2157" s="1100">
        <v>0.97186020292253916</v>
      </c>
      <c r="I2157" s="1100">
        <v>0.99141583571439196</v>
      </c>
      <c r="K2157">
        <v>2.233642828223747</v>
      </c>
      <c r="L2157">
        <v>0</v>
      </c>
      <c r="M2157">
        <v>1.5884918647839255E-3</v>
      </c>
      <c r="N2157">
        <v>0.13782296126505569</v>
      </c>
      <c r="O2157">
        <v>2.0209228557432807E-2</v>
      </c>
      <c r="P2157">
        <v>2.6076033384122819E-2</v>
      </c>
      <c r="Q2157">
        <v>5.549092976040202E-3</v>
      </c>
      <c r="R2157">
        <v>1.5655189990944024E-3</v>
      </c>
      <c r="S2157">
        <v>0.24411731979910811</v>
      </c>
      <c r="T2157">
        <v>1.354944053982265</v>
      </c>
      <c r="U2157">
        <v>0.14544722377725025</v>
      </c>
      <c r="V2157">
        <v>0.18884593915847755</v>
      </c>
      <c r="W2157">
        <v>9.1376780239230723E-2</v>
      </c>
      <c r="X2157">
        <v>1.5016341308115863E-2</v>
      </c>
      <c r="Y2157">
        <v>4.2608266423356089E-3</v>
      </c>
    </row>
    <row r="2158" spans="1:25" x14ac:dyDescent="0.25">
      <c r="A2158" s="1096"/>
      <c r="B2158" s="1455">
        <v>1908</v>
      </c>
      <c r="C2158" s="1100">
        <v>0.99134780432629876</v>
      </c>
      <c r="D2158" s="1100">
        <v>0.99166369536977017</v>
      </c>
      <c r="E2158" s="1100">
        <v>0.98745040554382713</v>
      </c>
      <c r="F2158" s="1100">
        <v>0.99417009427615788</v>
      </c>
      <c r="G2158" s="1100">
        <v>0.97408322326654684</v>
      </c>
      <c r="H2158" s="1100">
        <v>0.99502750927978256</v>
      </c>
      <c r="I2158" s="1100">
        <v>0.98757108882672784</v>
      </c>
      <c r="K2158">
        <v>2.2059829402120794</v>
      </c>
      <c r="L2158">
        <v>0</v>
      </c>
      <c r="M2158">
        <v>1.5962530005530502E-3</v>
      </c>
      <c r="N2158">
        <v>0.13973423943162902</v>
      </c>
      <c r="O2158">
        <v>1.995341460902475E-2</v>
      </c>
      <c r="P2158">
        <v>2.5727095227849689E-2</v>
      </c>
      <c r="Q2158">
        <v>5.4945764608217056E-3</v>
      </c>
      <c r="R2158">
        <v>1.5737053852859979E-3</v>
      </c>
      <c r="S2158">
        <v>0.24110858095898408</v>
      </c>
      <c r="T2158">
        <v>1.336010901591504</v>
      </c>
      <c r="U2158">
        <v>0.14398948616046359</v>
      </c>
      <c r="V2158">
        <v>0.18230346365323077</v>
      </c>
      <c r="W2158">
        <v>9.2486574097450633E-2</v>
      </c>
      <c r="X2158">
        <v>1.4914048349479066E-2</v>
      </c>
      <c r="Y2158">
        <v>4.2831072869076508E-3</v>
      </c>
    </row>
    <row r="2159" spans="1:25" x14ac:dyDescent="0.25">
      <c r="A2159" s="1096"/>
      <c r="B2159" s="1455">
        <v>1909</v>
      </c>
      <c r="C2159" s="1100">
        <v>1.0008738533203978</v>
      </c>
      <c r="D2159" s="1100">
        <v>0.99289082394240236</v>
      </c>
      <c r="E2159" s="1100">
        <v>0.99261903591717926</v>
      </c>
      <c r="F2159" s="1100">
        <v>0.96752457077972709</v>
      </c>
      <c r="G2159" s="1100">
        <v>1.0040473219767538</v>
      </c>
      <c r="H2159" s="1100">
        <v>0.9775095153242952</v>
      </c>
      <c r="I2159" s="1100">
        <v>1.0142914800999097</v>
      </c>
      <c r="K2159">
        <v>2.1679848874924441</v>
      </c>
      <c r="L2159">
        <v>0</v>
      </c>
      <c r="M2159">
        <v>1.5362688190282178E-3</v>
      </c>
      <c r="N2159">
        <v>0.13656628971572718</v>
      </c>
      <c r="O2159">
        <v>1.9761352885679432E-2</v>
      </c>
      <c r="P2159">
        <v>2.5397142364502873E-2</v>
      </c>
      <c r="Q2159">
        <v>5.4701910995276649E-3</v>
      </c>
      <c r="R2159">
        <v>1.5141796082540008E-3</v>
      </c>
      <c r="S2159">
        <v>0.24373910987543182</v>
      </c>
      <c r="T2159">
        <v>1.3002103128380629</v>
      </c>
      <c r="U2159">
        <v>0.14263090346505714</v>
      </c>
      <c r="V2159">
        <v>0.1851256003688255</v>
      </c>
      <c r="W2159">
        <v>9.0110352156190746E-2</v>
      </c>
      <c r="X2159">
        <v>1.4874624189719778E-2</v>
      </c>
      <c r="Y2159">
        <v>4.1210977444936774E-3</v>
      </c>
    </row>
    <row r="2160" spans="1:25" x14ac:dyDescent="0.25">
      <c r="A2160" s="1096"/>
      <c r="B2160" s="1455">
        <v>1910</v>
      </c>
      <c r="C2160" s="1100">
        <v>1.0292969361192468</v>
      </c>
      <c r="D2160" s="1100">
        <v>1.0062843089935327</v>
      </c>
      <c r="E2160" s="1100">
        <v>1.0182084976446728</v>
      </c>
      <c r="F2160" s="1100">
        <v>1.0055273173249761</v>
      </c>
      <c r="G2160" s="1100">
        <v>1.0265916936964727</v>
      </c>
      <c r="H2160" s="1100">
        <v>0.97561943228493508</v>
      </c>
      <c r="I2160" s="1100">
        <v>0.98387153156634999</v>
      </c>
      <c r="K2160">
        <v>2.1983350479841399</v>
      </c>
      <c r="L2160">
        <v>0</v>
      </c>
      <c r="M2160">
        <v>1.409656855476894E-3</v>
      </c>
      <c r="N2160">
        <v>0.13537546226588371</v>
      </c>
      <c r="O2160">
        <v>1.9174621941415039E-2</v>
      </c>
      <c r="P2160">
        <v>2.6337842035792397E-2</v>
      </c>
      <c r="Q2160">
        <v>5.4456571674007413E-3</v>
      </c>
      <c r="R2160">
        <v>1.3893488653921873E-3</v>
      </c>
      <c r="S2160">
        <v>0.2284029421866485</v>
      </c>
      <c r="T2160">
        <v>1.3513243704160249</v>
      </c>
      <c r="U2160">
        <v>0.13874956874088637</v>
      </c>
      <c r="V2160">
        <v>0.18605927646404946</v>
      </c>
      <c r="W2160">
        <v>8.798202849376259E-2</v>
      </c>
      <c r="X2160">
        <v>1.5722236649495031E-2</v>
      </c>
      <c r="Y2160">
        <v>3.781349612867147E-3</v>
      </c>
    </row>
    <row r="2161" spans="1:25" x14ac:dyDescent="0.25">
      <c r="A2161" s="1096"/>
      <c r="B2161" s="1455">
        <v>1911</v>
      </c>
      <c r="C2161" s="1100">
        <v>0.98981536675252357</v>
      </c>
      <c r="D2161" s="1100">
        <v>0.95297954918034478</v>
      </c>
      <c r="E2161" s="1100">
        <v>1.0269227789690731</v>
      </c>
      <c r="F2161" s="1100">
        <v>1.0003775707090705</v>
      </c>
      <c r="G2161" s="1100">
        <v>0.97303598191458229</v>
      </c>
      <c r="H2161" s="1100">
        <v>0.99433175356873627</v>
      </c>
      <c r="I2161" s="1100">
        <v>1.0045914499888777</v>
      </c>
      <c r="K2161">
        <v>2.2361984998204809</v>
      </c>
      <c r="L2161">
        <v>0</v>
      </c>
      <c r="M2161">
        <v>1.4848189100646345E-3</v>
      </c>
      <c r="N2161">
        <v>0.1464315120068749</v>
      </c>
      <c r="O2161">
        <v>2.0185219581494863E-2</v>
      </c>
      <c r="P2161">
        <v>2.6747912329698184E-2</v>
      </c>
      <c r="Q2161">
        <v>5.7824790046027913E-3</v>
      </c>
      <c r="R2161">
        <v>1.4638306634700534E-3</v>
      </c>
      <c r="S2161">
        <v>0.25086349172934308</v>
      </c>
      <c r="T2161">
        <v>1.3444217568026997</v>
      </c>
      <c r="U2161">
        <v>0.14430432453499586</v>
      </c>
      <c r="V2161">
        <v>0.18231356796970857</v>
      </c>
      <c r="W2161">
        <v>9.468449114535625E-2</v>
      </c>
      <c r="X2161">
        <v>1.6500668447982477E-2</v>
      </c>
      <c r="Y2161">
        <v>3.9840645143169621E-3</v>
      </c>
    </row>
    <row r="2162" spans="1:25" x14ac:dyDescent="0.25">
      <c r="A2162" s="1096"/>
      <c r="B2162" s="1455">
        <v>1912</v>
      </c>
      <c r="C2162" s="1100">
        <v>0.97598294966001597</v>
      </c>
      <c r="D2162" s="1100">
        <v>0.99671143463192857</v>
      </c>
      <c r="E2162" s="1100">
        <v>1.0290216401032057</v>
      </c>
      <c r="F2162" s="1100">
        <v>1.020683452957635</v>
      </c>
      <c r="G2162" s="1100">
        <v>0.99195853539997503</v>
      </c>
      <c r="H2162" s="1100">
        <v>0.98121557850034835</v>
      </c>
      <c r="I2162" s="1100">
        <v>1.0136598343836014</v>
      </c>
      <c r="K2162">
        <v>2.2664985765131829</v>
      </c>
      <c r="L2162">
        <v>0</v>
      </c>
      <c r="M2162">
        <v>1.4649838810270235E-3</v>
      </c>
      <c r="N2162">
        <v>0.14536468860347471</v>
      </c>
      <c r="O2162">
        <v>2.0271574129167736E-2</v>
      </c>
      <c r="P2162">
        <v>2.7226237179716683E-2</v>
      </c>
      <c r="Q2162">
        <v>5.8192937839531313E-3</v>
      </c>
      <c r="R2162">
        <v>1.4439991992185504E-3</v>
      </c>
      <c r="S2162">
        <v>0.24991553053742382</v>
      </c>
      <c r="T2162">
        <v>1.3717158202801134</v>
      </c>
      <c r="U2162">
        <v>0.14635449383247684</v>
      </c>
      <c r="V2162">
        <v>0.18530417453617468</v>
      </c>
      <c r="W2162">
        <v>9.3880039755533953E-2</v>
      </c>
      <c r="X2162">
        <v>1.6737618750891615E-2</v>
      </c>
      <c r="Y2162">
        <v>3.9300898060648046E-3</v>
      </c>
    </row>
    <row r="2163" spans="1:25" x14ac:dyDescent="0.25">
      <c r="A2163" s="1096"/>
      <c r="B2163" s="1455">
        <v>1913</v>
      </c>
      <c r="C2163" s="1100">
        <v>1.029131460926126</v>
      </c>
      <c r="D2163" s="1100">
        <v>1.0283081051413729</v>
      </c>
      <c r="E2163" s="1100">
        <v>0.9811007344413557</v>
      </c>
      <c r="F2163" s="1100">
        <v>1.0108246060378838</v>
      </c>
      <c r="G2163" s="1100">
        <v>0.9630113278515523</v>
      </c>
      <c r="H2163" s="1100">
        <v>1.0033167419446753</v>
      </c>
      <c r="I2163" s="1100">
        <v>1.0148712754535805</v>
      </c>
      <c r="K2163">
        <v>2.2023233739648176</v>
      </c>
      <c r="L2163">
        <v>0</v>
      </c>
      <c r="M2163">
        <v>1.5584720146004526E-3</v>
      </c>
      <c r="N2163">
        <v>0.13384757384510731</v>
      </c>
      <c r="O2163">
        <v>1.9064193604385802E-2</v>
      </c>
      <c r="P2163">
        <v>2.5704912397762375E-2</v>
      </c>
      <c r="Q2163">
        <v>5.2160199301735412E-3</v>
      </c>
      <c r="R2163">
        <v>1.5366399440660595E-3</v>
      </c>
      <c r="S2163">
        <v>0.23500729877584825</v>
      </c>
      <c r="T2163">
        <v>1.3583839770352446</v>
      </c>
      <c r="U2163">
        <v>0.13868886937154962</v>
      </c>
      <c r="V2163">
        <v>0.17884999378578373</v>
      </c>
      <c r="W2163">
        <v>8.8929500158359001E-2</v>
      </c>
      <c r="X2163">
        <v>1.4470639756607808E-2</v>
      </c>
      <c r="Y2163">
        <v>4.1822273745263918E-3</v>
      </c>
    </row>
    <row r="2164" spans="1:25" x14ac:dyDescent="0.25">
      <c r="A2164" s="1096"/>
      <c r="B2164" s="1455">
        <v>1914</v>
      </c>
      <c r="C2164" s="1100">
        <v>1.0152203939036977</v>
      </c>
      <c r="D2164" s="1100">
        <v>0.96406658096236852</v>
      </c>
      <c r="E2164" s="1100">
        <v>1.0187439876213629</v>
      </c>
      <c r="F2164" s="1100">
        <v>1.0013645666357787</v>
      </c>
      <c r="G2164" s="1100">
        <v>1.0116764945866901</v>
      </c>
      <c r="H2164" s="1100">
        <v>0.99524280110344054</v>
      </c>
      <c r="I2164" s="1100">
        <v>1.0244720893555217</v>
      </c>
      <c r="K2164">
        <v>2.224594893012068</v>
      </c>
      <c r="L2164">
        <v>0</v>
      </c>
      <c r="M2164">
        <v>1.4701227451709657E-3</v>
      </c>
      <c r="N2164">
        <v>0.14145130282298538</v>
      </c>
      <c r="O2164">
        <v>1.962499414226121E-2</v>
      </c>
      <c r="P2164">
        <v>2.6556170667061951E-2</v>
      </c>
      <c r="Q2164">
        <v>5.5765347797069147E-3</v>
      </c>
      <c r="R2164">
        <v>1.4493612546753604E-3</v>
      </c>
      <c r="S2164">
        <v>0.24798449418724064</v>
      </c>
      <c r="T2164">
        <v>1.3457311326990644</v>
      </c>
      <c r="U2164">
        <v>0.14067461922892596</v>
      </c>
      <c r="V2164">
        <v>0.18517324988677944</v>
      </c>
      <c r="W2164">
        <v>9.1901954281066997E-2</v>
      </c>
      <c r="X2164">
        <v>1.5996518254053134E-2</v>
      </c>
      <c r="Y2164">
        <v>3.9446835534171351E-3</v>
      </c>
    </row>
    <row r="2165" spans="1:25" x14ac:dyDescent="0.25">
      <c r="A2165" s="1096"/>
      <c r="B2165" s="1455">
        <v>1915</v>
      </c>
      <c r="C2165" s="1100">
        <v>0.99509448330819816</v>
      </c>
      <c r="D2165" s="1100">
        <v>0.99006149140506883</v>
      </c>
      <c r="E2165" s="1100">
        <v>1.0359974310684781</v>
      </c>
      <c r="F2165" s="1100">
        <v>0.95178140306578085</v>
      </c>
      <c r="G2165" s="1100">
        <v>0.97724596860881063</v>
      </c>
      <c r="H2165" s="1100">
        <v>1.0037781273024897</v>
      </c>
      <c r="I2165" s="1100">
        <v>0.99823312518398633</v>
      </c>
      <c r="K2165">
        <v>2.1627551809425039</v>
      </c>
      <c r="L2165">
        <v>0</v>
      </c>
      <c r="M2165">
        <v>1.4508028252497953E-3</v>
      </c>
      <c r="N2165">
        <v>0.14706435464533935</v>
      </c>
      <c r="O2165">
        <v>1.9915956333842379E-2</v>
      </c>
      <c r="P2165">
        <v>2.5906595641976737E-2</v>
      </c>
      <c r="Q2165">
        <v>5.7567206126645431E-3</v>
      </c>
      <c r="R2165">
        <v>1.4304883952261905E-3</v>
      </c>
      <c r="S2165">
        <v>0.24407021394237227</v>
      </c>
      <c r="T2165">
        <v>1.279132246686536</v>
      </c>
      <c r="U2165">
        <v>0.14355986482105401</v>
      </c>
      <c r="V2165">
        <v>0.18247986720010628</v>
      </c>
      <c r="W2165">
        <v>9.459466450422481E-2</v>
      </c>
      <c r="X2165">
        <v>1.6401693132975112E-2</v>
      </c>
      <c r="Y2165">
        <v>3.8933178514329383E-3</v>
      </c>
    </row>
    <row r="2166" spans="1:25" x14ac:dyDescent="0.25">
      <c r="A2166" s="1096"/>
      <c r="B2166" s="1455">
        <v>1916</v>
      </c>
      <c r="C2166" s="1100">
        <v>0.99410582724443186</v>
      </c>
      <c r="D2166" s="1100">
        <v>1.0187479696538215</v>
      </c>
      <c r="E2166" s="1100">
        <v>0.99641300390178911</v>
      </c>
      <c r="F2166" s="1100">
        <v>0.99864607009542372</v>
      </c>
      <c r="G2166" s="1100">
        <v>1.0057763003621287</v>
      </c>
      <c r="H2166" s="1100">
        <v>1.0253498211661154</v>
      </c>
      <c r="I2166" s="1100">
        <v>0.96766259533295884</v>
      </c>
      <c r="K2166">
        <v>2.2158109249271387</v>
      </c>
      <c r="L2166">
        <v>0</v>
      </c>
      <c r="M2166">
        <v>1.6006402585192325E-3</v>
      </c>
      <c r="N2166">
        <v>0.14402755679009757</v>
      </c>
      <c r="O2166">
        <v>1.9786050544557038E-2</v>
      </c>
      <c r="P2166">
        <v>2.5939390365781669E-2</v>
      </c>
      <c r="Q2166">
        <v>5.4980186802686248E-3</v>
      </c>
      <c r="R2166">
        <v>1.5786992971520365E-3</v>
      </c>
      <c r="S2166">
        <v>0.23487040090993599</v>
      </c>
      <c r="T2166">
        <v>1.3420385974512661</v>
      </c>
      <c r="U2166">
        <v>0.14361073579645339</v>
      </c>
      <c r="V2166">
        <v>0.18572784337605372</v>
      </c>
      <c r="W2166">
        <v>9.4818529526847065E-2</v>
      </c>
      <c r="X2166">
        <v>1.5219043378477648E-2</v>
      </c>
      <c r="Y2166">
        <v>4.2966990687644032E-3</v>
      </c>
    </row>
    <row r="2167" spans="1:25" x14ac:dyDescent="0.25">
      <c r="A2167" s="1096"/>
      <c r="B2167" s="1455">
        <v>1917</v>
      </c>
      <c r="C2167" s="1100">
        <v>1.010695274540252</v>
      </c>
      <c r="D2167" s="1100">
        <v>0.98048253280291375</v>
      </c>
      <c r="E2167" s="1100">
        <v>0.98113151123315245</v>
      </c>
      <c r="F2167" s="1100">
        <v>0.99376376456305304</v>
      </c>
      <c r="G2167" s="1100">
        <v>0.97945911328881297</v>
      </c>
      <c r="H2167" s="1100">
        <v>1.0349338338280119</v>
      </c>
      <c r="I2167" s="1100">
        <v>0.97285225078029836</v>
      </c>
      <c r="K2167">
        <v>2.2018176346892795</v>
      </c>
      <c r="L2167">
        <v>0</v>
      </c>
      <c r="M2167">
        <v>1.6540432367949207E-3</v>
      </c>
      <c r="N2167">
        <v>0.1421304898347156</v>
      </c>
      <c r="O2167">
        <v>1.9616423491085978E-2</v>
      </c>
      <c r="P2167">
        <v>2.5501688901777068E-2</v>
      </c>
      <c r="Q2167">
        <v>5.3672794550691967E-3</v>
      </c>
      <c r="R2167">
        <v>1.6315802113162931E-3</v>
      </c>
      <c r="S2167">
        <v>0.23733850494381348</v>
      </c>
      <c r="T2167">
        <v>1.3354570151215774</v>
      </c>
      <c r="U2167">
        <v>0.14121877581613013</v>
      </c>
      <c r="V2167">
        <v>0.18176048651785456</v>
      </c>
      <c r="W2167">
        <v>9.4430988728763585E-2</v>
      </c>
      <c r="X2167">
        <v>1.4577821419038055E-2</v>
      </c>
      <c r="Y2167">
        <v>4.4406234849308397E-3</v>
      </c>
    </row>
    <row r="2168" spans="1:25" x14ac:dyDescent="0.25">
      <c r="A2168" s="1096"/>
      <c r="B2168" s="1455">
        <v>1918</v>
      </c>
      <c r="C2168" s="1100">
        <v>1.0034054795417975</v>
      </c>
      <c r="D2168" s="1100">
        <v>1.0260973811501859</v>
      </c>
      <c r="E2168" s="1100">
        <v>1.0129300967121428</v>
      </c>
      <c r="F2168" s="1100">
        <v>0.98653276791786637</v>
      </c>
      <c r="G2168" s="1100">
        <v>0.99267633139906752</v>
      </c>
      <c r="H2168" s="1100">
        <v>1.0253484728946194</v>
      </c>
      <c r="I2168" s="1100">
        <v>1.0001349924019227</v>
      </c>
      <c r="K2168">
        <v>2.2015722575054006</v>
      </c>
      <c r="L2168">
        <v>0</v>
      </c>
      <c r="M2168">
        <v>1.5299322775631241E-3</v>
      </c>
      <c r="N2168">
        <v>0.1447067057199779</v>
      </c>
      <c r="O2168">
        <v>1.9581928170998613E-2</v>
      </c>
      <c r="P2168">
        <v>2.6057562518710619E-2</v>
      </c>
      <c r="Q2168">
        <v>5.5321559538777359E-3</v>
      </c>
      <c r="R2168">
        <v>1.5089605264417107E-3</v>
      </c>
      <c r="S2168">
        <v>0.23977575254959405</v>
      </c>
      <c r="T2168">
        <v>1.3257876272953035</v>
      </c>
      <c r="U2168">
        <v>0.14231766449290062</v>
      </c>
      <c r="V2168">
        <v>0.1837086453290008</v>
      </c>
      <c r="W2168">
        <v>9.4338403630569195E-2</v>
      </c>
      <c r="X2168">
        <v>1.5679890471318493E-2</v>
      </c>
      <c r="Y2168">
        <v>4.1068931242704805E-3</v>
      </c>
    </row>
    <row r="2169" spans="1:25" x14ac:dyDescent="0.25">
      <c r="A2169" s="1096"/>
      <c r="B2169" s="1455">
        <v>1919</v>
      </c>
      <c r="C2169" s="1100">
        <v>0.98683728849061969</v>
      </c>
      <c r="D2169" s="1100">
        <v>1.0085204702840596</v>
      </c>
      <c r="E2169" s="1100">
        <v>0.95938949921401584</v>
      </c>
      <c r="F2169" s="1100">
        <v>0.98152353222494237</v>
      </c>
      <c r="G2169" s="1100">
        <v>0.97738525491432926</v>
      </c>
      <c r="H2169" s="1100">
        <v>1.0107554166335775</v>
      </c>
      <c r="I2169" s="1100">
        <v>0.99370433953434045</v>
      </c>
      <c r="K2169">
        <v>2.1894013629148406</v>
      </c>
      <c r="L2169">
        <v>0</v>
      </c>
      <c r="M2169">
        <v>1.7197109842752938E-3</v>
      </c>
      <c r="N2169">
        <v>0.13831290943067884</v>
      </c>
      <c r="O2169">
        <v>1.9952769754265205E-2</v>
      </c>
      <c r="P2169">
        <v>2.4993861052774423E-2</v>
      </c>
      <c r="Q2169">
        <v>5.3393451105834041E-3</v>
      </c>
      <c r="R2169">
        <v>1.6957974721471909E-3</v>
      </c>
      <c r="S2169">
        <v>0.24272447764320906</v>
      </c>
      <c r="T2169">
        <v>1.3189881046497203</v>
      </c>
      <c r="U2169">
        <v>0.14458243184324987</v>
      </c>
      <c r="V2169">
        <v>0.18292622855290053</v>
      </c>
      <c r="W2169">
        <v>9.3118480679254156E-2</v>
      </c>
      <c r="X2169">
        <v>1.387126601063271E-2</v>
      </c>
      <c r="Y2169">
        <v>4.6154016996982003E-3</v>
      </c>
    </row>
    <row r="2170" spans="1:25" x14ac:dyDescent="0.25">
      <c r="A2170" s="1096"/>
      <c r="B2170" s="1455">
        <v>1920</v>
      </c>
      <c r="C2170" s="1100">
        <v>1.0125507928382083</v>
      </c>
      <c r="D2170" s="1100">
        <v>1.0161620300451766</v>
      </c>
      <c r="E2170" s="1100">
        <v>1.0368189807740911</v>
      </c>
      <c r="F2170" s="1100">
        <v>1.0240797243755611</v>
      </c>
      <c r="G2170" s="1100">
        <v>1.0148708175516112</v>
      </c>
      <c r="H2170" s="1100">
        <v>0.97719703834853688</v>
      </c>
      <c r="I2170" s="1100">
        <v>0.98606603858787789</v>
      </c>
      <c r="K2170">
        <v>2.2373603708264569</v>
      </c>
      <c r="L2170">
        <v>0</v>
      </c>
      <c r="M2170">
        <v>1.3777484976751492E-3</v>
      </c>
      <c r="N2170">
        <v>0.13995108123057953</v>
      </c>
      <c r="O2170">
        <v>1.9461388542575227E-2</v>
      </c>
      <c r="P2170">
        <v>2.7122735449423441E-2</v>
      </c>
      <c r="Q2170">
        <v>5.6298825381468163E-3</v>
      </c>
      <c r="R2170">
        <v>1.3579322336061644E-3</v>
      </c>
      <c r="S2170">
        <v>0.23182521198289482</v>
      </c>
      <c r="T2170">
        <v>1.3762984789353689</v>
      </c>
      <c r="U2170">
        <v>0.14108678031888158</v>
      </c>
      <c r="V2170">
        <v>0.18570487276965558</v>
      </c>
      <c r="W2170">
        <v>8.9976564201365739E-2</v>
      </c>
      <c r="X2170">
        <v>1.6627347223998844E-2</v>
      </c>
      <c r="Y2170">
        <v>3.6958438976354775E-3</v>
      </c>
    </row>
    <row r="2171" spans="1:25" x14ac:dyDescent="0.25">
      <c r="A2171" s="1096"/>
      <c r="B2171" s="1455">
        <v>1921</v>
      </c>
      <c r="C2171" s="1100">
        <v>0.98601857236441859</v>
      </c>
      <c r="D2171" s="1100">
        <v>0.98796205397173242</v>
      </c>
      <c r="E2171" s="1100">
        <v>0.98463087506129243</v>
      </c>
      <c r="F2171" s="1100">
        <v>0.98689288833801514</v>
      </c>
      <c r="G2171" s="1100">
        <v>1.0256172589726043</v>
      </c>
      <c r="H2171" s="1100">
        <v>1.0276908022275848</v>
      </c>
      <c r="I2171" s="1100">
        <v>1.0036238259178583</v>
      </c>
      <c r="K2171">
        <v>2.220550454625958</v>
      </c>
      <c r="L2171">
        <v>0</v>
      </c>
      <c r="M2171">
        <v>1.6686368292661757E-3</v>
      </c>
      <c r="N2171">
        <v>0.14489632244610109</v>
      </c>
      <c r="O2171">
        <v>2.0075983823787495E-2</v>
      </c>
      <c r="P2171">
        <v>2.5746451244367408E-2</v>
      </c>
      <c r="Q2171">
        <v>5.5125611294651626E-3</v>
      </c>
      <c r="R2171">
        <v>1.6458158996187041E-3</v>
      </c>
      <c r="S2171">
        <v>0.24946164036011345</v>
      </c>
      <c r="T2171">
        <v>1.3262278798772633</v>
      </c>
      <c r="U2171">
        <v>0.14476115151606284</v>
      </c>
      <c r="V2171">
        <v>0.18844979330105793</v>
      </c>
      <c r="W2171">
        <v>9.6065860281476845E-2</v>
      </c>
      <c r="X2171">
        <v>1.4896263240213625E-2</v>
      </c>
      <c r="Y2171">
        <v>4.4793683356966147E-3</v>
      </c>
    </row>
    <row r="2172" spans="1:25" x14ac:dyDescent="0.25">
      <c r="A2172" s="1096"/>
      <c r="B2172" s="1455">
        <v>1922</v>
      </c>
      <c r="C2172" s="1100">
        <v>0.99997860695581375</v>
      </c>
      <c r="D2172" s="1100">
        <v>0.98989075450153441</v>
      </c>
      <c r="E2172" s="1100">
        <v>0.98446494186556566</v>
      </c>
      <c r="F2172" s="1100">
        <v>1.0205215804622101</v>
      </c>
      <c r="G2172" s="1100">
        <v>1.007746363730943</v>
      </c>
      <c r="H2172" s="1100">
        <v>0.98280068641339557</v>
      </c>
      <c r="I2172" s="1100">
        <v>0.99908656335335244</v>
      </c>
      <c r="K2172">
        <v>2.2382464385240128</v>
      </c>
      <c r="L2172">
        <v>0</v>
      </c>
      <c r="M2172">
        <v>1.5733377835936454E-3</v>
      </c>
      <c r="N2172">
        <v>0.13646598023504566</v>
      </c>
      <c r="O2172">
        <v>1.978712092970325E-2</v>
      </c>
      <c r="P2172">
        <v>2.6173011463883789E-2</v>
      </c>
      <c r="Q2172">
        <v>5.432329805575742E-3</v>
      </c>
      <c r="R2172">
        <v>1.5508373701611418E-3</v>
      </c>
      <c r="S2172">
        <v>0.24102789467256269</v>
      </c>
      <c r="T2172">
        <v>1.3714193083803119</v>
      </c>
      <c r="U2172">
        <v>0.14273985650422319</v>
      </c>
      <c r="V2172">
        <v>0.18558979839599588</v>
      </c>
      <c r="W2172">
        <v>9.0485599841015577E-2</v>
      </c>
      <c r="X2172">
        <v>1.4927170620946707E-2</v>
      </c>
      <c r="Y2172">
        <v>4.220868088176951E-3</v>
      </c>
    </row>
    <row r="2173" spans="1:25" x14ac:dyDescent="0.25">
      <c r="A2173" s="1096"/>
      <c r="B2173" s="1455">
        <v>1923</v>
      </c>
      <c r="C2173" s="1100">
        <v>0.95742042273388772</v>
      </c>
      <c r="D2173" s="1100">
        <v>0.97574355439197169</v>
      </c>
      <c r="E2173" s="1100">
        <v>1.0208134582204158</v>
      </c>
      <c r="F2173" s="1100">
        <v>1.0217196358619061</v>
      </c>
      <c r="G2173" s="1100">
        <v>0.99580950444957717</v>
      </c>
      <c r="H2173" s="1100">
        <v>1.0096611816895598</v>
      </c>
      <c r="I2173" s="1100">
        <v>0.98087144606926757</v>
      </c>
      <c r="K2173">
        <v>2.286113969653774</v>
      </c>
      <c r="L2173">
        <v>0</v>
      </c>
      <c r="M2173">
        <v>1.5704987615421527E-3</v>
      </c>
      <c r="N2173">
        <v>0.15208668416996382</v>
      </c>
      <c r="O2173">
        <v>2.0756081528188634E-2</v>
      </c>
      <c r="P2173">
        <v>2.7165399078630956E-2</v>
      </c>
      <c r="Q2173">
        <v>5.9100867097002891E-3</v>
      </c>
      <c r="R2173">
        <v>1.5486364582030503E-3</v>
      </c>
      <c r="S2173">
        <v>0.25145144517379941</v>
      </c>
      <c r="T2173">
        <v>1.3730905223770551</v>
      </c>
      <c r="U2173">
        <v>0.1491722110019548</v>
      </c>
      <c r="V2173">
        <v>0.1869105596248708</v>
      </c>
      <c r="W2173">
        <v>9.8692255090608083E-2</v>
      </c>
      <c r="X2173">
        <v>1.6685709270980245E-2</v>
      </c>
      <c r="Y2173">
        <v>4.214877931357457E-3</v>
      </c>
    </row>
    <row r="2174" spans="1:25" x14ac:dyDescent="0.25">
      <c r="A2174" s="1096"/>
      <c r="B2174" s="1455">
        <v>1924</v>
      </c>
      <c r="C2174" s="1100">
        <v>1.0370065523626981</v>
      </c>
      <c r="D2174" s="1100">
        <v>0.99542538772354683</v>
      </c>
      <c r="E2174" s="1100">
        <v>1.0194768564083849</v>
      </c>
      <c r="F2174" s="1100">
        <v>0.98322704434650376</v>
      </c>
      <c r="G2174" s="1100">
        <v>1.0290175262482057</v>
      </c>
      <c r="H2174" s="1100">
        <v>0.99243021383443097</v>
      </c>
      <c r="I2174" s="1100">
        <v>0.97047523538096492</v>
      </c>
      <c r="K2174">
        <v>2.1672043224813149</v>
      </c>
      <c r="L2174">
        <v>0</v>
      </c>
      <c r="M2174">
        <v>1.4229277382936717E-3</v>
      </c>
      <c r="N2174">
        <v>0.13720780494290527</v>
      </c>
      <c r="O2174">
        <v>1.9078318164014604E-2</v>
      </c>
      <c r="P2174">
        <v>2.5899444648501961E-2</v>
      </c>
      <c r="Q2174">
        <v>5.4251473516437627E-3</v>
      </c>
      <c r="R2174">
        <v>1.402775799064628E-3</v>
      </c>
      <c r="S2174">
        <v>0.22610838079787096</v>
      </c>
      <c r="T2174">
        <v>1.321357609485819</v>
      </c>
      <c r="U2174">
        <v>0.13772086034208458</v>
      </c>
      <c r="V2174">
        <v>0.18590595799442403</v>
      </c>
      <c r="W2174">
        <v>8.9106681468096485E-2</v>
      </c>
      <c r="X2174">
        <v>1.5596375925045607E-2</v>
      </c>
      <c r="Y2174">
        <v>3.8178933001360355E-3</v>
      </c>
    </row>
    <row r="2175" spans="1:25" x14ac:dyDescent="0.25">
      <c r="A2175" s="1096"/>
      <c r="B2175" s="1455">
        <v>1925</v>
      </c>
      <c r="C2175" s="1100">
        <v>0.999555295821143</v>
      </c>
      <c r="D2175" s="1100">
        <v>0.99935953534237421</v>
      </c>
      <c r="E2175" s="1100">
        <v>0.98207488493747508</v>
      </c>
      <c r="F2175" s="1100">
        <v>1.0057540989603737</v>
      </c>
      <c r="G2175" s="1100">
        <v>1.0061236409416277</v>
      </c>
      <c r="H2175" s="1100">
        <v>1.0146117737589924</v>
      </c>
      <c r="I2175" s="1100">
        <v>1.0077475788476327</v>
      </c>
      <c r="K2175">
        <v>2.2282152247798357</v>
      </c>
      <c r="L2175">
        <v>0</v>
      </c>
      <c r="M2175">
        <v>1.6295893242201567E-3</v>
      </c>
      <c r="N2175">
        <v>0.14039067496220684</v>
      </c>
      <c r="O2175">
        <v>1.9752594484316204E-2</v>
      </c>
      <c r="P2175">
        <v>2.5905410248087214E-2</v>
      </c>
      <c r="Q2175">
        <v>5.4097173718603659E-3</v>
      </c>
      <c r="R2175">
        <v>1.6070151303714036E-3</v>
      </c>
      <c r="S2175">
        <v>0.24461377482596741</v>
      </c>
      <c r="T2175">
        <v>1.3515712049741053</v>
      </c>
      <c r="U2175">
        <v>0.14279481638192493</v>
      </c>
      <c r="V2175">
        <v>0.18542945261139424</v>
      </c>
      <c r="W2175">
        <v>9.3222012135155047E-2</v>
      </c>
      <c r="X2175">
        <v>1.4774375546193168E-2</v>
      </c>
      <c r="Y2175">
        <v>4.3737654324756074E-3</v>
      </c>
    </row>
    <row r="2176" spans="1:25" x14ac:dyDescent="0.25">
      <c r="A2176" s="1096"/>
      <c r="B2176" s="1455">
        <v>1926</v>
      </c>
      <c r="C2176" s="1100">
        <v>1.00324644263871</v>
      </c>
      <c r="D2176" s="1100">
        <v>1.0032948694766373</v>
      </c>
      <c r="E2176" s="1100">
        <v>0.97401454617255179</v>
      </c>
      <c r="F2176" s="1100">
        <v>1.0060546716162704</v>
      </c>
      <c r="G2176" s="1100">
        <v>1.0157099109646404</v>
      </c>
      <c r="H2176" s="1100">
        <v>1.0056847042505639</v>
      </c>
      <c r="I2176" s="1100">
        <v>0.9909317627910843</v>
      </c>
      <c r="K2176">
        <v>2.2175380258666113</v>
      </c>
      <c r="L2176">
        <v>0</v>
      </c>
      <c r="M2176">
        <v>1.6349329724120647E-3</v>
      </c>
      <c r="N2176">
        <v>0.13743990827069666</v>
      </c>
      <c r="O2176">
        <v>1.9657914844663591E-2</v>
      </c>
      <c r="P2176">
        <v>2.567360180264731E-2</v>
      </c>
      <c r="Q2176">
        <v>5.3398128573512622E-3</v>
      </c>
      <c r="R2176">
        <v>1.612083715302912E-3</v>
      </c>
      <c r="S2176">
        <v>0.23841295518559188</v>
      </c>
      <c r="T2176">
        <v>1.3519661152252893</v>
      </c>
      <c r="U2176">
        <v>0.14225101338317248</v>
      </c>
      <c r="V2176">
        <v>0.18628807609015399</v>
      </c>
      <c r="W2176">
        <v>9.1708601579701149E-2</v>
      </c>
      <c r="X2176">
        <v>1.4435315434650335E-2</v>
      </c>
      <c r="Y2176">
        <v>4.3875604498006E-3</v>
      </c>
    </row>
    <row r="2177" spans="1:25" x14ac:dyDescent="0.25">
      <c r="A2177" s="1096"/>
      <c r="B2177" s="1455">
        <v>1927</v>
      </c>
      <c r="C2177" s="1100">
        <v>1.0201259098788145</v>
      </c>
      <c r="D2177" s="1100">
        <v>0.96295480741803097</v>
      </c>
      <c r="E2177" s="1100">
        <v>0.95728686024977305</v>
      </c>
      <c r="F2177" s="1100">
        <v>0.99330363198318561</v>
      </c>
      <c r="G2177" s="1100">
        <v>1.0158113841410954</v>
      </c>
      <c r="H2177" s="1100">
        <v>0.98930103325684315</v>
      </c>
      <c r="I2177" s="1100">
        <v>1.0337715443958344</v>
      </c>
      <c r="K2177">
        <v>2.1972431578311364</v>
      </c>
      <c r="L2177">
        <v>0</v>
      </c>
      <c r="M2177">
        <v>1.6520704731941608E-3</v>
      </c>
      <c r="N2177">
        <v>0.13198836602695355</v>
      </c>
      <c r="O2177">
        <v>1.9497709007269298E-2</v>
      </c>
      <c r="P2177">
        <v>2.5203761899925608E-2</v>
      </c>
      <c r="Q2177">
        <v>5.2062972545784307E-3</v>
      </c>
      <c r="R2177">
        <v>1.6285993386200024E-3</v>
      </c>
      <c r="S2177">
        <v>0.24820810098602913</v>
      </c>
      <c r="T2177">
        <v>1.3348169991398604</v>
      </c>
      <c r="U2177">
        <v>0.13985972318576576</v>
      </c>
      <c r="V2177">
        <v>0.18530820646155707</v>
      </c>
      <c r="W2177">
        <v>8.8975364668535867E-2</v>
      </c>
      <c r="X2177">
        <v>1.3769589803137371E-2</v>
      </c>
      <c r="Y2177">
        <v>4.4325105320959556E-3</v>
      </c>
    </row>
    <row r="2178" spans="1:25" x14ac:dyDescent="0.25">
      <c r="A2178" s="1096"/>
      <c r="B2178" s="1455">
        <v>1928</v>
      </c>
      <c r="C2178" s="1100">
        <v>1.0027962418372378</v>
      </c>
      <c r="D2178" s="1100">
        <v>1.0148772515290827</v>
      </c>
      <c r="E2178" s="1100">
        <v>0.95919313709371046</v>
      </c>
      <c r="F2178" s="1100">
        <v>0.99385415383307163</v>
      </c>
      <c r="G2178" s="1100">
        <v>1.0138238904487342</v>
      </c>
      <c r="H2178" s="1100">
        <v>1.0031098063697215</v>
      </c>
      <c r="I2178" s="1100">
        <v>1.0166006992205296</v>
      </c>
      <c r="K2178">
        <v>2.2009835614017068</v>
      </c>
      <c r="L2178">
        <v>0</v>
      </c>
      <c r="M2178">
        <v>1.677900213690163E-3</v>
      </c>
      <c r="N2178">
        <v>0.13485538121616872</v>
      </c>
      <c r="O2178">
        <v>1.9607987720917684E-2</v>
      </c>
      <c r="P2178">
        <v>2.5224059739053381E-2</v>
      </c>
      <c r="Q2178">
        <v>5.2460224299646346E-3</v>
      </c>
      <c r="R2178">
        <v>1.6543902677672471E-3</v>
      </c>
      <c r="S2178">
        <v>0.24298485859902455</v>
      </c>
      <c r="T2178">
        <v>1.3355580693442968</v>
      </c>
      <c r="U2178">
        <v>0.1422810337722219</v>
      </c>
      <c r="V2178">
        <v>0.18608933001342157</v>
      </c>
      <c r="W2178">
        <v>9.0801661005449258E-2</v>
      </c>
      <c r="X2178">
        <v>1.3855962567852362E-2</v>
      </c>
      <c r="Y2178">
        <v>4.502704939257249E-3</v>
      </c>
    </row>
    <row r="2179" spans="1:25" x14ac:dyDescent="0.25">
      <c r="A2179" s="1096"/>
      <c r="B2179" s="1455">
        <v>1929</v>
      </c>
      <c r="C2179" s="1100">
        <v>1.0389406259578664</v>
      </c>
      <c r="D2179" s="1100">
        <v>1.0036724245441397</v>
      </c>
      <c r="E2179" s="1100">
        <v>0.99718498278154999</v>
      </c>
      <c r="F2179" s="1100">
        <v>1.0203137888971741</v>
      </c>
      <c r="G2179" s="1100">
        <v>1.0131185869806372</v>
      </c>
      <c r="H2179" s="1100">
        <v>1.0291243809014363</v>
      </c>
      <c r="I2179" s="1100">
        <v>1.0021276946016973</v>
      </c>
      <c r="K2179">
        <v>2.2273189638657538</v>
      </c>
      <c r="L2179">
        <v>0</v>
      </c>
      <c r="M2179">
        <v>1.5397874766663096E-3</v>
      </c>
      <c r="N2179">
        <v>0.13888262864470136</v>
      </c>
      <c r="O2179">
        <v>1.8994858013138924E-2</v>
      </c>
      <c r="P2179">
        <v>2.6241171870095375E-2</v>
      </c>
      <c r="Q2179">
        <v>5.282271857799046E-3</v>
      </c>
      <c r="R2179">
        <v>1.5187580761306559E-3</v>
      </c>
      <c r="S2179">
        <v>0.23475998942997209</v>
      </c>
      <c r="T2179">
        <v>1.3711581357980522</v>
      </c>
      <c r="U2179">
        <v>0.13741501890296789</v>
      </c>
      <c r="V2179">
        <v>0.18398331987471173</v>
      </c>
      <c r="W2179">
        <v>9.1389390706240886E-2</v>
      </c>
      <c r="X2179">
        <v>1.5099649343846751E-2</v>
      </c>
      <c r="Y2179">
        <v>4.1335588247624032E-3</v>
      </c>
    </row>
    <row r="2180" spans="1:25" x14ac:dyDescent="0.25">
      <c r="A2180" s="1096"/>
      <c r="B2180" s="1455">
        <v>1930</v>
      </c>
      <c r="C2180" s="1100">
        <v>0.99078725486374153</v>
      </c>
      <c r="D2180" s="1100">
        <v>0.98014905094128679</v>
      </c>
      <c r="E2180" s="1100">
        <v>1.00442573839247</v>
      </c>
      <c r="F2180" s="1100">
        <v>1.005791649155092</v>
      </c>
      <c r="G2180" s="1100">
        <v>1.0185450690877562</v>
      </c>
      <c r="H2180" s="1100">
        <v>0.99134504284595681</v>
      </c>
      <c r="I2180" s="1100">
        <v>0.98660993628742111</v>
      </c>
      <c r="K2180">
        <v>2.2320464953175052</v>
      </c>
      <c r="L2180">
        <v>0</v>
      </c>
      <c r="M2180">
        <v>1.5401759087297125E-3</v>
      </c>
      <c r="N2180">
        <v>0.14191498524066171</v>
      </c>
      <c r="O2180">
        <v>2.0026811044565912E-2</v>
      </c>
      <c r="P2180">
        <v>2.6356983992088249E-2</v>
      </c>
      <c r="Q2180">
        <v>5.6099113583037456E-3</v>
      </c>
      <c r="R2180">
        <v>1.5183395880508932E-3</v>
      </c>
      <c r="S2180">
        <v>0.24225944369941074</v>
      </c>
      <c r="T2180">
        <v>1.3516541454652287</v>
      </c>
      <c r="U2180">
        <v>0.14411037047039835</v>
      </c>
      <c r="V2180">
        <v>0.18737813770099385</v>
      </c>
      <c r="W2180">
        <v>9.2984017192039012E-2</v>
      </c>
      <c r="X2180">
        <v>1.5641105636327562E-2</v>
      </c>
      <c r="Y2180">
        <v>4.1324198381638474E-3</v>
      </c>
    </row>
    <row r="2181" spans="1:25" x14ac:dyDescent="0.25">
      <c r="A2181" s="1096"/>
      <c r="B2181" s="1455">
        <v>1931</v>
      </c>
      <c r="C2181" s="1100">
        <v>1.0284305222764203</v>
      </c>
      <c r="D2181" s="1100">
        <v>1.0066328861834182</v>
      </c>
      <c r="E2181" s="1100">
        <v>1.0166119720425022</v>
      </c>
      <c r="F2181" s="1100">
        <v>1.023241261714416</v>
      </c>
      <c r="G2181" s="1100">
        <v>1.0043040456668</v>
      </c>
      <c r="H2181" s="1100">
        <v>0.99452902289712874</v>
      </c>
      <c r="I2181" s="1100">
        <v>0.97220784196103815</v>
      </c>
      <c r="K2181">
        <v>2.2233730510517251</v>
      </c>
      <c r="L2181">
        <v>0</v>
      </c>
      <c r="M2181">
        <v>1.4428631693322801E-3</v>
      </c>
      <c r="N2181">
        <v>0.13793683402086931</v>
      </c>
      <c r="O2181">
        <v>1.918834274280137E-2</v>
      </c>
      <c r="P2181">
        <v>2.6587459005522413E-2</v>
      </c>
      <c r="Q2181">
        <v>5.4408990550758145E-3</v>
      </c>
      <c r="R2181">
        <v>1.4224720219730581E-3</v>
      </c>
      <c r="S2181">
        <v>0.22726599221336871</v>
      </c>
      <c r="T2181">
        <v>1.375126859352696</v>
      </c>
      <c r="U2181">
        <v>0.13886287637957986</v>
      </c>
      <c r="V2181">
        <v>0.18358723798856302</v>
      </c>
      <c r="W2181">
        <v>8.9730637374771452E-2</v>
      </c>
      <c r="X2181">
        <v>1.5794804139800729E-2</v>
      </c>
      <c r="Y2181">
        <v>3.8714999260346448E-3</v>
      </c>
    </row>
    <row r="2182" spans="1:25" x14ac:dyDescent="0.25">
      <c r="A2182" s="1096"/>
      <c r="B2182" s="1455">
        <v>1932</v>
      </c>
      <c r="C2182" s="1100">
        <v>0.98151127717124731</v>
      </c>
      <c r="D2182" s="1100">
        <v>0.99315275332520081</v>
      </c>
      <c r="E2182" s="1100">
        <v>1.0208339900459553</v>
      </c>
      <c r="F2182" s="1100">
        <v>1.0231125342717824</v>
      </c>
      <c r="G2182" s="1100">
        <v>1.018230097282506</v>
      </c>
      <c r="H2182" s="1100">
        <v>0.98806554136934532</v>
      </c>
      <c r="I2182" s="1100">
        <v>1.0254886757410362</v>
      </c>
      <c r="K2182">
        <v>2.2726682213538423</v>
      </c>
      <c r="L2182">
        <v>0</v>
      </c>
      <c r="M2182">
        <v>1.4932992653737126E-3</v>
      </c>
      <c r="N2182">
        <v>0.14457503981766204</v>
      </c>
      <c r="O2182">
        <v>2.0168024710781621E-2</v>
      </c>
      <c r="P2182">
        <v>2.7167737191932224E-2</v>
      </c>
      <c r="Q2182">
        <v>5.7427605744961681E-3</v>
      </c>
      <c r="R2182">
        <v>1.4720572815031959E-3</v>
      </c>
      <c r="S2182">
        <v>0.25236821123205322</v>
      </c>
      <c r="T2182">
        <v>1.3749624834629457</v>
      </c>
      <c r="U2182">
        <v>0.1455108790498906</v>
      </c>
      <c r="V2182">
        <v>0.1879234378932251</v>
      </c>
      <c r="W2182">
        <v>9.3816664515111961E-2</v>
      </c>
      <c r="X2182">
        <v>1.6447770232915923E-2</v>
      </c>
      <c r="Y2182">
        <v>4.0064546566992692E-3</v>
      </c>
    </row>
    <row r="2183" spans="1:25" x14ac:dyDescent="0.25">
      <c r="A2183" s="1096"/>
      <c r="B2183" s="1455">
        <v>1933</v>
      </c>
      <c r="C2183" s="1100">
        <v>1.0179989136050573</v>
      </c>
      <c r="D2183" s="1100">
        <v>0.98615981993214596</v>
      </c>
      <c r="E2183" s="1100">
        <v>0.99714950937219882</v>
      </c>
      <c r="F2183" s="1100">
        <v>0.97625849697106193</v>
      </c>
      <c r="G2183" s="1100">
        <v>1.004497366238714</v>
      </c>
      <c r="H2183" s="1100">
        <v>1.0088603211439229</v>
      </c>
      <c r="I2183" s="1100">
        <v>0.98852997787382568</v>
      </c>
      <c r="K2183">
        <v>2.1738941959159965</v>
      </c>
      <c r="L2183">
        <v>0</v>
      </c>
      <c r="M2183">
        <v>1.546611181829185E-3</v>
      </c>
      <c r="N2183">
        <v>0.13944435346793604</v>
      </c>
      <c r="O2183">
        <v>1.9460805421651298E-2</v>
      </c>
      <c r="P2183">
        <v>2.5503911296684181E-2</v>
      </c>
      <c r="Q2183">
        <v>5.4116537009138042E-3</v>
      </c>
      <c r="R2183">
        <v>1.5250643172950136E-3</v>
      </c>
      <c r="S2183">
        <v>0.2368319172667015</v>
      </c>
      <c r="T2183">
        <v>1.3119539706806549</v>
      </c>
      <c r="U2183">
        <v>0.14024176471351271</v>
      </c>
      <c r="V2183">
        <v>0.18418335973701294</v>
      </c>
      <c r="W2183">
        <v>9.1760963280351632E-2</v>
      </c>
      <c r="X2183">
        <v>1.4972320880752133E-2</v>
      </c>
      <c r="Y2183">
        <v>4.1507223343599442E-3</v>
      </c>
    </row>
    <row r="2184" spans="1:25" x14ac:dyDescent="0.25">
      <c r="A2184" s="1096"/>
      <c r="B2184" s="1455">
        <v>1934</v>
      </c>
      <c r="C2184" s="1100">
        <v>0.99848754916772076</v>
      </c>
      <c r="D2184" s="1100">
        <v>1.0151203050591475</v>
      </c>
      <c r="E2184" s="1100">
        <v>0.98220421359295795</v>
      </c>
      <c r="F2184" s="1100">
        <v>1.0433049367692246</v>
      </c>
      <c r="G2184" s="1100">
        <v>1.0158446249581472</v>
      </c>
      <c r="H2184" s="1100">
        <v>1.0312011380254718</v>
      </c>
      <c r="I2184" s="1100">
        <v>0.9797165924489637</v>
      </c>
      <c r="K2184">
        <v>2.2770478974753887</v>
      </c>
      <c r="L2184">
        <v>0</v>
      </c>
      <c r="M2184">
        <v>1.6518651138033552E-3</v>
      </c>
      <c r="N2184">
        <v>0.14239761645527418</v>
      </c>
      <c r="O2184">
        <v>1.9705843296455829E-2</v>
      </c>
      <c r="P2184">
        <v>2.6509468229289665E-2</v>
      </c>
      <c r="Q2184">
        <v>5.3976220717224287E-3</v>
      </c>
      <c r="R2184">
        <v>1.6293504651254433E-3</v>
      </c>
      <c r="S2184">
        <v>0.23752225798429699</v>
      </c>
      <c r="T2184">
        <v>1.4020336333298291</v>
      </c>
      <c r="U2184">
        <v>0.14294781337285228</v>
      </c>
      <c r="V2184">
        <v>0.18659188350068598</v>
      </c>
      <c r="W2184">
        <v>9.4547287377046776E-2</v>
      </c>
      <c r="X2184">
        <v>1.4982431655775263E-2</v>
      </c>
      <c r="Y2184">
        <v>4.4345548508349826E-3</v>
      </c>
    </row>
    <row r="2185" spans="1:25" x14ac:dyDescent="0.25">
      <c r="A2185" s="1096"/>
      <c r="B2185" s="1455">
        <v>1935</v>
      </c>
      <c r="C2185" s="1100">
        <v>0.96309096873868871</v>
      </c>
      <c r="D2185" s="1100">
        <v>1.0106209745680641</v>
      </c>
      <c r="E2185" s="1100">
        <v>1.0132228238436041</v>
      </c>
      <c r="F2185" s="1100">
        <v>1.0245873194882076</v>
      </c>
      <c r="G2185" s="1100">
        <v>0.98126964013607321</v>
      </c>
      <c r="H2185" s="1100">
        <v>0.99538369906830348</v>
      </c>
      <c r="I2185" s="1100">
        <v>0.97439977447908532</v>
      </c>
      <c r="K2185">
        <v>2.2689762665232007</v>
      </c>
      <c r="L2185">
        <v>0</v>
      </c>
      <c r="M2185">
        <v>1.5516301986466376E-3</v>
      </c>
      <c r="N2185">
        <v>0.14682724507451519</v>
      </c>
      <c r="O2185">
        <v>2.0470134582231177E-2</v>
      </c>
      <c r="P2185">
        <v>2.6907870418831286E-2</v>
      </c>
      <c r="Q2185">
        <v>5.7847757463237084E-3</v>
      </c>
      <c r="R2185">
        <v>1.5297207385225847E-3</v>
      </c>
      <c r="S2185">
        <v>0.24279622528214967</v>
      </c>
      <c r="T2185">
        <v>1.3769291706078997</v>
      </c>
      <c r="U2185">
        <v>0.14827571260819453</v>
      </c>
      <c r="V2185">
        <v>0.18489495468512912</v>
      </c>
      <c r="W2185">
        <v>9.5704361980507427E-2</v>
      </c>
      <c r="X2185">
        <v>1.6244329419588213E-2</v>
      </c>
      <c r="Y2185">
        <v>4.163395577952549E-3</v>
      </c>
    </row>
    <row r="2186" spans="1:25" x14ac:dyDescent="0.25">
      <c r="A2186" s="1096"/>
      <c r="B2186" s="1455">
        <v>1936</v>
      </c>
      <c r="C2186" s="1100">
        <v>1.0330215557255427</v>
      </c>
      <c r="D2186" s="1100">
        <v>0.98736971428819942</v>
      </c>
      <c r="E2186" s="1100">
        <v>1.0301397571444171</v>
      </c>
      <c r="F2186" s="1100">
        <v>0.98564169632132337</v>
      </c>
      <c r="G2186" s="1100">
        <v>1.0313213237424059</v>
      </c>
      <c r="H2186" s="1100">
        <v>1.021534637827505</v>
      </c>
      <c r="I2186" s="1100">
        <v>0.96202580526164572</v>
      </c>
      <c r="K2186">
        <v>2.1844439547798493</v>
      </c>
      <c r="L2186">
        <v>0</v>
      </c>
      <c r="M2186">
        <v>1.4405962234015223E-3</v>
      </c>
      <c r="N2186">
        <v>0.14350970645093905</v>
      </c>
      <c r="O2186">
        <v>1.919267248344551E-2</v>
      </c>
      <c r="P2186">
        <v>2.6190680124400009E-2</v>
      </c>
      <c r="Q2186">
        <v>5.5156725322836071E-3</v>
      </c>
      <c r="R2186">
        <v>1.4207753333849939E-3</v>
      </c>
      <c r="S2186">
        <v>0.22817794652813114</v>
      </c>
      <c r="T2186">
        <v>1.3246249940238004</v>
      </c>
      <c r="U2186">
        <v>0.13827598808567693</v>
      </c>
      <c r="V2186">
        <v>0.18639652183155747</v>
      </c>
      <c r="W2186">
        <v>9.262189271622244E-2</v>
      </c>
      <c r="X2186">
        <v>1.6090818794397093E-2</v>
      </c>
      <c r="Y2186">
        <v>3.8668820990111759E-3</v>
      </c>
    </row>
    <row r="2187" spans="1:25" x14ac:dyDescent="0.25">
      <c r="A2187" s="1096"/>
      <c r="B2187" s="1455">
        <v>1937</v>
      </c>
      <c r="C2187" s="1100">
        <v>1.0190015792521636</v>
      </c>
      <c r="D2187" s="1100">
        <v>1.0066925693028959</v>
      </c>
      <c r="E2187" s="1100">
        <v>0.99949106507793406</v>
      </c>
      <c r="F2187" s="1100">
        <v>1.0179881135976188</v>
      </c>
      <c r="G2187" s="1100">
        <v>1.0334415837062954</v>
      </c>
      <c r="H2187" s="1100">
        <v>1.0006342928934928</v>
      </c>
      <c r="I2187" s="1100">
        <v>0.98997132784377928</v>
      </c>
      <c r="K2187">
        <v>2.2282553666651435</v>
      </c>
      <c r="L2187">
        <v>0</v>
      </c>
      <c r="M2187">
        <v>1.5181692070742299E-3</v>
      </c>
      <c r="N2187">
        <v>0.13783586884916582</v>
      </c>
      <c r="O2187">
        <v>1.9355148990296202E-2</v>
      </c>
      <c r="P2187">
        <v>2.6315452135352115E-2</v>
      </c>
      <c r="Q2187">
        <v>5.3949676979095492E-3</v>
      </c>
      <c r="R2187">
        <v>1.4968447112102591E-3</v>
      </c>
      <c r="S2187">
        <v>0.23390092995491554</v>
      </c>
      <c r="T2187">
        <v>1.3680364082400276</v>
      </c>
      <c r="U2187">
        <v>0.14010906028830059</v>
      </c>
      <c r="V2187">
        <v>0.18739977454065904</v>
      </c>
      <c r="W2187">
        <v>9.0576194996768472E-2</v>
      </c>
      <c r="X2187">
        <v>1.5278967598424995E-2</v>
      </c>
      <c r="Y2187">
        <v>4.0739178691878881E-3</v>
      </c>
    </row>
    <row r="2188" spans="1:25" x14ac:dyDescent="0.25">
      <c r="A2188" s="1096"/>
      <c r="B2188" s="1455">
        <v>1938</v>
      </c>
      <c r="C2188" s="1100">
        <v>1.017305892627292</v>
      </c>
      <c r="D2188" s="1100">
        <v>1.021865103848671</v>
      </c>
      <c r="E2188" s="1100">
        <v>0.9751122196289651</v>
      </c>
      <c r="F2188" s="1100">
        <v>1.0316036005384801</v>
      </c>
      <c r="G2188" s="1100">
        <v>0.97874502498870042</v>
      </c>
      <c r="H2188" s="1100">
        <v>1.0097434802461038</v>
      </c>
      <c r="I2188" s="1100">
        <v>1.0234091586655791</v>
      </c>
      <c r="K2188">
        <v>2.2444743335151562</v>
      </c>
      <c r="L2188">
        <v>0</v>
      </c>
      <c r="M2188">
        <v>1.6086740503032917E-3</v>
      </c>
      <c r="N2188">
        <v>0.1356902531766562</v>
      </c>
      <c r="O2188">
        <v>1.9308842903008831E-2</v>
      </c>
      <c r="P2188">
        <v>2.6095715427542469E-2</v>
      </c>
      <c r="Q2188">
        <v>5.2508647991864037E-3</v>
      </c>
      <c r="R2188">
        <v>1.5862821487828383E-3</v>
      </c>
      <c r="S2188">
        <v>0.24095629993383988</v>
      </c>
      <c r="T2188">
        <v>1.3863006950409338</v>
      </c>
      <c r="U2188">
        <v>0.14028753884409592</v>
      </c>
      <c r="V2188">
        <v>0.1812934526545813</v>
      </c>
      <c r="W2188">
        <v>9.0480871032976418E-2</v>
      </c>
      <c r="X2188">
        <v>1.4514854512635044E-2</v>
      </c>
      <c r="Y2188">
        <v>4.3173370912170765E-3</v>
      </c>
    </row>
    <row r="2189" spans="1:25" x14ac:dyDescent="0.25">
      <c r="A2189" s="1096"/>
      <c r="B2189" s="1455">
        <v>1939</v>
      </c>
      <c r="C2189" s="1100">
        <v>1.0265301183216073</v>
      </c>
      <c r="D2189" s="1100">
        <v>0.98507600751509494</v>
      </c>
      <c r="E2189" s="1100">
        <v>1.023807350338175</v>
      </c>
      <c r="F2189" s="1100">
        <v>1.0374898930136403</v>
      </c>
      <c r="G2189" s="1100">
        <v>0.99278342255735297</v>
      </c>
      <c r="H2189" s="1100">
        <v>0.96582665819092262</v>
      </c>
      <c r="I2189" s="1100">
        <v>0.96894986145497164</v>
      </c>
      <c r="K2189">
        <v>2.2383540714287236</v>
      </c>
      <c r="L2189">
        <v>0</v>
      </c>
      <c r="M2189">
        <v>1.389556929666148E-3</v>
      </c>
      <c r="N2189">
        <v>0.13569799817138928</v>
      </c>
      <c r="O2189">
        <v>1.9320043453097922E-2</v>
      </c>
      <c r="P2189">
        <v>2.6981264801011002E-2</v>
      </c>
      <c r="Q2189">
        <v>5.5175662719612788E-3</v>
      </c>
      <c r="R2189">
        <v>1.3693355337248286E-3</v>
      </c>
      <c r="S2189">
        <v>0.22726439478032326</v>
      </c>
      <c r="T2189">
        <v>1.3942906306571703</v>
      </c>
      <c r="U2189">
        <v>0.13913613937870828</v>
      </c>
      <c r="V2189">
        <v>0.18239826595821521</v>
      </c>
      <c r="W2189">
        <v>8.7903465747117271E-2</v>
      </c>
      <c r="X2189">
        <v>1.6137643684208596E-2</v>
      </c>
      <c r="Y2189">
        <v>3.7268799214616069E-3</v>
      </c>
    </row>
    <row r="2190" spans="1:25" x14ac:dyDescent="0.25">
      <c r="A2190" s="1096"/>
      <c r="B2190" s="1455">
        <v>1940</v>
      </c>
      <c r="C2190" s="1100">
        <v>1.0086086283529203</v>
      </c>
      <c r="D2190" s="1100">
        <v>1.0109610245382976</v>
      </c>
      <c r="E2190" s="1100">
        <v>0.98402289423721767</v>
      </c>
      <c r="F2190" s="1100">
        <v>0.98041690605645015</v>
      </c>
      <c r="G2190" s="1100">
        <v>0.9973944829678083</v>
      </c>
      <c r="H2190" s="1100">
        <v>0.98725275778707644</v>
      </c>
      <c r="I2190" s="1100">
        <v>0.99609669573757265</v>
      </c>
      <c r="K2190">
        <v>2.1729154969629798</v>
      </c>
      <c r="L2190">
        <v>0</v>
      </c>
      <c r="M2190">
        <v>1.5611253437036259E-3</v>
      </c>
      <c r="N2190">
        <v>0.13523463501425187</v>
      </c>
      <c r="O2190">
        <v>1.9526850755481027E-2</v>
      </c>
      <c r="P2190">
        <v>2.5332207559265695E-2</v>
      </c>
      <c r="Q2190">
        <v>5.3584731737753221E-3</v>
      </c>
      <c r="R2190">
        <v>1.5389002604972628E-3</v>
      </c>
      <c r="S2190">
        <v>0.23610139539383146</v>
      </c>
      <c r="T2190">
        <v>1.3175244395278016</v>
      </c>
      <c r="U2190">
        <v>0.14151751599313026</v>
      </c>
      <c r="V2190">
        <v>0.18391176066338047</v>
      </c>
      <c r="W2190">
        <v>8.9692997063614902E-2</v>
      </c>
      <c r="X2190">
        <v>1.454906769091263E-2</v>
      </c>
      <c r="Y2190">
        <v>4.1883792107390164E-3</v>
      </c>
    </row>
    <row r="2191" spans="1:25" x14ac:dyDescent="0.25">
      <c r="A2191" s="1096"/>
      <c r="B2191" s="1455">
        <v>1941</v>
      </c>
      <c r="C2191" s="1100">
        <v>1.0039250203026511</v>
      </c>
      <c r="D2191" s="1100">
        <v>1.0156101439617284</v>
      </c>
      <c r="E2191" s="1100">
        <v>1.0021954597126934</v>
      </c>
      <c r="F2191" s="1100">
        <v>0.98791136346358177</v>
      </c>
      <c r="G2191" s="1100">
        <v>0.99667953642109175</v>
      </c>
      <c r="H2191" s="1100">
        <v>0.97481161015765982</v>
      </c>
      <c r="I2191" s="1100">
        <v>0.98008781696227165</v>
      </c>
      <c r="K2191">
        <v>2.1818167523036029</v>
      </c>
      <c r="L2191">
        <v>0</v>
      </c>
      <c r="M2191">
        <v>1.4899093037992652E-3</v>
      </c>
      <c r="N2191">
        <v>0.13632835183419112</v>
      </c>
      <c r="O2191">
        <v>1.960941370984914E-2</v>
      </c>
      <c r="P2191">
        <v>2.5774594208502581E-2</v>
      </c>
      <c r="Q2191">
        <v>5.4807119209588726E-3</v>
      </c>
      <c r="R2191">
        <v>1.4684273827577112E-3</v>
      </c>
      <c r="S2191">
        <v>0.23202148806002565</v>
      </c>
      <c r="T2191">
        <v>1.3276216835210941</v>
      </c>
      <c r="U2191">
        <v>0.14221936699285634</v>
      </c>
      <c r="V2191">
        <v>0.18412099012500913</v>
      </c>
      <c r="W2191">
        <v>8.9441775616017641E-2</v>
      </c>
      <c r="X2191">
        <v>1.5223282967228677E-2</v>
      </c>
      <c r="Y2191">
        <v>3.9965752689098593E-3</v>
      </c>
    </row>
    <row r="2192" spans="1:25" x14ac:dyDescent="0.25">
      <c r="A2192" s="1096"/>
      <c r="B2192" s="1455">
        <v>1942</v>
      </c>
      <c r="C2192" s="1100">
        <v>0.97043508876044082</v>
      </c>
      <c r="D2192" s="1100">
        <v>0.98808316003526586</v>
      </c>
      <c r="E2192" s="1100">
        <v>1.0085490395539587</v>
      </c>
      <c r="F2192" s="1100">
        <v>0.97617702781791016</v>
      </c>
      <c r="G2192" s="1100">
        <v>1.034029966832321</v>
      </c>
      <c r="H2192" s="1100">
        <v>0.99507005848930596</v>
      </c>
      <c r="I2192" s="1100">
        <v>1.0220578150058905</v>
      </c>
      <c r="K2192">
        <v>2.2182574382868698</v>
      </c>
      <c r="L2192">
        <v>0</v>
      </c>
      <c r="M2192">
        <v>1.56215643730782E-3</v>
      </c>
      <c r="N2192">
        <v>0.14575163293364396</v>
      </c>
      <c r="O2192">
        <v>2.0413247258398041E-2</v>
      </c>
      <c r="P2192">
        <v>2.6156733257139887E-2</v>
      </c>
      <c r="Q2192">
        <v>5.7418236693729217E-3</v>
      </c>
      <c r="R2192">
        <v>1.5400913911081449E-3</v>
      </c>
      <c r="S2192">
        <v>0.25554144157087028</v>
      </c>
      <c r="T2192">
        <v>1.311862890838547</v>
      </c>
      <c r="U2192">
        <v>0.14714247528998381</v>
      </c>
      <c r="V2192">
        <v>0.19038803855987138</v>
      </c>
      <c r="W2192">
        <v>9.5265269596413057E-2</v>
      </c>
      <c r="X2192">
        <v>1.5824329283220605E-2</v>
      </c>
      <c r="Y2192">
        <v>4.1916210756057374E-3</v>
      </c>
    </row>
    <row r="2193" spans="1:25" x14ac:dyDescent="0.25">
      <c r="A2193" s="1096"/>
      <c r="B2193" s="1455">
        <v>1943</v>
      </c>
      <c r="C2193" s="1100">
        <v>1.0092944611209385</v>
      </c>
      <c r="D2193" s="1100">
        <v>1.023402566617859</v>
      </c>
      <c r="E2193" s="1100">
        <v>1.0381766468088283</v>
      </c>
      <c r="F2193" s="1100">
        <v>1.0096976425701309</v>
      </c>
      <c r="G2193" s="1100">
        <v>0.95762539462508844</v>
      </c>
      <c r="H2193" s="1100">
        <v>0.9611791267769848</v>
      </c>
      <c r="I2193" s="1100">
        <v>1.0019019237972051</v>
      </c>
      <c r="K2193">
        <v>2.210980857008797</v>
      </c>
      <c r="L2193">
        <v>0</v>
      </c>
      <c r="M2193">
        <v>1.3535760755418846E-3</v>
      </c>
      <c r="N2193">
        <v>0.13802566548176853</v>
      </c>
      <c r="O2193">
        <v>1.949454495585845E-2</v>
      </c>
      <c r="P2193">
        <v>2.6830022423218216E-2</v>
      </c>
      <c r="Q2193">
        <v>5.6470181285666861E-3</v>
      </c>
      <c r="R2193">
        <v>1.3337830440557882E-3</v>
      </c>
      <c r="S2193">
        <v>0.23421456191289167</v>
      </c>
      <c r="T2193">
        <v>1.3569731510648912</v>
      </c>
      <c r="U2193">
        <v>0.14154508921755016</v>
      </c>
      <c r="V2193">
        <v>0.1794250178363998</v>
      </c>
      <c r="W2193">
        <v>8.8669189586017438E-2</v>
      </c>
      <c r="X2193">
        <v>1.6546271668664438E-2</v>
      </c>
      <c r="Y2193">
        <v>3.6301177644575485E-3</v>
      </c>
    </row>
    <row r="2194" spans="1:25" x14ac:dyDescent="0.25">
      <c r="A2194" s="1096"/>
      <c r="B2194" s="1455">
        <v>1944</v>
      </c>
      <c r="C2194" s="1100">
        <v>1.0009867335073097</v>
      </c>
      <c r="D2194" s="1100">
        <v>0.99303578549899862</v>
      </c>
      <c r="E2194" s="1100">
        <v>0.96784818950031881</v>
      </c>
      <c r="F2194" s="1100">
        <v>1.0233493175210167</v>
      </c>
      <c r="G2194" s="1100">
        <v>1.0249281807324275</v>
      </c>
      <c r="H2194" s="1100">
        <v>0.99595361403658245</v>
      </c>
      <c r="I2194" s="1100">
        <v>1.0052721822761739</v>
      </c>
      <c r="K2194">
        <v>2.2447465531468387</v>
      </c>
      <c r="L2194">
        <v>0</v>
      </c>
      <c r="M2194">
        <v>1.6472822975954742E-3</v>
      </c>
      <c r="N2194">
        <v>0.13589785952300593</v>
      </c>
      <c r="O2194">
        <v>1.9743056936058028E-2</v>
      </c>
      <c r="P2194">
        <v>2.5940500068626027E-2</v>
      </c>
      <c r="Q2194">
        <v>5.3292644149073596E-3</v>
      </c>
      <c r="R2194">
        <v>1.6240355127381976E-3</v>
      </c>
      <c r="S2194">
        <v>0.24282327049245664</v>
      </c>
      <c r="T2194">
        <v>1.375201155466754</v>
      </c>
      <c r="U2194">
        <v>0.14255802654532568</v>
      </c>
      <c r="V2194">
        <v>0.18745851719156301</v>
      </c>
      <c r="W2194">
        <v>9.102036161987466E-2</v>
      </c>
      <c r="X2194">
        <v>1.4377698370612689E-2</v>
      </c>
      <c r="Y2194">
        <v>4.4200893025104823E-3</v>
      </c>
    </row>
    <row r="2195" spans="1:25" x14ac:dyDescent="0.25">
      <c r="A2195" s="1096"/>
      <c r="B2195" s="1455">
        <v>1945</v>
      </c>
      <c r="C2195" s="1100">
        <v>0.9879879556611264</v>
      </c>
      <c r="D2195" s="1100">
        <v>1.0139460824867992</v>
      </c>
      <c r="E2195" s="1100">
        <v>1.0156953251105427</v>
      </c>
      <c r="F2195" s="1100">
        <v>0.98931096429812782</v>
      </c>
      <c r="G2195" s="1100">
        <v>1.0159054056793355</v>
      </c>
      <c r="H2195" s="1100">
        <v>0.97117115669663923</v>
      </c>
      <c r="I2195" s="1100">
        <v>0.99595494245202909</v>
      </c>
      <c r="K2195">
        <v>2.2033578021862565</v>
      </c>
      <c r="L2195">
        <v>0</v>
      </c>
      <c r="M2195">
        <v>1.467110968113382E-3</v>
      </c>
      <c r="N2195">
        <v>0.13981926209288914</v>
      </c>
      <c r="O2195">
        <v>1.9941440881024067E-2</v>
      </c>
      <c r="P2195">
        <v>2.623941477422417E-2</v>
      </c>
      <c r="Q2195">
        <v>5.6492804337190464E-3</v>
      </c>
      <c r="R2195">
        <v>1.4458784665276271E-3</v>
      </c>
      <c r="S2195">
        <v>0.23958644111780897</v>
      </c>
      <c r="T2195">
        <v>1.3295264073706514</v>
      </c>
      <c r="U2195">
        <v>0.14454498561245732</v>
      </c>
      <c r="V2195">
        <v>0.18725960806134101</v>
      </c>
      <c r="W2195">
        <v>9.1004133110569041E-2</v>
      </c>
      <c r="X2195">
        <v>1.5872856680974688E-2</v>
      </c>
      <c r="Y2195">
        <v>3.9352045521798091E-3</v>
      </c>
    </row>
    <row r="2196" spans="1:25" x14ac:dyDescent="0.25">
      <c r="A2196" s="1096"/>
      <c r="B2196" s="1455">
        <v>1946</v>
      </c>
      <c r="C2196" s="1100">
        <v>1.0333346224265441</v>
      </c>
      <c r="D2196" s="1100">
        <v>0.96060998537060593</v>
      </c>
      <c r="E2196" s="1100">
        <v>0.9852818071891486</v>
      </c>
      <c r="F2196" s="1100">
        <v>1.014202412389811</v>
      </c>
      <c r="G2196" s="1100">
        <v>0.98250837707773964</v>
      </c>
      <c r="H2196" s="1100">
        <v>1.0049743286700659</v>
      </c>
      <c r="I2196" s="1100">
        <v>1.0413886269299573</v>
      </c>
      <c r="K2196">
        <v>2.2263669656674034</v>
      </c>
      <c r="L2196">
        <v>0</v>
      </c>
      <c r="M2196">
        <v>1.5645733134083378E-3</v>
      </c>
      <c r="N2196">
        <v>0.1360850276621394</v>
      </c>
      <c r="O2196">
        <v>1.9275798221872073E-2</v>
      </c>
      <c r="P2196">
        <v>2.6050852247893698E-2</v>
      </c>
      <c r="Q2196">
        <v>5.2963355721045028E-3</v>
      </c>
      <c r="R2196">
        <v>1.5426919223883752E-3</v>
      </c>
      <c r="S2196">
        <v>0.24863922687809287</v>
      </c>
      <c r="T2196">
        <v>1.3629283929868874</v>
      </c>
      <c r="U2196">
        <v>0.13813403316333331</v>
      </c>
      <c r="V2196">
        <v>0.18082301909471446</v>
      </c>
      <c r="W2196">
        <v>9.0188679780931202E-2</v>
      </c>
      <c r="X2196">
        <v>1.4768782585966625E-2</v>
      </c>
      <c r="Y2196">
        <v>4.1986988644856175E-3</v>
      </c>
    </row>
    <row r="2197" spans="1:25" x14ac:dyDescent="0.25">
      <c r="A2197" s="1096"/>
      <c r="B2197" s="1455">
        <v>1947</v>
      </c>
      <c r="C2197" s="1100">
        <v>0.98983112724293543</v>
      </c>
      <c r="D2197" s="1100">
        <v>1.0079843330689362</v>
      </c>
      <c r="E2197" s="1100">
        <v>0.98401202442855229</v>
      </c>
      <c r="F2197" s="1100">
        <v>1.0102507718905063</v>
      </c>
      <c r="G2197" s="1100">
        <v>0.9952978046958938</v>
      </c>
      <c r="H2197" s="1100">
        <v>0.99748890193024553</v>
      </c>
      <c r="I2197" s="1100">
        <v>0.97711590228868017</v>
      </c>
      <c r="K2197">
        <v>2.2259918126501739</v>
      </c>
      <c r="L2197">
        <v>0</v>
      </c>
      <c r="M2197">
        <v>1.6083129897687188E-3</v>
      </c>
      <c r="N2197">
        <v>0.13933839676428364</v>
      </c>
      <c r="O2197">
        <v>1.9910188366938451E-2</v>
      </c>
      <c r="P2197">
        <v>2.5934645730237051E-2</v>
      </c>
      <c r="Q2197">
        <v>5.4636067804937202E-3</v>
      </c>
      <c r="R2197">
        <v>1.5856510816667877E-3</v>
      </c>
      <c r="S2197">
        <v>0.23715113876271174</v>
      </c>
      <c r="T2197">
        <v>1.3576163980999052</v>
      </c>
      <c r="U2197">
        <v>0.14420213590325115</v>
      </c>
      <c r="V2197">
        <v>0.18479024926291951</v>
      </c>
      <c r="W2197">
        <v>9.2415379964646799E-2</v>
      </c>
      <c r="X2197">
        <v>1.4876715388330904E-2</v>
      </c>
      <c r="Y2197">
        <v>4.3156195345584068E-3</v>
      </c>
    </row>
    <row r="2198" spans="1:25" x14ac:dyDescent="0.25">
      <c r="A2198" s="1096"/>
      <c r="B2198" s="1455">
        <v>1948</v>
      </c>
      <c r="C2198" s="1100">
        <v>0.98842741672653411</v>
      </c>
      <c r="D2198" s="1100">
        <v>1.0119032133823032</v>
      </c>
      <c r="E2198" s="1100">
        <v>1.0047254192353097</v>
      </c>
      <c r="F2198" s="1100">
        <v>0.96180596945291896</v>
      </c>
      <c r="G2198" s="1100">
        <v>1.0226623279406291</v>
      </c>
      <c r="H2198" s="1100">
        <v>1.0214408432803534</v>
      </c>
      <c r="I2198" s="1100">
        <v>0.9970809526884874</v>
      </c>
      <c r="K2198">
        <v>2.1807268702932063</v>
      </c>
      <c r="L2198">
        <v>0</v>
      </c>
      <c r="M2198">
        <v>1.5786209621979517E-3</v>
      </c>
      <c r="N2198">
        <v>0.14565079676097836</v>
      </c>
      <c r="O2198">
        <v>1.9934495057157355E-2</v>
      </c>
      <c r="P2198">
        <v>2.5589947825764309E-2</v>
      </c>
      <c r="Q2198">
        <v>5.5857298998171377E-3</v>
      </c>
      <c r="R2198">
        <v>1.5568990215472126E-3</v>
      </c>
      <c r="S2198">
        <v>0.24396275016707028</v>
      </c>
      <c r="T2198">
        <v>1.2925435572429604</v>
      </c>
      <c r="U2198">
        <v>0.14445512780355893</v>
      </c>
      <c r="V2198">
        <v>0.18798676023430139</v>
      </c>
      <c r="W2198">
        <v>9.5414820663900654E-2</v>
      </c>
      <c r="X2198">
        <v>1.5387240673318297E-2</v>
      </c>
      <c r="Y2198">
        <v>4.2373659050269942E-3</v>
      </c>
    </row>
    <row r="2199" spans="1:25" x14ac:dyDescent="0.25">
      <c r="A2199" s="1096"/>
      <c r="B2199" s="1455">
        <v>1949</v>
      </c>
      <c r="C2199" s="1100">
        <v>1.0010700441323366</v>
      </c>
      <c r="D2199" s="1100">
        <v>0.98450690820417663</v>
      </c>
      <c r="E2199" s="1100">
        <v>1.0273443908799604</v>
      </c>
      <c r="F2199" s="1100">
        <v>0.96634408235859925</v>
      </c>
      <c r="G2199" s="1100">
        <v>0.98375364918878327</v>
      </c>
      <c r="H2199" s="1100">
        <v>0.97821001146133291</v>
      </c>
      <c r="I2199" s="1100">
        <v>1.0103618155621641</v>
      </c>
      <c r="K2199">
        <v>2.1726339943094715</v>
      </c>
      <c r="L2199">
        <v>0</v>
      </c>
      <c r="M2199">
        <v>1.4327581397250424E-3</v>
      </c>
      <c r="N2199">
        <v>0.14144363229317533</v>
      </c>
      <c r="O2199">
        <v>1.9816149616920853E-2</v>
      </c>
      <c r="P2199">
        <v>2.6010270978614941E-2</v>
      </c>
      <c r="Q2199">
        <v>5.6791217315557592E-3</v>
      </c>
      <c r="R2199">
        <v>1.4121720074944969E-3</v>
      </c>
      <c r="S2199">
        <v>0.2441083768324252</v>
      </c>
      <c r="T2199">
        <v>1.2986845500493394</v>
      </c>
      <c r="U2199">
        <v>0.14268293554502051</v>
      </c>
      <c r="V2199">
        <v>0.18285125368150776</v>
      </c>
      <c r="W2199">
        <v>9.1436833249944158E-2</v>
      </c>
      <c r="X2199">
        <v>1.6097989781173157E-2</v>
      </c>
      <c r="Y2199">
        <v>3.843466682022862E-3</v>
      </c>
    </row>
    <row r="2200" spans="1:25" x14ac:dyDescent="0.25">
      <c r="A2200" s="1096"/>
      <c r="B2200" s="1455">
        <v>1950</v>
      </c>
      <c r="C2200" s="1100">
        <v>1.021500946110754</v>
      </c>
      <c r="D2200" s="1100">
        <v>1.0011378617774238</v>
      </c>
      <c r="E2200" s="1100">
        <v>1.0098199660849174</v>
      </c>
      <c r="F2200" s="1100">
        <v>0.98358735014524001</v>
      </c>
      <c r="G2200" s="1100">
        <v>0.98611615515007855</v>
      </c>
      <c r="H2200" s="1100">
        <v>0.97460655215324365</v>
      </c>
      <c r="I2200" s="1100">
        <v>1.0002484851663493</v>
      </c>
      <c r="K2200">
        <v>2.1715241954580167</v>
      </c>
      <c r="L2200">
        <v>0</v>
      </c>
      <c r="M2200">
        <v>1.4455305498327709E-3</v>
      </c>
      <c r="N2200">
        <v>0.13534803994376432</v>
      </c>
      <c r="O2200">
        <v>1.9337628126885387E-2</v>
      </c>
      <c r="P2200">
        <v>2.5810558292423427E-2</v>
      </c>
      <c r="Q2200">
        <v>5.4461922133493537E-3</v>
      </c>
      <c r="R2200">
        <v>1.4246841086541253E-3</v>
      </c>
      <c r="S2200">
        <v>0.23443636282454453</v>
      </c>
      <c r="T2200">
        <v>1.3218236990202963</v>
      </c>
      <c r="U2200">
        <v>0.1397895438561878</v>
      </c>
      <c r="V2200">
        <v>0.18191683640040748</v>
      </c>
      <c r="W2200">
        <v>8.8399021522786406E-2</v>
      </c>
      <c r="X2200">
        <v>1.5359639201780264E-2</v>
      </c>
      <c r="Y2200">
        <v>3.8775204967663322E-3</v>
      </c>
    </row>
    <row r="2201" spans="1:25" x14ac:dyDescent="0.25">
      <c r="A2201" s="1096"/>
      <c r="B2201" s="1455">
        <v>1951</v>
      </c>
      <c r="C2201" s="1100">
        <v>0.96611909258971063</v>
      </c>
      <c r="D2201" s="1100">
        <v>0.99120115208822035</v>
      </c>
      <c r="E2201" s="1100">
        <v>0.95978431128456876</v>
      </c>
      <c r="F2201" s="1100">
        <v>1.003969325964432</v>
      </c>
      <c r="G2201" s="1100">
        <v>0.99219610026040739</v>
      </c>
      <c r="H2201" s="1100">
        <v>1.0101446456396745</v>
      </c>
      <c r="I2201" s="1100">
        <v>0.98794673790713905</v>
      </c>
      <c r="K2201">
        <v>2.2389298575419541</v>
      </c>
      <c r="L2201">
        <v>0</v>
      </c>
      <c r="M2201">
        <v>1.7607978581688662E-3</v>
      </c>
      <c r="N2201">
        <v>0.14178576279823968</v>
      </c>
      <c r="O2201">
        <v>2.0458722574229253E-2</v>
      </c>
      <c r="P2201">
        <v>2.5558421942034001E-2</v>
      </c>
      <c r="Q2201">
        <v>5.4769602284546522E-3</v>
      </c>
      <c r="R2201">
        <v>1.736298206369991E-3</v>
      </c>
      <c r="S2201">
        <v>0.24858050197742629</v>
      </c>
      <c r="T2201">
        <v>1.3491514237922297</v>
      </c>
      <c r="U2201">
        <v>0.14768390255737784</v>
      </c>
      <c r="V2201">
        <v>0.18588922428358509</v>
      </c>
      <c r="W2201">
        <v>9.5433436315140521E-2</v>
      </c>
      <c r="X2201">
        <v>1.4210369377846019E-2</v>
      </c>
      <c r="Y2201">
        <v>4.7256313471892132E-3</v>
      </c>
    </row>
    <row r="2202" spans="1:25" x14ac:dyDescent="0.25">
      <c r="A2202" s="1096"/>
      <c r="B2202" s="1455">
        <v>1952</v>
      </c>
      <c r="C2202" s="1100">
        <v>0.98391413531183025</v>
      </c>
      <c r="D2202" s="1100">
        <v>0.99378424210828564</v>
      </c>
      <c r="E2202" s="1100">
        <v>0.9875279346523409</v>
      </c>
      <c r="F2202" s="1100">
        <v>0.97843496962476229</v>
      </c>
      <c r="G2202" s="1100">
        <v>0.99102685133158019</v>
      </c>
      <c r="H2202" s="1100">
        <v>1.010479933710432</v>
      </c>
      <c r="I2202" s="1100">
        <v>0.96299844188499129</v>
      </c>
      <c r="K2202">
        <v>2.1903262443709535</v>
      </c>
      <c r="L2202">
        <v>0</v>
      </c>
      <c r="M2202">
        <v>1.6322601703131956E-3</v>
      </c>
      <c r="N2202">
        <v>0.14295108489461375</v>
      </c>
      <c r="O2202">
        <v>2.0094770330046384E-2</v>
      </c>
      <c r="P2202">
        <v>2.5445401559533707E-2</v>
      </c>
      <c r="Q2202">
        <v>5.5339358666774956E-3</v>
      </c>
      <c r="R2202">
        <v>1.609556521176945E-3</v>
      </c>
      <c r="S2202">
        <v>0.23784644529479637</v>
      </c>
      <c r="T2202">
        <v>1.3148654268747793</v>
      </c>
      <c r="U2202">
        <v>0.14507753671724496</v>
      </c>
      <c r="V2202">
        <v>0.18467085919162318</v>
      </c>
      <c r="W2202">
        <v>9.4611320067212484E-2</v>
      </c>
      <c r="X2202">
        <v>1.4871484963083366E-2</v>
      </c>
      <c r="Y2202">
        <v>4.3806822604790371E-3</v>
      </c>
    </row>
    <row r="2203" spans="1:25" x14ac:dyDescent="0.25">
      <c r="A2203" s="1096"/>
      <c r="B2203" s="1455">
        <v>1953</v>
      </c>
      <c r="C2203" s="1100">
        <v>1.0451867124022018</v>
      </c>
      <c r="D2203" s="1100">
        <v>1.0357238830989148</v>
      </c>
      <c r="E2203" s="1100">
        <v>1.0009010893289436</v>
      </c>
      <c r="F2203" s="1100">
        <v>1.029777352633676</v>
      </c>
      <c r="G2203" s="1100">
        <v>0.97112829190831329</v>
      </c>
      <c r="H2203" s="1100">
        <v>1.0190397848747219</v>
      </c>
      <c r="I2203" s="1100">
        <v>0.9856950013968977</v>
      </c>
      <c r="K2203">
        <v>2.2196903144322189</v>
      </c>
      <c r="L2203">
        <v>0</v>
      </c>
      <c r="M2203">
        <v>1.4935861299812275E-3</v>
      </c>
      <c r="N2203">
        <v>0.13621788668065737</v>
      </c>
      <c r="O2203">
        <v>1.8753420626168381E-2</v>
      </c>
      <c r="P2203">
        <v>2.6277581196026408E-2</v>
      </c>
      <c r="Q2203">
        <v>5.2346577870445738E-3</v>
      </c>
      <c r="R2203">
        <v>1.4729858506639182E-3</v>
      </c>
      <c r="S2203">
        <v>0.22526734668905971</v>
      </c>
      <c r="T2203">
        <v>1.3838818465163312</v>
      </c>
      <c r="U2203">
        <v>0.13660200462690913</v>
      </c>
      <c r="V2203">
        <v>0.17889878592365893</v>
      </c>
      <c r="W2203">
        <v>8.9437996543866874E-2</v>
      </c>
      <c r="X2203">
        <v>1.5130406205963901E-2</v>
      </c>
      <c r="Y2203">
        <v>4.008981915852014E-3</v>
      </c>
    </row>
    <row r="2204" spans="1:25" x14ac:dyDescent="0.25">
      <c r="A2204" s="1096"/>
      <c r="B2204" s="1455">
        <v>1954</v>
      </c>
      <c r="C2204" s="1100">
        <v>1.0128670911969546</v>
      </c>
      <c r="D2204" s="1100">
        <v>1.026410035013787</v>
      </c>
      <c r="E2204" s="1100">
        <v>1.008711702300745</v>
      </c>
      <c r="F2204" s="1100">
        <v>1.0388343042638264</v>
      </c>
      <c r="G2204" s="1100">
        <v>0.97781524571780809</v>
      </c>
      <c r="H2204" s="1100">
        <v>0.99210460761416519</v>
      </c>
      <c r="I2204" s="1100">
        <v>0.97419877188151738</v>
      </c>
      <c r="K2204">
        <v>2.2468408481954447</v>
      </c>
      <c r="L2204">
        <v>0</v>
      </c>
      <c r="M2204">
        <v>1.4793113983302322E-3</v>
      </c>
      <c r="N2204">
        <v>0.13808395104888313</v>
      </c>
      <c r="O2204">
        <v>1.9395114008986136E-2</v>
      </c>
      <c r="P2204">
        <v>2.67411793337833E-2</v>
      </c>
      <c r="Q2204">
        <v>5.4563316933144345E-3</v>
      </c>
      <c r="R2204">
        <v>1.4583540605188994E-3</v>
      </c>
      <c r="S2204">
        <v>0.22876195517149808</v>
      </c>
      <c r="T2204">
        <v>1.3960669305696807</v>
      </c>
      <c r="U2204">
        <v>0.14097861142052603</v>
      </c>
      <c r="V2204">
        <v>0.18147269379860331</v>
      </c>
      <c r="W2204">
        <v>9.0244901474997433E-2</v>
      </c>
      <c r="X2204">
        <v>1.5690978006537896E-2</v>
      </c>
      <c r="Y2204">
        <v>3.9691590064455983E-3</v>
      </c>
    </row>
    <row r="2205" spans="1:25" x14ac:dyDescent="0.25">
      <c r="A2205" s="1096"/>
      <c r="B2205" s="1455">
        <v>1955</v>
      </c>
      <c r="C2205" s="1100">
        <v>1.0154921238231989</v>
      </c>
      <c r="D2205" s="1100">
        <v>1.0147015496881073</v>
      </c>
      <c r="E2205" s="1100">
        <v>1.0071555850508132</v>
      </c>
      <c r="F2205" s="1100">
        <v>0.99831192048807094</v>
      </c>
      <c r="G2205" s="1100">
        <v>1.0005845032837923</v>
      </c>
      <c r="H2205" s="1100">
        <v>1.0044001343094915</v>
      </c>
      <c r="I2205" s="1100">
        <v>0.96705872409202875</v>
      </c>
      <c r="K2205">
        <v>2.1960000563985398</v>
      </c>
      <c r="L2205">
        <v>0</v>
      </c>
      <c r="M2205">
        <v>1.5023963706740514E-3</v>
      </c>
      <c r="N2205">
        <v>0.13960595168231527</v>
      </c>
      <c r="O2205">
        <v>1.9392911203706818E-2</v>
      </c>
      <c r="P2205">
        <v>2.5990978046621399E-2</v>
      </c>
      <c r="Q2205">
        <v>5.4472222524611534E-3</v>
      </c>
      <c r="R2205">
        <v>1.4813725453010115E-3</v>
      </c>
      <c r="S2205">
        <v>0.22871723271612621</v>
      </c>
      <c r="T2205">
        <v>1.34160703628874</v>
      </c>
      <c r="U2205">
        <v>0.14061065136537493</v>
      </c>
      <c r="V2205">
        <v>0.18389359721063023</v>
      </c>
      <c r="W2205">
        <v>9.1323503414851695E-2</v>
      </c>
      <c r="X2205">
        <v>1.5400188309102981E-2</v>
      </c>
      <c r="Y2205">
        <v>4.0318077339810384E-3</v>
      </c>
    </row>
    <row r="2206" spans="1:25" x14ac:dyDescent="0.25">
      <c r="A2206" s="1096"/>
      <c r="B2206" s="1455">
        <v>1956</v>
      </c>
      <c r="C2206" s="1100">
        <v>0.9872393350571147</v>
      </c>
      <c r="D2206" s="1100">
        <v>0.97126863194469493</v>
      </c>
      <c r="E2206" s="1100">
        <v>1.0122583849013347</v>
      </c>
      <c r="F2206" s="1100">
        <v>0.97526319808174744</v>
      </c>
      <c r="G2206" s="1100">
        <v>0.99153953447288801</v>
      </c>
      <c r="H2206" s="1100">
        <v>1.0224614549944506</v>
      </c>
      <c r="I2206" s="1100">
        <v>1.0188867740180334</v>
      </c>
      <c r="K2206">
        <v>2.2117919733733165</v>
      </c>
      <c r="L2206">
        <v>0</v>
      </c>
      <c r="M2206">
        <v>1.571646246370383E-3</v>
      </c>
      <c r="N2206">
        <v>0.14834525839118129</v>
      </c>
      <c r="O2206">
        <v>2.014406240714306E-2</v>
      </c>
      <c r="P2206">
        <v>2.6087910541912809E-2</v>
      </c>
      <c r="Q2206">
        <v>5.6871518114785533E-3</v>
      </c>
      <c r="R2206">
        <v>1.5500418651672628E-3</v>
      </c>
      <c r="S2206">
        <v>0.25488893403128976</v>
      </c>
      <c r="T2206">
        <v>1.3106413883663828</v>
      </c>
      <c r="U2206">
        <v>0.14464656119407432</v>
      </c>
      <c r="V2206">
        <v>0.18454787715224918</v>
      </c>
      <c r="W2206">
        <v>9.6748714910455336E-2</v>
      </c>
      <c r="X2206">
        <v>1.5857015962528392E-2</v>
      </c>
      <c r="Y2206">
        <v>4.218702985821764E-3</v>
      </c>
    </row>
    <row r="2207" spans="1:25" x14ac:dyDescent="0.25">
      <c r="A2207" s="1096"/>
      <c r="B2207" s="1455">
        <v>1957</v>
      </c>
      <c r="C2207" s="1100">
        <v>1.031004510275809</v>
      </c>
      <c r="D2207" s="1100">
        <v>0.99516819940873036</v>
      </c>
      <c r="E2207" s="1100">
        <v>0.97639347269213905</v>
      </c>
      <c r="F2207" s="1100">
        <v>1.0123679655208473</v>
      </c>
      <c r="G2207" s="1100">
        <v>0.98071167995448438</v>
      </c>
      <c r="H2207" s="1100">
        <v>1.0241316018979487</v>
      </c>
      <c r="I2207" s="1100">
        <v>1.0133249160923921</v>
      </c>
      <c r="K2207">
        <v>2.2160224576272429</v>
      </c>
      <c r="L2207">
        <v>0</v>
      </c>
      <c r="M2207">
        <v>1.6150400627470344E-3</v>
      </c>
      <c r="N2207">
        <v>0.1367836358702316</v>
      </c>
      <c r="O2207">
        <v>1.9164352196884657E-2</v>
      </c>
      <c r="P2207">
        <v>2.5725214354283349E-2</v>
      </c>
      <c r="Q2207">
        <v>5.218379207436263E-3</v>
      </c>
      <c r="R2207">
        <v>1.5928753805151377E-3</v>
      </c>
      <c r="S2207">
        <v>0.23967126370475592</v>
      </c>
      <c r="T2207">
        <v>1.3604526318643297</v>
      </c>
      <c r="U2207">
        <v>0.1384264344137251</v>
      </c>
      <c r="V2207">
        <v>0.18074231542212296</v>
      </c>
      <c r="W2207">
        <v>9.1139184429397543E-2</v>
      </c>
      <c r="X2207">
        <v>1.4385929151773801E-2</v>
      </c>
      <c r="Y2207">
        <v>4.3352816945341401E-3</v>
      </c>
    </row>
    <row r="2208" spans="1:25" x14ac:dyDescent="0.25">
      <c r="A2208" s="1096"/>
      <c r="B2208" s="1455">
        <v>1958</v>
      </c>
      <c r="C2208" s="1100">
        <v>0.95090422880326175</v>
      </c>
      <c r="D2208" s="1100">
        <v>1.0351296627491056</v>
      </c>
      <c r="E2208" s="1100">
        <v>0.99126450245124076</v>
      </c>
      <c r="F2208" s="1100">
        <v>0.98774052014859692</v>
      </c>
      <c r="G2208" s="1100">
        <v>1.011594000571205</v>
      </c>
      <c r="H2208" s="1100">
        <v>1.0112641492791881</v>
      </c>
      <c r="I2208" s="1100">
        <v>0.98669594858535825</v>
      </c>
      <c r="K2208">
        <v>2.2302525605881192</v>
      </c>
      <c r="L2208">
        <v>0</v>
      </c>
      <c r="M2208">
        <v>1.6622318250553239E-3</v>
      </c>
      <c r="N2208">
        <v>0.1472315816299444</v>
      </c>
      <c r="O2208">
        <v>2.0609152698609599E-2</v>
      </c>
      <c r="P2208">
        <v>2.5941890843464214E-2</v>
      </c>
      <c r="Q2208">
        <v>5.6970758658558439E-3</v>
      </c>
      <c r="R2208">
        <v>1.6391292197357455E-3</v>
      </c>
      <c r="S2208">
        <v>0.2472071754741218</v>
      </c>
      <c r="T2208">
        <v>1.3273756716777607</v>
      </c>
      <c r="U2208">
        <v>0.15012282314292572</v>
      </c>
      <c r="V2208">
        <v>0.18909178782007513</v>
      </c>
      <c r="W2208">
        <v>9.7226358605091615E-2</v>
      </c>
      <c r="X2208">
        <v>1.5310976038271841E-2</v>
      </c>
      <c r="Y2208">
        <v>4.4611693973186321E-3</v>
      </c>
    </row>
    <row r="2209" spans="1:25" x14ac:dyDescent="0.25">
      <c r="A2209" s="1096"/>
      <c r="B2209" s="1455">
        <v>1959</v>
      </c>
      <c r="C2209" s="1100">
        <v>0.99030361534682465</v>
      </c>
      <c r="D2209" s="1100">
        <v>0.97370235885318579</v>
      </c>
      <c r="E2209" s="1100">
        <v>0.99342076837991944</v>
      </c>
      <c r="F2209" s="1100">
        <v>1.0333154382166296</v>
      </c>
      <c r="G2209" s="1100">
        <v>1.0282754054049972</v>
      </c>
      <c r="H2209" s="1100">
        <v>1.0308576287163242</v>
      </c>
      <c r="I2209" s="1100">
        <v>0.99003630696738243</v>
      </c>
      <c r="K2209">
        <v>2.2835828234900948</v>
      </c>
      <c r="L2209">
        <v>0</v>
      </c>
      <c r="M2209">
        <v>1.6417196212931686E-3</v>
      </c>
      <c r="N2209">
        <v>0.14640487039687819</v>
      </c>
      <c r="O2209">
        <v>2.00587199665095E-2</v>
      </c>
      <c r="P2209">
        <v>2.6725215554845746E-2</v>
      </c>
      <c r="Q2209">
        <v>5.5569998831045313E-3</v>
      </c>
      <c r="R2209">
        <v>1.6193357975989964E-3</v>
      </c>
      <c r="S2209">
        <v>0.24712588341106995</v>
      </c>
      <c r="T2209">
        <v>1.3886247275372665</v>
      </c>
      <c r="U2209">
        <v>0.14415516973456785</v>
      </c>
      <c r="V2209">
        <v>0.18849757586342092</v>
      </c>
      <c r="W2209">
        <v>9.6555854738470767E-2</v>
      </c>
      <c r="X2209">
        <v>1.5492892000492191E-2</v>
      </c>
      <c r="Y2209">
        <v>4.4072982271622556E-3</v>
      </c>
    </row>
    <row r="2210" spans="1:25" x14ac:dyDescent="0.25">
      <c r="A2210" s="1096"/>
      <c r="B2210" s="1455">
        <v>1960</v>
      </c>
      <c r="C2210" s="1100">
        <v>0.9667166228051759</v>
      </c>
      <c r="D2210" s="1100">
        <v>1.0350290054749756</v>
      </c>
      <c r="E2210" s="1100">
        <v>1.0159978699397676</v>
      </c>
      <c r="F2210" s="1100">
        <v>0.98542050550057991</v>
      </c>
      <c r="G2210" s="1100">
        <v>1.013610359876876</v>
      </c>
      <c r="H2210" s="1100">
        <v>1.0011758827803032</v>
      </c>
      <c r="I2210" s="1100">
        <v>1.0218635890901429</v>
      </c>
      <c r="K2210">
        <v>2.2264183453588329</v>
      </c>
      <c r="L2210">
        <v>0</v>
      </c>
      <c r="M2210">
        <v>1.537766984758738E-3</v>
      </c>
      <c r="N2210">
        <v>0.14675137223058513</v>
      </c>
      <c r="O2210">
        <v>2.02883569693754E-2</v>
      </c>
      <c r="P2210">
        <v>2.6391947580967978E-2</v>
      </c>
      <c r="Q2210">
        <v>5.7492924355261009E-3</v>
      </c>
      <c r="R2210">
        <v>1.5161788992280193E-3</v>
      </c>
      <c r="S2210">
        <v>0.25119116299288946</v>
      </c>
      <c r="T2210">
        <v>1.3242986301881012</v>
      </c>
      <c r="U2210">
        <v>0.14772623095136289</v>
      </c>
      <c r="V2210">
        <v>0.18832202989118874</v>
      </c>
      <c r="W2210">
        <v>9.5499073532397713E-2</v>
      </c>
      <c r="X2210">
        <v>1.6095297516506679E-2</v>
      </c>
      <c r="Y2210">
        <v>4.1265391554588648E-3</v>
      </c>
    </row>
    <row r="2211" spans="1:25" x14ac:dyDescent="0.25">
      <c r="A2211" s="1096"/>
      <c r="B2211" s="1455">
        <v>1961</v>
      </c>
      <c r="C2211" s="1100">
        <v>1.0350520935619079</v>
      </c>
      <c r="D2211" s="1100">
        <v>0.9981630604324494</v>
      </c>
      <c r="E2211" s="1100">
        <v>0.99579427307489021</v>
      </c>
      <c r="F2211" s="1100">
        <v>0.99148152467436312</v>
      </c>
      <c r="G2211" s="1100">
        <v>1.0457494896985258</v>
      </c>
      <c r="H2211" s="1100">
        <v>0.98555966397275674</v>
      </c>
      <c r="I2211" s="1100">
        <v>0.96488448197095711</v>
      </c>
      <c r="K2211">
        <v>2.1725197738016249</v>
      </c>
      <c r="L2211">
        <v>0</v>
      </c>
      <c r="M2211">
        <v>1.4862176606229799E-3</v>
      </c>
      <c r="N2211">
        <v>0.13340694904046374</v>
      </c>
      <c r="O2211">
        <v>1.9088481852264878E-2</v>
      </c>
      <c r="P2211">
        <v>2.5603820249093308E-2</v>
      </c>
      <c r="Q2211">
        <v>5.3008778873573801E-3</v>
      </c>
      <c r="R2211">
        <v>1.4650226580422455E-3</v>
      </c>
      <c r="S2211">
        <v>0.22423939276142302</v>
      </c>
      <c r="T2211">
        <v>1.3324095404473284</v>
      </c>
      <c r="U2211">
        <v>0.13792817439591903</v>
      </c>
      <c r="V2211">
        <v>0.18788517174663547</v>
      </c>
      <c r="W2211">
        <v>8.7859003663988647E-2</v>
      </c>
      <c r="X2211">
        <v>1.4832248029130461E-2</v>
      </c>
      <c r="Y2211">
        <v>3.9873087306015629E-3</v>
      </c>
    </row>
    <row r="2212" spans="1:25" x14ac:dyDescent="0.25">
      <c r="A2212" s="1096"/>
      <c r="B2212" s="1455">
        <v>1962</v>
      </c>
      <c r="C2212" s="1100">
        <v>0.98978897350594985</v>
      </c>
      <c r="D2212" s="1100">
        <v>1.0294136217807455</v>
      </c>
      <c r="E2212" s="1100">
        <v>1.0467932122638082</v>
      </c>
      <c r="F2212" s="1100">
        <v>0.99418398891376536</v>
      </c>
      <c r="G2212" s="1100">
        <v>1.0187447608466651</v>
      </c>
      <c r="H2212" s="1100">
        <v>0.97941024350106431</v>
      </c>
      <c r="I2212" s="1100">
        <v>1.0084243905022643</v>
      </c>
      <c r="K2212">
        <v>2.2192754125271232</v>
      </c>
      <c r="L2212">
        <v>0</v>
      </c>
      <c r="M2212">
        <v>1.3795790602878556E-3</v>
      </c>
      <c r="N2212">
        <v>0.14441567219327761</v>
      </c>
      <c r="O2212">
        <v>1.9858560424957872E-2</v>
      </c>
      <c r="P2212">
        <v>2.6955277240195124E-2</v>
      </c>
      <c r="Q2212">
        <v>5.8013416791829848E-3</v>
      </c>
      <c r="R2212">
        <v>1.3597813060466902E-3</v>
      </c>
      <c r="S2212">
        <v>0.24123043628841495</v>
      </c>
      <c r="T2212">
        <v>1.336145135742572</v>
      </c>
      <c r="U2212">
        <v>0.14435464671646295</v>
      </c>
      <c r="V2212">
        <v>0.18750040036670149</v>
      </c>
      <c r="W2212">
        <v>9.2315822889126056E-2</v>
      </c>
      <c r="X2212">
        <v>1.7017040277202695E-2</v>
      </c>
      <c r="Y2212">
        <v>3.7008764632720215E-3</v>
      </c>
    </row>
    <row r="2213" spans="1:25" x14ac:dyDescent="0.25">
      <c r="A2213" s="1096"/>
      <c r="B2213" s="1455">
        <v>1963</v>
      </c>
      <c r="C2213" s="1100">
        <v>1.0026126705049463</v>
      </c>
      <c r="D2213" s="1100">
        <v>0.97548047960668816</v>
      </c>
      <c r="E2213" s="1100">
        <v>0.99967050199812613</v>
      </c>
      <c r="F2213" s="1100">
        <v>1.0035160554385589</v>
      </c>
      <c r="G2213" s="1100">
        <v>1.0321376323897506</v>
      </c>
      <c r="H2213" s="1100">
        <v>0.98314418974576268</v>
      </c>
      <c r="I2213" s="1100">
        <v>0.98697623802379186</v>
      </c>
      <c r="K2213">
        <v>2.2191513884559311</v>
      </c>
      <c r="L2213">
        <v>0</v>
      </c>
      <c r="M2213">
        <v>1.5259885174693361E-3</v>
      </c>
      <c r="N2213">
        <v>0.13858578920236775</v>
      </c>
      <c r="O2213">
        <v>1.980842169882634E-2</v>
      </c>
      <c r="P2213">
        <v>2.617068944299351E-2</v>
      </c>
      <c r="Q2213">
        <v>5.52230708538485E-3</v>
      </c>
      <c r="R2213">
        <v>1.5041728740848215E-3</v>
      </c>
      <c r="S2213">
        <v>0.23937953325790665</v>
      </c>
      <c r="T2213">
        <v>1.3485882319513123</v>
      </c>
      <c r="U2213">
        <v>0.14239972323799949</v>
      </c>
      <c r="V2213">
        <v>0.18820416802294315</v>
      </c>
      <c r="W2213">
        <v>9.1059275784675098E-2</v>
      </c>
      <c r="X2213">
        <v>1.5361201702101758E-2</v>
      </c>
      <c r="Y2213">
        <v>4.0938627128042039E-3</v>
      </c>
    </row>
    <row r="2214" spans="1:25" x14ac:dyDescent="0.25">
      <c r="A2214" s="1096"/>
      <c r="B2214" s="1455">
        <v>1964</v>
      </c>
      <c r="C2214" s="1100">
        <v>1.0123354580134212</v>
      </c>
      <c r="D2214" s="1100">
        <v>1.0048474625493784</v>
      </c>
      <c r="E2214" s="1100">
        <v>1.0070126380348836</v>
      </c>
      <c r="F2214" s="1100">
        <v>1.0037601890095833</v>
      </c>
      <c r="G2214" s="1100">
        <v>0.99572461867432005</v>
      </c>
      <c r="H2214" s="1100">
        <v>0.99522178211940837</v>
      </c>
      <c r="I2214" s="1100">
        <v>0.97392365945401804</v>
      </c>
      <c r="K2214">
        <v>2.2055106027440829</v>
      </c>
      <c r="L2214">
        <v>0</v>
      </c>
      <c r="M2214">
        <v>1.4969629912448554E-3</v>
      </c>
      <c r="N2214">
        <v>0.13902284181388525</v>
      </c>
      <c r="O2214">
        <v>1.9495103934114473E-2</v>
      </c>
      <c r="P2214">
        <v>2.6127436555818648E-2</v>
      </c>
      <c r="Q2214">
        <v>5.475143201997254E-3</v>
      </c>
      <c r="R2214">
        <v>1.4758220086933552E-3</v>
      </c>
      <c r="S2214">
        <v>0.23147450103663281</v>
      </c>
      <c r="T2214">
        <v>1.3489285809982934</v>
      </c>
      <c r="U2214">
        <v>0.14104877823411369</v>
      </c>
      <c r="V2214">
        <v>0.18352632150048928</v>
      </c>
      <c r="W2214">
        <v>9.0949744655803383E-2</v>
      </c>
      <c r="X2214">
        <v>1.5466590792414945E-2</v>
      </c>
      <c r="Y2214">
        <v>4.0167010030688977E-3</v>
      </c>
    </row>
    <row r="2215" spans="1:25" x14ac:dyDescent="0.25">
      <c r="A2215" s="1096"/>
      <c r="B2215" s="1455">
        <v>1965</v>
      </c>
      <c r="C2215" s="1100">
        <v>0.98519851601017361</v>
      </c>
      <c r="D2215" s="1100">
        <v>1.0154926019774231</v>
      </c>
      <c r="E2215" s="1100">
        <v>1.0282989329221197</v>
      </c>
      <c r="F2215" s="1100">
        <v>0.99966513094184939</v>
      </c>
      <c r="G2215" s="1100">
        <v>0.99220532563056607</v>
      </c>
      <c r="H2215" s="1100">
        <v>0.99729806223443773</v>
      </c>
      <c r="I2215" s="1100">
        <v>0.99744461140183194</v>
      </c>
      <c r="K2215">
        <v>2.2285178596622952</v>
      </c>
      <c r="L2215">
        <v>0</v>
      </c>
      <c r="M2215">
        <v>1.4712353733305171E-3</v>
      </c>
      <c r="N2215">
        <v>0.14570140136026252</v>
      </c>
      <c r="O2215">
        <v>1.9999188982177507E-2</v>
      </c>
      <c r="P2215">
        <v>2.6690560673813469E-2</v>
      </c>
      <c r="Q2215">
        <v>5.7369973021493296E-3</v>
      </c>
      <c r="R2215">
        <v>1.45050098825513E-3</v>
      </c>
      <c r="S2215">
        <v>0.24265161059123341</v>
      </c>
      <c r="T2215">
        <v>1.3434673046511532</v>
      </c>
      <c r="U2215">
        <v>0.14498379480190107</v>
      </c>
      <c r="V2215">
        <v>0.184762547028861</v>
      </c>
      <c r="W2215">
        <v>9.413702205024907E-2</v>
      </c>
      <c r="X2215">
        <v>1.6460381073060568E-2</v>
      </c>
      <c r="Y2215">
        <v>3.9477855325081935E-3</v>
      </c>
    </row>
    <row r="2216" spans="1:25" x14ac:dyDescent="0.25">
      <c r="A2216" s="1096"/>
      <c r="B2216" s="1455">
        <v>1966</v>
      </c>
      <c r="C2216" s="1100">
        <v>0.99833238871423502</v>
      </c>
      <c r="D2216" s="1100">
        <v>1.0244075986242542</v>
      </c>
      <c r="E2216" s="1100">
        <v>0.97452640517260092</v>
      </c>
      <c r="F2216" s="1100">
        <v>0.97773934259524986</v>
      </c>
      <c r="G2216" s="1100">
        <v>0.98550076113064644</v>
      </c>
      <c r="H2216" s="1100">
        <v>1.0049640135549911</v>
      </c>
      <c r="I2216" s="1100">
        <v>0.97927460143999334</v>
      </c>
      <c r="K2216">
        <v>2.1721565032941532</v>
      </c>
      <c r="L2216">
        <v>0</v>
      </c>
      <c r="M2216">
        <v>1.6325711593992867E-3</v>
      </c>
      <c r="N2216">
        <v>0.13745276806023343</v>
      </c>
      <c r="O2216">
        <v>1.9664694305279073E-2</v>
      </c>
      <c r="P2216">
        <v>2.5086648618630636E-2</v>
      </c>
      <c r="Q2216">
        <v>5.3444430250906335E-3</v>
      </c>
      <c r="R2216">
        <v>1.6097385479348328E-3</v>
      </c>
      <c r="S2216">
        <v>0.23428051904198885</v>
      </c>
      <c r="T2216">
        <v>1.3139156503902851</v>
      </c>
      <c r="U2216">
        <v>0.1429523857034031</v>
      </c>
      <c r="V2216">
        <v>0.18316449143736072</v>
      </c>
      <c r="W2216">
        <v>9.1688710510168636E-2</v>
      </c>
      <c r="X2216">
        <v>1.4247847135867573E-2</v>
      </c>
      <c r="Y2216">
        <v>4.3811776773089017E-3</v>
      </c>
    </row>
    <row r="2217" spans="1:25" x14ac:dyDescent="0.25">
      <c r="A2217" s="1096"/>
      <c r="B2217" s="1455">
        <v>1967</v>
      </c>
      <c r="C2217" s="1100">
        <v>0.98778159204238425</v>
      </c>
      <c r="D2217" s="1100">
        <v>1.0310196528441302</v>
      </c>
      <c r="E2217" s="1100">
        <v>1.0073293924948301</v>
      </c>
      <c r="F2217" s="1100">
        <v>1.0111648079750404</v>
      </c>
      <c r="G2217" s="1100">
        <v>0.98090749613585571</v>
      </c>
      <c r="H2217" s="1100">
        <v>1.0106500197047512</v>
      </c>
      <c r="I2217" s="1100">
        <v>0.98577650048879617</v>
      </c>
      <c r="K2217">
        <v>2.2348429725659389</v>
      </c>
      <c r="L2217">
        <v>0</v>
      </c>
      <c r="M2217">
        <v>1.5481503509977646E-3</v>
      </c>
      <c r="N2217">
        <v>0.14394566428788111</v>
      </c>
      <c r="O2217">
        <v>1.9867203151291507E-2</v>
      </c>
      <c r="P2217">
        <v>2.6408818064024987E-2</v>
      </c>
      <c r="Q2217">
        <v>5.5814159661649095E-3</v>
      </c>
      <c r="R2217">
        <v>1.5266202372810804E-3</v>
      </c>
      <c r="S2217">
        <v>0.23829575557952395</v>
      </c>
      <c r="T2217">
        <v>1.3588800256008542</v>
      </c>
      <c r="U2217">
        <v>0.14455564949500257</v>
      </c>
      <c r="V2217">
        <v>0.18330861517961614</v>
      </c>
      <c r="W2217">
        <v>9.4152663606371575E-2</v>
      </c>
      <c r="X2217">
        <v>1.5713734713269693E-2</v>
      </c>
      <c r="Y2217">
        <v>4.1549570356531323E-3</v>
      </c>
    </row>
    <row r="2218" spans="1:25" x14ac:dyDescent="0.25">
      <c r="A2218" s="1096"/>
      <c r="B2218" s="1455">
        <v>1968</v>
      </c>
      <c r="C2218" s="1100">
        <v>0.9866461140748044</v>
      </c>
      <c r="D2218" s="1100">
        <v>0.99966169709108943</v>
      </c>
      <c r="E2218" s="1100">
        <v>0.98343555594022691</v>
      </c>
      <c r="F2218" s="1100">
        <v>0.9743138628272483</v>
      </c>
      <c r="G2218" s="1100">
        <v>0.99021363322048939</v>
      </c>
      <c r="H2218" s="1100">
        <v>1.0163456160712308</v>
      </c>
      <c r="I2218" s="1100">
        <v>1.0050133746189547</v>
      </c>
      <c r="K2218">
        <v>2.1929786945595002</v>
      </c>
      <c r="L2218">
        <v>0</v>
      </c>
      <c r="M2218">
        <v>1.6489738367352637E-3</v>
      </c>
      <c r="N2218">
        <v>0.14265002769836999</v>
      </c>
      <c r="O2218">
        <v>2.0010563819160238E-2</v>
      </c>
      <c r="P2218">
        <v>2.5409938304208027E-2</v>
      </c>
      <c r="Q2218">
        <v>5.4879412825202803E-3</v>
      </c>
      <c r="R2218">
        <v>1.6261700839757297E-3</v>
      </c>
      <c r="S2218">
        <v>0.24725682608150329</v>
      </c>
      <c r="T2218">
        <v>1.3093222121794035</v>
      </c>
      <c r="U2218">
        <v>0.14466629619076041</v>
      </c>
      <c r="V2218">
        <v>0.18440845344172097</v>
      </c>
      <c r="W2218">
        <v>9.4644641524401635E-2</v>
      </c>
      <c r="X2218">
        <v>1.4718698888450718E-2</v>
      </c>
      <c r="Y2218">
        <v>4.4258989017578248E-3</v>
      </c>
    </row>
    <row r="2219" spans="1:25" x14ac:dyDescent="0.25">
      <c r="A2219" s="1096"/>
      <c r="B2219" s="1455">
        <v>1969</v>
      </c>
      <c r="C2219" s="1100">
        <v>1.0274865052274025</v>
      </c>
      <c r="D2219" s="1100">
        <v>1.0143692040866297</v>
      </c>
      <c r="E2219" s="1100">
        <v>0.9936558748660993</v>
      </c>
      <c r="F2219" s="1100">
        <v>1.0276014699864633</v>
      </c>
      <c r="G2219" s="1100">
        <v>1.0262095010724495</v>
      </c>
      <c r="H2219" s="1100">
        <v>1.0206248142186085</v>
      </c>
      <c r="I2219" s="1100">
        <v>1.0127018358791198</v>
      </c>
      <c r="K2219">
        <v>2.2437946919098999</v>
      </c>
      <c r="L2219">
        <v>0</v>
      </c>
      <c r="M2219">
        <v>1.5518070206616838E-3</v>
      </c>
      <c r="N2219">
        <v>0.13846585280791932</v>
      </c>
      <c r="O2219">
        <v>1.9159726985788803E-2</v>
      </c>
      <c r="P2219">
        <v>2.639731075817589E-2</v>
      </c>
      <c r="Q2219">
        <v>5.3092049538990219E-3</v>
      </c>
      <c r="R2219">
        <v>1.5304369692869452E-3</v>
      </c>
      <c r="S2219">
        <v>0.23793087180514688</v>
      </c>
      <c r="T2219">
        <v>1.3809463411090397</v>
      </c>
      <c r="U2219">
        <v>0.13893897950958706</v>
      </c>
      <c r="V2219">
        <v>0.18609662723212167</v>
      </c>
      <c r="W2219">
        <v>9.1307147766530469E-2</v>
      </c>
      <c r="X2219">
        <v>1.509865411107913E-2</v>
      </c>
      <c r="Y2219">
        <v>4.1653449219877297E-3</v>
      </c>
    </row>
    <row r="2220" spans="1:25" x14ac:dyDescent="0.25">
      <c r="A2220" s="1096"/>
      <c r="B2220" s="1455">
        <v>1970</v>
      </c>
      <c r="C2220" s="1100">
        <v>0.99973151571044427</v>
      </c>
      <c r="D2220" s="1100">
        <v>0.96228542086522717</v>
      </c>
      <c r="E2220" s="1100">
        <v>1.010901203762149</v>
      </c>
      <c r="F2220" s="1100">
        <v>1.0182842372035728</v>
      </c>
      <c r="G2220" s="1100">
        <v>1.0225826451582118</v>
      </c>
      <c r="H2220" s="1100">
        <v>0.99856406861605762</v>
      </c>
      <c r="I2220" s="1100">
        <v>0.99972565509428246</v>
      </c>
      <c r="K2220">
        <v>2.2536381627401854</v>
      </c>
      <c r="L2220">
        <v>0</v>
      </c>
      <c r="M2220">
        <v>1.5231247273501647E-3</v>
      </c>
      <c r="N2220">
        <v>0.14312984837944234</v>
      </c>
      <c r="O2220">
        <v>1.99322010654319E-2</v>
      </c>
      <c r="P2220">
        <v>2.6750125790038385E-2</v>
      </c>
      <c r="Q2220">
        <v>5.619715536378119E-3</v>
      </c>
      <c r="R2220">
        <v>1.5016862710187766E-3</v>
      </c>
      <c r="S2220">
        <v>0.24618008483031423</v>
      </c>
      <c r="T2220">
        <v>1.3684541628226674</v>
      </c>
      <c r="U2220">
        <v>0.14283599386523552</v>
      </c>
      <c r="V2220">
        <v>0.18730453987968737</v>
      </c>
      <c r="W2220">
        <v>9.342193952404583E-2</v>
      </c>
      <c r="X2220">
        <v>1.5943894504308925E-2</v>
      </c>
      <c r="Y2220">
        <v>4.0870949989669104E-3</v>
      </c>
    </row>
    <row r="2221" spans="1:25" x14ac:dyDescent="0.25">
      <c r="A2221" s="1096"/>
      <c r="B2221" s="1455">
        <v>1971</v>
      </c>
      <c r="C2221" s="1100">
        <v>1.0025709668219447</v>
      </c>
      <c r="D2221" s="1100">
        <v>0.97182105614721459</v>
      </c>
      <c r="E2221" s="1100">
        <v>1.0313398040608566</v>
      </c>
      <c r="F2221" s="1100">
        <v>0.97748974088477558</v>
      </c>
      <c r="G2221" s="1100">
        <v>0.98221275710742351</v>
      </c>
      <c r="H2221" s="1100">
        <v>1.0093378355305376</v>
      </c>
      <c r="I2221" s="1100">
        <v>1.0194708684916682</v>
      </c>
      <c r="K2221">
        <v>2.2025383537089249</v>
      </c>
      <c r="L2221">
        <v>0</v>
      </c>
      <c r="M2221">
        <v>1.4680823817394481E-3</v>
      </c>
      <c r="N2221">
        <v>0.14675308591131259</v>
      </c>
      <c r="O2221">
        <v>1.9845535598540427E-2</v>
      </c>
      <c r="P2221">
        <v>2.6372848685600112E-2</v>
      </c>
      <c r="Q2221">
        <v>5.7100632448397757E-3</v>
      </c>
      <c r="R2221">
        <v>1.4476392300858956E-3</v>
      </c>
      <c r="S2221">
        <v>0.25013828799199156</v>
      </c>
      <c r="T2221">
        <v>1.3136720473377765</v>
      </c>
      <c r="U2221">
        <v>0.14247854440029833</v>
      </c>
      <c r="V2221">
        <v>0.18259204725616229</v>
      </c>
      <c r="W2221">
        <v>9.4649269096028013E-2</v>
      </c>
      <c r="X2221">
        <v>1.6407070567875846E-2</v>
      </c>
      <c r="Y2221">
        <v>3.9399967701498643E-3</v>
      </c>
    </row>
    <row r="2222" spans="1:25" x14ac:dyDescent="0.25">
      <c r="A2222" s="1096"/>
      <c r="B2222" s="1455">
        <v>1972</v>
      </c>
      <c r="C2222" s="1100">
        <v>1.0116041915240139</v>
      </c>
      <c r="D2222" s="1100">
        <v>0.99713628104140117</v>
      </c>
      <c r="E2222" s="1100">
        <v>0.98573166366784182</v>
      </c>
      <c r="F2222" s="1100">
        <v>0.96253213895092826</v>
      </c>
      <c r="G2222" s="1100">
        <v>0.98402074413873042</v>
      </c>
      <c r="H2222" s="1100">
        <v>0.96764644970326652</v>
      </c>
      <c r="I2222" s="1100">
        <v>1.000110061385092</v>
      </c>
      <c r="K2222">
        <v>2.1424000698762611</v>
      </c>
      <c r="L2222">
        <v>0</v>
      </c>
      <c r="M2222">
        <v>1.524818133352095E-3</v>
      </c>
      <c r="N2222">
        <v>0.13273506522029116</v>
      </c>
      <c r="O2222">
        <v>1.9529146649386486E-2</v>
      </c>
      <c r="P2222">
        <v>2.5016803767950763E-2</v>
      </c>
      <c r="Q2222">
        <v>5.3683936729866663E-3</v>
      </c>
      <c r="R2222">
        <v>1.5026700924241137E-3</v>
      </c>
      <c r="S2222">
        <v>0.23644065957930863</v>
      </c>
      <c r="T2222">
        <v>1.2934922314228812</v>
      </c>
      <c r="U2222">
        <v>0.14110233381352874</v>
      </c>
      <c r="V2222">
        <v>0.182227305712542</v>
      </c>
      <c r="W2222">
        <v>8.7944745339811753E-2</v>
      </c>
      <c r="X2222">
        <v>1.4475760101982192E-2</v>
      </c>
      <c r="Y2222">
        <v>4.0897726365155991E-3</v>
      </c>
    </row>
    <row r="2223" spans="1:25" x14ac:dyDescent="0.25">
      <c r="A2223" s="1096"/>
      <c r="B2223" s="1455">
        <v>1973</v>
      </c>
      <c r="C2223" s="1100">
        <v>1.0167917322250331</v>
      </c>
      <c r="D2223" s="1100">
        <v>1.0411635439398432</v>
      </c>
      <c r="E2223" s="1100">
        <v>0.99844019369711079</v>
      </c>
      <c r="F2223" s="1100">
        <v>0.99629212899411246</v>
      </c>
      <c r="G2223" s="1100">
        <v>0.98788665339776915</v>
      </c>
      <c r="H2223" s="1100">
        <v>0.97685240671328066</v>
      </c>
      <c r="I2223" s="1100">
        <v>0.9848105228569598</v>
      </c>
      <c r="K2223">
        <v>2.1800338953756397</v>
      </c>
      <c r="L2223">
        <v>0</v>
      </c>
      <c r="M2223">
        <v>1.4775639055749875E-3</v>
      </c>
      <c r="N2223">
        <v>0.1336776307442715</v>
      </c>
      <c r="O2223">
        <v>1.9253428575469633E-2</v>
      </c>
      <c r="P2223">
        <v>2.5745767350244628E-2</v>
      </c>
      <c r="Q2223">
        <v>5.3609455233617036E-3</v>
      </c>
      <c r="R2223">
        <v>1.4563044910762234E-3</v>
      </c>
      <c r="S2223">
        <v>0.22749162997074784</v>
      </c>
      <c r="T2223">
        <v>1.3388783371789588</v>
      </c>
      <c r="U2223">
        <v>0.14041118759162638</v>
      </c>
      <c r="V2223">
        <v>0.18237603416753687</v>
      </c>
      <c r="W2223">
        <v>8.7898616097416074E-2</v>
      </c>
      <c r="X2223">
        <v>1.4997996836443477E-2</v>
      </c>
      <c r="Y2223">
        <v>3.963580754063019E-3</v>
      </c>
    </row>
    <row r="2224" spans="1:25" x14ac:dyDescent="0.25">
      <c r="A2224" s="1096"/>
      <c r="B2224" s="1455">
        <v>1974</v>
      </c>
      <c r="C2224" s="1100">
        <v>0.99368332071059029</v>
      </c>
      <c r="D2224" s="1100">
        <v>1.025674280464447</v>
      </c>
      <c r="E2224" s="1100">
        <v>0.98282793576749983</v>
      </c>
      <c r="F2224" s="1100">
        <v>1.0368984510702213</v>
      </c>
      <c r="G2224" s="1100">
        <v>1.0190421972970489</v>
      </c>
      <c r="H2224" s="1100">
        <v>1.0297759776433111</v>
      </c>
      <c r="I2224" s="1100">
        <v>0.96891016756108328</v>
      </c>
      <c r="K2224">
        <v>2.2673012272829012</v>
      </c>
      <c r="L2224">
        <v>0</v>
      </c>
      <c r="M2224">
        <v>1.6516576534480398E-3</v>
      </c>
      <c r="N2224">
        <v>0.142645903370891</v>
      </c>
      <c r="O2224">
        <v>1.9756499453765231E-2</v>
      </c>
      <c r="P2224">
        <v>2.6386521391283297E-2</v>
      </c>
      <c r="Q2224">
        <v>5.4149241906126825E-3</v>
      </c>
      <c r="R2224">
        <v>1.6291146771438688E-3</v>
      </c>
      <c r="S2224">
        <v>0.23473088961183977</v>
      </c>
      <c r="T2224">
        <v>1.3934251318517992</v>
      </c>
      <c r="U2224">
        <v>0.14364037399297519</v>
      </c>
      <c r="V2224">
        <v>0.18724104111972315</v>
      </c>
      <c r="W2224">
        <v>9.4676549081677538E-2</v>
      </c>
      <c r="X2224">
        <v>1.4972023080962215E-2</v>
      </c>
      <c r="Y2224">
        <v>4.4339131136766222E-3</v>
      </c>
    </row>
    <row r="2225" spans="1:25" x14ac:dyDescent="0.25">
      <c r="A2225" s="1096"/>
      <c r="B2225" s="1455">
        <v>1975</v>
      </c>
      <c r="C2225" s="1100">
        <v>1.0080268665518737</v>
      </c>
      <c r="D2225" s="1100">
        <v>0.98656708711120611</v>
      </c>
      <c r="E2225" s="1100">
        <v>1.0440825115849652</v>
      </c>
      <c r="F2225" s="1100">
        <v>1.0256665493836308</v>
      </c>
      <c r="G2225" s="1100">
        <v>0.98102584907256063</v>
      </c>
      <c r="H2225" s="1100">
        <v>0.97590939405963439</v>
      </c>
      <c r="I2225" s="1100">
        <v>0.97011615445467125</v>
      </c>
      <c r="K2225">
        <v>2.2414446237530434</v>
      </c>
      <c r="L2225">
        <v>0</v>
      </c>
      <c r="M2225">
        <v>1.3701955836997416E-3</v>
      </c>
      <c r="N2225">
        <v>0.14225997892236122</v>
      </c>
      <c r="O2225">
        <v>1.9680800690061062E-2</v>
      </c>
      <c r="P2225">
        <v>2.7263258829187793E-2</v>
      </c>
      <c r="Q2225">
        <v>5.7341534623825416E-3</v>
      </c>
      <c r="R2225">
        <v>1.3504619509400718E-3</v>
      </c>
      <c r="S2225">
        <v>0.23246824294908969</v>
      </c>
      <c r="T2225">
        <v>1.3784493695979418</v>
      </c>
      <c r="U2225">
        <v>0.14173665360122217</v>
      </c>
      <c r="V2225">
        <v>0.18214942699843001</v>
      </c>
      <c r="W2225">
        <v>9.10793044176859E-2</v>
      </c>
      <c r="X2225">
        <v>1.6967655666640505E-2</v>
      </c>
      <c r="Y2225">
        <v>3.6755122507963925E-3</v>
      </c>
    </row>
    <row r="2226" spans="1:25" x14ac:dyDescent="0.25">
      <c r="A2226" s="1096"/>
      <c r="B2226" s="1455">
        <v>1976</v>
      </c>
      <c r="C2226" s="1100">
        <v>1.041383154485821</v>
      </c>
      <c r="D2226" s="1100">
        <v>0.99617251408811758</v>
      </c>
      <c r="E2226" s="1100">
        <v>1.0206885756283086</v>
      </c>
      <c r="F2226" s="1100">
        <v>0.97265786431933687</v>
      </c>
      <c r="G2226" s="1100">
        <v>0.98671736366883633</v>
      </c>
      <c r="H2226" s="1100">
        <v>0.99358006512830777</v>
      </c>
      <c r="I2226" s="1100">
        <v>1.005539274371416</v>
      </c>
      <c r="K2226">
        <v>2.153752718575157</v>
      </c>
      <c r="L2226">
        <v>0</v>
      </c>
      <c r="M2226">
        <v>1.4147837291385178E-3</v>
      </c>
      <c r="N2226">
        <v>0.13692438512363542</v>
      </c>
      <c r="O2226">
        <v>1.8995732157468154E-2</v>
      </c>
      <c r="P2226">
        <v>2.5747877620588753E-2</v>
      </c>
      <c r="Q2226">
        <v>5.4081736293550009E-3</v>
      </c>
      <c r="R2226">
        <v>1.3947703158431713E-3</v>
      </c>
      <c r="S2226">
        <v>0.23330383397600915</v>
      </c>
      <c r="T2226">
        <v>1.3071560877299719</v>
      </c>
      <c r="U2226">
        <v>0.13714475049159564</v>
      </c>
      <c r="V2226">
        <v>0.18088529440941103</v>
      </c>
      <c r="W2226">
        <v>8.8859607918808189E-2</v>
      </c>
      <c r="X2226">
        <v>1.5550883917795053E-2</v>
      </c>
      <c r="Y2226">
        <v>3.796105013814065E-3</v>
      </c>
    </row>
    <row r="2227" spans="1:25" x14ac:dyDescent="0.25">
      <c r="A2227" s="1096"/>
      <c r="B2227" s="1455">
        <v>1977</v>
      </c>
      <c r="C2227" s="1100">
        <v>0.98489237950454744</v>
      </c>
      <c r="D2227" s="1100">
        <v>0.99750844141857831</v>
      </c>
      <c r="E2227" s="1100">
        <v>1.0278492076079206</v>
      </c>
      <c r="F2227" s="1100">
        <v>0.9715680354798869</v>
      </c>
      <c r="G2227" s="1100">
        <v>1.0311951825010803</v>
      </c>
      <c r="H2227" s="1100">
        <v>0.99888956938523432</v>
      </c>
      <c r="I2227" s="1100">
        <v>0.96909593452845244</v>
      </c>
      <c r="K2227">
        <v>2.1913973577246231</v>
      </c>
      <c r="L2227">
        <v>0</v>
      </c>
      <c r="M2227">
        <v>1.4812342540732747E-3</v>
      </c>
      <c r="N2227">
        <v>0.14649619318161336</v>
      </c>
      <c r="O2227">
        <v>2.0083916129457417E-2</v>
      </c>
      <c r="P2227">
        <v>2.615424746085029E-2</v>
      </c>
      <c r="Q2227">
        <v>5.7587384079837659E-3</v>
      </c>
      <c r="R2227">
        <v>1.460392213094892E-3</v>
      </c>
      <c r="S2227">
        <v>0.23805905431762189</v>
      </c>
      <c r="T2227">
        <v>1.305706171828283</v>
      </c>
      <c r="U2227">
        <v>0.14502780471620619</v>
      </c>
      <c r="V2227">
        <v>0.18918783187103372</v>
      </c>
      <c r="W2227">
        <v>9.4675283049705891E-2</v>
      </c>
      <c r="X2227">
        <v>1.6294252616965946E-2</v>
      </c>
      <c r="Y2227">
        <v>3.9747061858806327E-3</v>
      </c>
    </row>
    <row r="2228" spans="1:25" x14ac:dyDescent="0.25">
      <c r="A2228" s="1096"/>
      <c r="B2228" s="1455">
        <v>1978</v>
      </c>
      <c r="C2228" s="1100">
        <v>0.9869147532898136</v>
      </c>
      <c r="D2228" s="1100">
        <v>0.9935287125133182</v>
      </c>
      <c r="E2228" s="1100">
        <v>0.99452625899316216</v>
      </c>
      <c r="F2228" s="1100">
        <v>1.0059756167537159</v>
      </c>
      <c r="G2228" s="1100">
        <v>1.0129405140507297</v>
      </c>
      <c r="H2228" s="1100">
        <v>0.99041038493580813</v>
      </c>
      <c r="I2228" s="1100">
        <v>1.002175103149848</v>
      </c>
      <c r="K2228">
        <v>2.2332825309413078</v>
      </c>
      <c r="L2228">
        <v>0</v>
      </c>
      <c r="M2228">
        <v>1.5721114371153339E-3</v>
      </c>
      <c r="N2228">
        <v>0.14058720079811737</v>
      </c>
      <c r="O2228">
        <v>2.0039237233400883E-2</v>
      </c>
      <c r="P2228">
        <v>2.6208312985303166E-2</v>
      </c>
      <c r="Q2228">
        <v>5.5577955627366636E-3</v>
      </c>
      <c r="R2228">
        <v>1.5498013062056849E-3</v>
      </c>
      <c r="S2228">
        <v>0.24522094723478494</v>
      </c>
      <c r="T2228">
        <v>1.3518856332420781</v>
      </c>
      <c r="U2228">
        <v>0.14465274538765371</v>
      </c>
      <c r="V2228">
        <v>0.1869708010332557</v>
      </c>
      <c r="W2228">
        <v>9.2657837501231452E-2</v>
      </c>
      <c r="X2228">
        <v>1.5306281830027316E-2</v>
      </c>
      <c r="Y2228">
        <v>4.218048263628588E-3</v>
      </c>
    </row>
    <row r="2229" spans="1:25" x14ac:dyDescent="0.25">
      <c r="A2229" s="1096"/>
      <c r="B2229" s="1455">
        <v>1979</v>
      </c>
      <c r="C2229" s="1100">
        <v>1.0025569256838416</v>
      </c>
      <c r="D2229" s="1100">
        <v>0.98980942485987056</v>
      </c>
      <c r="E2229" s="1100">
        <v>1.0224267038882562</v>
      </c>
      <c r="F2229" s="1100">
        <v>1.0163081463494081</v>
      </c>
      <c r="G2229" s="1100">
        <v>0.97255629400269661</v>
      </c>
      <c r="H2229" s="1100">
        <v>0.99206869524340968</v>
      </c>
      <c r="I2229" s="1100">
        <v>0.96402755524949624</v>
      </c>
      <c r="K2229">
        <v>2.2296970982269468</v>
      </c>
      <c r="L2229">
        <v>0</v>
      </c>
      <c r="M2229">
        <v>1.4641032891052552E-3</v>
      </c>
      <c r="N2229">
        <v>0.14243934016937596</v>
      </c>
      <c r="O2229">
        <v>1.9760309036708206E-2</v>
      </c>
      <c r="P2229">
        <v>2.6672004908663258E-2</v>
      </c>
      <c r="Q2229">
        <v>5.6355734867911556E-3</v>
      </c>
      <c r="R2229">
        <v>1.4433606530454377E-3</v>
      </c>
      <c r="S2229">
        <v>0.23297647794329637</v>
      </c>
      <c r="T2229">
        <v>1.3658213869821514</v>
      </c>
      <c r="U2229">
        <v>0.14245998815476327</v>
      </c>
      <c r="V2229">
        <v>0.18149314985166801</v>
      </c>
      <c r="W2229">
        <v>9.2344801914352667E-2</v>
      </c>
      <c r="X2229">
        <v>1.6186456521357001E-2</v>
      </c>
      <c r="Y2229">
        <v>3.9283518938782796E-3</v>
      </c>
    </row>
    <row r="2230" spans="1:25" x14ac:dyDescent="0.25">
      <c r="A2230" s="1096"/>
      <c r="B2230" s="1455">
        <v>1980</v>
      </c>
      <c r="C2230" s="1100">
        <v>0.98201860406207464</v>
      </c>
      <c r="D2230" s="1100">
        <v>1.0074626110498133</v>
      </c>
      <c r="E2230" s="1100">
        <v>0.99823726085875975</v>
      </c>
      <c r="F2230" s="1100">
        <v>1.0105585017254428</v>
      </c>
      <c r="G2230" s="1100">
        <v>0.97771906456960933</v>
      </c>
      <c r="H2230" s="1100">
        <v>1.032070972224066</v>
      </c>
      <c r="I2230" s="1100">
        <v>1.0014219713593437</v>
      </c>
      <c r="K2230">
        <v>2.250912651319557</v>
      </c>
      <c r="L2230">
        <v>0</v>
      </c>
      <c r="M2230">
        <v>1.6287924479558959E-3</v>
      </c>
      <c r="N2230">
        <v>0.14738421857611309</v>
      </c>
      <c r="O2230">
        <v>2.0079892604591414E-2</v>
      </c>
      <c r="P2230">
        <v>2.6362566364449946E-2</v>
      </c>
      <c r="Q2230">
        <v>5.5899256432090736E-3</v>
      </c>
      <c r="R2230">
        <v>1.6066109863106819E-3</v>
      </c>
      <c r="S2230">
        <v>0.24797847844199314</v>
      </c>
      <c r="T2230">
        <v>1.3580500428791138</v>
      </c>
      <c r="U2230">
        <v>0.14538265056352118</v>
      </c>
      <c r="V2230">
        <v>0.18329245327231547</v>
      </c>
      <c r="W2230">
        <v>9.6922973840573426E-2</v>
      </c>
      <c r="X2230">
        <v>1.5518965109752885E-2</v>
      </c>
      <c r="Y2230">
        <v>4.3726654855683776E-3</v>
      </c>
    </row>
    <row r="2231" spans="1:25" x14ac:dyDescent="0.25">
      <c r="A2231" s="1096"/>
      <c r="B2231" s="1455">
        <v>1981</v>
      </c>
      <c r="C2231" s="1100">
        <v>0.98736893531737469</v>
      </c>
      <c r="D2231" s="1100">
        <v>0.97544928948682674</v>
      </c>
      <c r="E2231" s="1100">
        <v>1.0188754809357186</v>
      </c>
      <c r="F2231" s="1100">
        <v>1.0124470292711394</v>
      </c>
      <c r="G2231" s="1100">
        <v>0.98741797702531253</v>
      </c>
      <c r="H2231" s="1100">
        <v>0.99194769768076396</v>
      </c>
      <c r="I2231" s="1100">
        <v>0.96731393098213214</v>
      </c>
      <c r="K2231">
        <v>2.2397102369998181</v>
      </c>
      <c r="L2231">
        <v>0</v>
      </c>
      <c r="M2231">
        <v>1.5022904763791623E-3</v>
      </c>
      <c r="N2231">
        <v>0.1445968716150261</v>
      </c>
      <c r="O2231">
        <v>2.0126614716123703E-2</v>
      </c>
      <c r="P2231">
        <v>2.6681306600061308E-2</v>
      </c>
      <c r="Q2231">
        <v>5.719820790007219E-3</v>
      </c>
      <c r="R2231">
        <v>1.4810042284018568E-3</v>
      </c>
      <c r="S2231">
        <v>0.23907685152694058</v>
      </c>
      <c r="T2231">
        <v>1.3606250901778523</v>
      </c>
      <c r="U2231">
        <v>0.14464304157001434</v>
      </c>
      <c r="V2231">
        <v>0.18408021076880426</v>
      </c>
      <c r="W2231">
        <v>9.3938419733930814E-2</v>
      </c>
      <c r="X2231">
        <v>1.6212490452236123E-2</v>
      </c>
      <c r="Y2231">
        <v>4.0308052967971721E-3</v>
      </c>
    </row>
    <row r="2232" spans="1:25" x14ac:dyDescent="0.25">
      <c r="A2232" s="1096"/>
      <c r="B2232" s="1455">
        <v>1982</v>
      </c>
      <c r="C2232" s="1100">
        <v>1.0075748651895946</v>
      </c>
      <c r="D2232" s="1100">
        <v>0.9841658010356763</v>
      </c>
      <c r="E2232" s="1100">
        <v>0.99146859686010957</v>
      </c>
      <c r="F2232" s="1100">
        <v>0.97021568751844267</v>
      </c>
      <c r="G2232" s="1100">
        <v>1.0021156667321012</v>
      </c>
      <c r="H2232" s="1100">
        <v>1.0286036208896263</v>
      </c>
      <c r="I2232" s="1100">
        <v>0.98836128455060857</v>
      </c>
      <c r="K2232">
        <v>2.1780106472298213</v>
      </c>
      <c r="L2232">
        <v>0</v>
      </c>
      <c r="M2232">
        <v>1.6127783994562539E-3</v>
      </c>
      <c r="N2232">
        <v>0.14297339099341122</v>
      </c>
      <c r="O2232">
        <v>1.9667366793456861E-2</v>
      </c>
      <c r="P2232">
        <v>2.5365818615637074E-2</v>
      </c>
      <c r="Q2232">
        <v>5.4378547944414751E-3</v>
      </c>
      <c r="R2232">
        <v>1.5907409856722344E-3</v>
      </c>
      <c r="S2232">
        <v>0.24099742309967609</v>
      </c>
      <c r="T2232">
        <v>1.3038251931805962</v>
      </c>
      <c r="U2232">
        <v>0.14167969204649544</v>
      </c>
      <c r="V2232">
        <v>0.18451211158812586</v>
      </c>
      <c r="W2232">
        <v>9.4402874647605911E-2</v>
      </c>
      <c r="X2232">
        <v>1.4841486308781199E-2</v>
      </c>
      <c r="Y2232">
        <v>4.3294725753748277E-3</v>
      </c>
    </row>
    <row r="2233" spans="1:25" x14ac:dyDescent="0.25">
      <c r="A2233" s="1096"/>
      <c r="B2233" s="1455">
        <v>1983</v>
      </c>
      <c r="C2233" s="1100">
        <v>1.0111908934171912</v>
      </c>
      <c r="D2233" s="1100">
        <v>0.97745529632933481</v>
      </c>
      <c r="E2233" s="1100">
        <v>0.97511681821200935</v>
      </c>
      <c r="F2233" s="1100">
        <v>0.99063802517090294</v>
      </c>
      <c r="G2233" s="1100">
        <v>0.96463365484457619</v>
      </c>
      <c r="H2233" s="1100">
        <v>1.0359498086537247</v>
      </c>
      <c r="I2233" s="1100">
        <v>0.99011894355750329</v>
      </c>
      <c r="K2233">
        <v>2.199250913163699</v>
      </c>
      <c r="L2233">
        <v>0</v>
      </c>
      <c r="M2233">
        <v>1.6766996092015E-3</v>
      </c>
      <c r="N2233">
        <v>0.14148062157732566</v>
      </c>
      <c r="O2233">
        <v>1.9616430709360082E-2</v>
      </c>
      <c r="P2233">
        <v>2.5365259535010086E-2</v>
      </c>
      <c r="Q2233">
        <v>5.3345355163659357E-3</v>
      </c>
      <c r="R2233">
        <v>1.6539512265211277E-3</v>
      </c>
      <c r="S2233">
        <v>0.24183895825950677</v>
      </c>
      <c r="T2233">
        <v>1.3312498977604981</v>
      </c>
      <c r="U2233">
        <v>0.14113591350766677</v>
      </c>
      <c r="V2233">
        <v>0.18005076581506335</v>
      </c>
      <c r="W2233">
        <v>9.4341737090402444E-2</v>
      </c>
      <c r="X2233">
        <v>1.4358031761462308E-2</v>
      </c>
      <c r="Y2233">
        <v>4.501510013715221E-3</v>
      </c>
    </row>
    <row r="2234" spans="1:25" x14ac:dyDescent="0.25">
      <c r="A2234" s="1096"/>
      <c r="B2234" s="1455">
        <v>1984</v>
      </c>
      <c r="C2234" s="1100">
        <v>1.0029806369420076</v>
      </c>
      <c r="D2234" s="1100">
        <v>1.0074065035354258</v>
      </c>
      <c r="E2234" s="1100">
        <v>1.0068380337285281</v>
      </c>
      <c r="F2234" s="1100">
        <v>0.992646064689515</v>
      </c>
      <c r="G2234" s="1100">
        <v>1.0189493133089613</v>
      </c>
      <c r="H2234" s="1100">
        <v>0.99828917395516348</v>
      </c>
      <c r="I2234" s="1100">
        <v>1.0241237034356521</v>
      </c>
      <c r="K2234">
        <v>2.2122973159674548</v>
      </c>
      <c r="L2234">
        <v>0</v>
      </c>
      <c r="M2234">
        <v>1.5152835210900128E-3</v>
      </c>
      <c r="N2234">
        <v>0.1406562816451537</v>
      </c>
      <c r="O2234">
        <v>1.9665819119847532E-2</v>
      </c>
      <c r="P2234">
        <v>2.6174734055697473E-2</v>
      </c>
      <c r="Q2234">
        <v>5.5221225047834503E-3</v>
      </c>
      <c r="R2234">
        <v>1.4939495591606818E-3</v>
      </c>
      <c r="S2234">
        <v>0.24561397584022335</v>
      </c>
      <c r="T2234">
        <v>1.333992281294953</v>
      </c>
      <c r="U2234">
        <v>0.14236394186474993</v>
      </c>
      <c r="V2234">
        <v>0.1866979877165455</v>
      </c>
      <c r="W2234">
        <v>9.2027850445973697E-2</v>
      </c>
      <c r="X2234">
        <v>1.5537617221761103E-2</v>
      </c>
      <c r="Y2234">
        <v>4.0660382196955561E-3</v>
      </c>
    </row>
    <row r="2235" spans="1:25" x14ac:dyDescent="0.25">
      <c r="A2235" s="1096"/>
      <c r="B2235" s="1455">
        <v>1985</v>
      </c>
      <c r="C2235" s="1100">
        <v>1.0454485040115373</v>
      </c>
      <c r="D2235" s="1100">
        <v>1.0331178757287938</v>
      </c>
      <c r="E2235" s="1100">
        <v>0.98262297243332763</v>
      </c>
      <c r="F2235" s="1100">
        <v>1.0176079205581632</v>
      </c>
      <c r="G2235" s="1100">
        <v>1.0016982801898839</v>
      </c>
      <c r="H2235" s="1100">
        <v>1.0079667485138168</v>
      </c>
      <c r="I2235" s="1100">
        <v>0.98181638666479332</v>
      </c>
      <c r="K2235">
        <v>2.1984788348857784</v>
      </c>
      <c r="L2235">
        <v>0</v>
      </c>
      <c r="M2235">
        <v>1.5348363994849028E-3</v>
      </c>
      <c r="N2235">
        <v>0.13243477514143348</v>
      </c>
      <c r="O2235">
        <v>1.8748289550803852E-2</v>
      </c>
      <c r="P2235">
        <v>2.5722004490306115E-2</v>
      </c>
      <c r="Q2235">
        <v>5.1375220539937316E-3</v>
      </c>
      <c r="R2235">
        <v>1.5134346211544475E-3</v>
      </c>
      <c r="S2235">
        <v>0.22364670674175677</v>
      </c>
      <c r="T2235">
        <v>1.3675015010071845</v>
      </c>
      <c r="U2235">
        <v>0.13652759814068929</v>
      </c>
      <c r="V2235">
        <v>0.18232502869093323</v>
      </c>
      <c r="W2235">
        <v>8.7910102720810776E-2</v>
      </c>
      <c r="X2235">
        <v>1.4427637991004794E-2</v>
      </c>
      <c r="Y2235">
        <v>4.1190701351936252E-3</v>
      </c>
    </row>
    <row r="2236" spans="1:25" x14ac:dyDescent="0.25">
      <c r="A2236" s="1096"/>
      <c r="B2236" s="1455">
        <v>1986</v>
      </c>
      <c r="C2236" s="1100">
        <v>0.99839310064926401</v>
      </c>
      <c r="D2236" s="1100">
        <v>1.0016323243925958</v>
      </c>
      <c r="E2236" s="1100">
        <v>1.0008354356492226</v>
      </c>
      <c r="F2236" s="1100">
        <v>0.99970986279325169</v>
      </c>
      <c r="G2236" s="1100">
        <v>1.0464523621798321</v>
      </c>
      <c r="H2236" s="1100">
        <v>0.98669866039264786</v>
      </c>
      <c r="I2236" s="1100">
        <v>0.98370112435556467</v>
      </c>
      <c r="K2236">
        <v>2.2144450852348747</v>
      </c>
      <c r="L2236">
        <v>0</v>
      </c>
      <c r="M2236">
        <v>1.5253621900890447E-3</v>
      </c>
      <c r="N2236">
        <v>0.1390245757481425</v>
      </c>
      <c r="O2236">
        <v>1.9777425013561875E-2</v>
      </c>
      <c r="P2236">
        <v>2.6121122043816971E-2</v>
      </c>
      <c r="Q2236">
        <v>5.5201248468327545E-3</v>
      </c>
      <c r="R2236">
        <v>1.503634056865668E-3</v>
      </c>
      <c r="S2236">
        <v>0.23672334290751049</v>
      </c>
      <c r="T2236">
        <v>1.3434750904975816</v>
      </c>
      <c r="U2236">
        <v>0.14300424237165413</v>
      </c>
      <c r="V2236">
        <v>0.19007333216496619</v>
      </c>
      <c r="W2236">
        <v>9.1284373109109709E-2</v>
      </c>
      <c r="X2236">
        <v>1.537078843496343E-2</v>
      </c>
      <c r="Y2236">
        <v>4.0923962299547175E-3</v>
      </c>
    </row>
    <row r="2237" spans="1:25" x14ac:dyDescent="0.25">
      <c r="A2237" s="1096"/>
      <c r="B2237" s="1455">
        <v>1987</v>
      </c>
      <c r="C2237" s="1100">
        <v>1.0118315889932197</v>
      </c>
      <c r="D2237" s="1100">
        <v>1.0126109545976383</v>
      </c>
      <c r="E2237" s="1100">
        <v>0.99271434571213568</v>
      </c>
      <c r="F2237" s="1100">
        <v>1.0271127368891464</v>
      </c>
      <c r="G2237" s="1100">
        <v>0.97478288436265859</v>
      </c>
      <c r="H2237" s="1100">
        <v>0.95699714913828282</v>
      </c>
      <c r="I2237" s="1100">
        <v>0.95617480138126087</v>
      </c>
      <c r="K2237">
        <v>2.2145403107249773</v>
      </c>
      <c r="L2237">
        <v>0</v>
      </c>
      <c r="M2237">
        <v>1.4810276498528456E-3</v>
      </c>
      <c r="N2237">
        <v>0.13165239537329915</v>
      </c>
      <c r="O2237">
        <v>1.9463011723864387E-2</v>
      </c>
      <c r="P2237">
        <v>2.6136388871714468E-2</v>
      </c>
      <c r="Q2237">
        <v>5.388124789797135E-3</v>
      </c>
      <c r="R2237">
        <v>1.4592762856888838E-3</v>
      </c>
      <c r="S2237">
        <v>0.22351103890844098</v>
      </c>
      <c r="T2237">
        <v>1.3802881590316747</v>
      </c>
      <c r="U2237">
        <v>0.14108648384316849</v>
      </c>
      <c r="V2237">
        <v>0.18117586565012087</v>
      </c>
      <c r="W2237">
        <v>8.6863074571020216E-2</v>
      </c>
      <c r="X2237">
        <v>1.5025850326690102E-2</v>
      </c>
      <c r="Y2237">
        <v>3.9716689993468494E-3</v>
      </c>
    </row>
    <row r="2238" spans="1:25" x14ac:dyDescent="0.25">
      <c r="A2238" s="1096"/>
      <c r="B2238" s="1455">
        <v>1988</v>
      </c>
      <c r="C2238" s="1100">
        <v>0.96509224990479081</v>
      </c>
      <c r="D2238" s="1100">
        <v>0.97442031237908922</v>
      </c>
      <c r="E2238" s="1100">
        <v>0.9891784869991882</v>
      </c>
      <c r="F2238" s="1100">
        <v>1.020001866875148</v>
      </c>
      <c r="G2238" s="1100">
        <v>0.98890369935306033</v>
      </c>
      <c r="H2238" s="1100">
        <v>0.97922459960359021</v>
      </c>
      <c r="I2238" s="1100">
        <v>1.0037553729236381</v>
      </c>
      <c r="K2238">
        <v>2.2652273237884373</v>
      </c>
      <c r="L2238">
        <v>0</v>
      </c>
      <c r="M2238">
        <v>1.6140918290518339E-3</v>
      </c>
      <c r="N2238">
        <v>0.14200324724897984</v>
      </c>
      <c r="O2238">
        <v>2.0576624203785292E-2</v>
      </c>
      <c r="P2238">
        <v>2.64843419220239E-2</v>
      </c>
      <c r="Q2238">
        <v>5.6761048120621124E-3</v>
      </c>
      <c r="R2238">
        <v>1.5909242901559046E-3</v>
      </c>
      <c r="S2238">
        <v>0.25264000752488031</v>
      </c>
      <c r="T2238">
        <v>1.3707271671872399</v>
      </c>
      <c r="U2238">
        <v>0.14791086775662649</v>
      </c>
      <c r="V2238">
        <v>0.18560799592799862</v>
      </c>
      <c r="W2238">
        <v>9.3890994655425192E-2</v>
      </c>
      <c r="X2238">
        <v>1.5403168618557232E-2</v>
      </c>
      <c r="Y2238">
        <v>4.3299714697530708E-3</v>
      </c>
    </row>
    <row r="2239" spans="1:25" x14ac:dyDescent="0.25">
      <c r="A2239" s="1096"/>
      <c r="B2239" s="1455">
        <v>1989</v>
      </c>
      <c r="C2239" s="1100">
        <v>0.97008275727827142</v>
      </c>
      <c r="D2239" s="1100">
        <v>1.0180413377902477</v>
      </c>
      <c r="E2239" s="1100">
        <v>0.95132561262631798</v>
      </c>
      <c r="F2239" s="1100">
        <v>1.0334353699022594</v>
      </c>
      <c r="G2239" s="1100">
        <v>1.0275714693198263</v>
      </c>
      <c r="H2239" s="1100">
        <v>1.0004099913785116</v>
      </c>
      <c r="I2239" s="1100">
        <v>1.0138708293880345</v>
      </c>
      <c r="K2239">
        <v>2.2767609179978416</v>
      </c>
      <c r="L2239">
        <v>0</v>
      </c>
      <c r="M2239">
        <v>1.7568677510210794E-3</v>
      </c>
      <c r="N2239">
        <v>0.13786930130171698</v>
      </c>
      <c r="O2239">
        <v>2.0250330394382204E-2</v>
      </c>
      <c r="P2239">
        <v>2.596902424469652E-2</v>
      </c>
      <c r="Q2239">
        <v>5.3741289027850392E-3</v>
      </c>
      <c r="R2239">
        <v>1.7321849167393401E-3</v>
      </c>
      <c r="S2239">
        <v>0.2498309559047035</v>
      </c>
      <c r="T2239">
        <v>1.3887430715536082</v>
      </c>
      <c r="U2239">
        <v>0.14706055305088836</v>
      </c>
      <c r="V2239">
        <v>0.18963066532924092</v>
      </c>
      <c r="W2239">
        <v>9.3281861967012256E-2</v>
      </c>
      <c r="X2239">
        <v>1.4061271854326846E-2</v>
      </c>
      <c r="Y2239">
        <v>4.7144363287601448E-3</v>
      </c>
    </row>
    <row r="2240" spans="1:25" x14ac:dyDescent="0.25">
      <c r="A2240" s="1096"/>
      <c r="B2240" s="1455">
        <v>1990</v>
      </c>
      <c r="C2240" s="1100">
        <v>1.0178390273895683</v>
      </c>
      <c r="D2240" s="1100">
        <v>0.98019258202183601</v>
      </c>
      <c r="E2240" s="1100">
        <v>1.0225974124811976</v>
      </c>
      <c r="F2240" s="1100">
        <v>1.0242120785934183</v>
      </c>
      <c r="G2240" s="1100">
        <v>1.0063717552725684</v>
      </c>
      <c r="H2240" s="1100">
        <v>1.0161526816560662</v>
      </c>
      <c r="I2240" s="1100">
        <v>0.99695569044968202</v>
      </c>
      <c r="K2240">
        <v>2.2512546503074118</v>
      </c>
      <c r="L2240">
        <v>0</v>
      </c>
      <c r="M2240">
        <v>1.4797808559138745E-3</v>
      </c>
      <c r="N2240">
        <v>0.14408778267330832</v>
      </c>
      <c r="O2240">
        <v>1.9505579781321582E-2</v>
      </c>
      <c r="P2240">
        <v>2.6936490811463081E-2</v>
      </c>
      <c r="Q2240">
        <v>5.5638684162818428E-3</v>
      </c>
      <c r="R2240">
        <v>1.4593129970426075E-3</v>
      </c>
      <c r="S2240">
        <v>0.24038266976070718</v>
      </c>
      <c r="T2240">
        <v>1.3764438824500209</v>
      </c>
      <c r="U2240">
        <v>0.14032144404576655</v>
      </c>
      <c r="V2240">
        <v>0.18442671762694784</v>
      </c>
      <c r="W2240">
        <v>9.3404192460629212E-2</v>
      </c>
      <c r="X2240">
        <v>1.6230721224282391E-2</v>
      </c>
      <c r="Y2240">
        <v>3.9717689155497901E-3</v>
      </c>
    </row>
    <row r="2241" spans="1:25" x14ac:dyDescent="0.25">
      <c r="A2241" s="1096"/>
      <c r="B2241" s="1455">
        <v>1991</v>
      </c>
      <c r="C2241" s="1100">
        <v>1.0275078343092858</v>
      </c>
      <c r="D2241" s="1100">
        <v>1.0040478990858539</v>
      </c>
      <c r="E2241" s="1100">
        <v>1.0050738425005146</v>
      </c>
      <c r="F2241" s="1100">
        <v>0.98247982948974411</v>
      </c>
      <c r="G2241" s="1100">
        <v>0.96874568131000127</v>
      </c>
      <c r="H2241" s="1100">
        <v>1.0124602645591261</v>
      </c>
      <c r="I2241" s="1100">
        <v>1.0123400330086461</v>
      </c>
      <c r="K2241">
        <v>2.177192970848572</v>
      </c>
      <c r="L2241">
        <v>0</v>
      </c>
      <c r="M2241">
        <v>1.5067207041222406E-3</v>
      </c>
      <c r="N2241">
        <v>0.13914608974467504</v>
      </c>
      <c r="O2241">
        <v>1.9209420731874718E-2</v>
      </c>
      <c r="P2241">
        <v>2.5712116291230706E-2</v>
      </c>
      <c r="Q2241">
        <v>5.3844413538216068E-3</v>
      </c>
      <c r="R2241">
        <v>1.485804217111437E-3</v>
      </c>
      <c r="S2241">
        <v>0.23849175445063162</v>
      </c>
      <c r="T2241">
        <v>1.3203271483042947</v>
      </c>
      <c r="U2241">
        <v>0.13896167681921998</v>
      </c>
      <c r="V2241">
        <v>0.17960967465238939</v>
      </c>
      <c r="W2241">
        <v>9.1134830833052946E-2</v>
      </c>
      <c r="X2241">
        <v>1.5192864870642175E-2</v>
      </c>
      <c r="Y2241">
        <v>4.0438692837487947E-3</v>
      </c>
    </row>
    <row r="2242" spans="1:25" x14ac:dyDescent="0.25">
      <c r="A2242" s="1096"/>
      <c r="B2242" s="1455">
        <v>1992</v>
      </c>
      <c r="C2242" s="1100">
        <v>1.0132720126143062</v>
      </c>
      <c r="D2242" s="1100">
        <v>1.0216274302934207</v>
      </c>
      <c r="E2242" s="1100">
        <v>1.0339909360054316</v>
      </c>
      <c r="F2242" s="1100">
        <v>0.98302981135189249</v>
      </c>
      <c r="G2242" s="1100">
        <v>1.0209861316488726</v>
      </c>
      <c r="H2242" s="1100">
        <v>1.0168792009408871</v>
      </c>
      <c r="I2242" s="1100">
        <v>1.0089509289641565</v>
      </c>
      <c r="K2242">
        <v>2.1981055335216402</v>
      </c>
      <c r="L2242">
        <v>0</v>
      </c>
      <c r="M2242">
        <v>1.4394506730604666E-3</v>
      </c>
      <c r="N2242">
        <v>0.14506054356227793</v>
      </c>
      <c r="O2242">
        <v>1.9422855603878325E-2</v>
      </c>
      <c r="P2242">
        <v>2.6411054997675272E-2</v>
      </c>
      <c r="Q2242">
        <v>5.6030934713019818E-3</v>
      </c>
      <c r="R2242">
        <v>1.4195548733826253E-3</v>
      </c>
      <c r="S2242">
        <v>0.23953746470585174</v>
      </c>
      <c r="T2242">
        <v>1.3211234551844537</v>
      </c>
      <c r="U2242">
        <v>0.14097989871437822</v>
      </c>
      <c r="V2242">
        <v>0.18635173642959882</v>
      </c>
      <c r="W2242">
        <v>9.3414087351544051E-2</v>
      </c>
      <c r="X2242">
        <v>1.6357678891148409E-2</v>
      </c>
      <c r="Y2242">
        <v>3.8635604092092609E-3</v>
      </c>
    </row>
    <row r="2243" spans="1:25" x14ac:dyDescent="0.25">
      <c r="A2243" s="1096"/>
      <c r="B2243" s="1455">
        <v>1993</v>
      </c>
      <c r="C2243" s="1100">
        <v>1.0382858396101364</v>
      </c>
      <c r="D2243" s="1100">
        <v>1.0076692778558161</v>
      </c>
      <c r="E2243" s="1100">
        <v>1.0191869232538882</v>
      </c>
      <c r="F2243" s="1100">
        <v>1.0192328095725951</v>
      </c>
      <c r="G2243" s="1100">
        <v>1.0167252286551962</v>
      </c>
      <c r="H2243" s="1100">
        <v>1.0126792039358123</v>
      </c>
      <c r="I2243" s="1100">
        <v>1.0177338174336927</v>
      </c>
      <c r="K2243">
        <v>2.2295875533821721</v>
      </c>
      <c r="L2243">
        <v>0</v>
      </c>
      <c r="M2243">
        <v>1.4471489870571082E-3</v>
      </c>
      <c r="N2243">
        <v>0.13946141524412328</v>
      </c>
      <c r="O2243">
        <v>1.9003457241560755E-2</v>
      </c>
      <c r="P2243">
        <v>2.6691349865592493E-2</v>
      </c>
      <c r="Q2243">
        <v>5.4023018238771401E-3</v>
      </c>
      <c r="R2243">
        <v>1.4270638254563735E-3</v>
      </c>
      <c r="S2243">
        <v>0.23697263829463466</v>
      </c>
      <c r="T2243">
        <v>1.3697451193059533</v>
      </c>
      <c r="U2243">
        <v>0.13755052764186759</v>
      </c>
      <c r="V2243">
        <v>0.18444578679881377</v>
      </c>
      <c r="W2243">
        <v>9.0585613066213044E-2</v>
      </c>
      <c r="X2243">
        <v>1.5865431959705665E-2</v>
      </c>
      <c r="Y2243">
        <v>3.8839973014286166E-3</v>
      </c>
    </row>
    <row r="2244" spans="1:25" x14ac:dyDescent="0.25">
      <c r="A2244" s="1096"/>
      <c r="B2244" s="1455">
        <v>1994</v>
      </c>
      <c r="C2244" s="1100">
        <v>0.98161080518823918</v>
      </c>
      <c r="D2244" s="1100">
        <v>1.0077924709338071</v>
      </c>
      <c r="E2244" s="1100">
        <v>1.0132388262293481</v>
      </c>
      <c r="F2244" s="1100">
        <v>1.0209845108811271</v>
      </c>
      <c r="G2244" s="1100">
        <v>1.0177964824421277</v>
      </c>
      <c r="H2244" s="1100">
        <v>0.98893577539293853</v>
      </c>
      <c r="I2244" s="1100">
        <v>0.99751797181999902</v>
      </c>
      <c r="K2244">
        <v>2.2584136322932555</v>
      </c>
      <c r="L2244">
        <v>0</v>
      </c>
      <c r="M2244">
        <v>1.5133769173516468E-3</v>
      </c>
      <c r="N2244">
        <v>0.14320096701410523</v>
      </c>
      <c r="O2244">
        <v>2.0096326672030294E-2</v>
      </c>
      <c r="P2244">
        <v>2.6856024409426419E-2</v>
      </c>
      <c r="Q2244">
        <v>5.6792298559533274E-3</v>
      </c>
      <c r="R2244">
        <v>1.4918682751805356E-3</v>
      </c>
      <c r="S2244">
        <v>0.24368353421343786</v>
      </c>
      <c r="T2244">
        <v>1.3720874350740793</v>
      </c>
      <c r="U2244">
        <v>0.14547826476554976</v>
      </c>
      <c r="V2244">
        <v>0.18786129741298147</v>
      </c>
      <c r="W2244">
        <v>9.3339817023359875E-2</v>
      </c>
      <c r="X2244">
        <v>1.6091870843707484E-2</v>
      </c>
      <c r="Y2244">
        <v>4.0603736507966778E-3</v>
      </c>
    </row>
    <row r="2245" spans="1:25" x14ac:dyDescent="0.25">
      <c r="A2245" s="1096"/>
      <c r="B2245" s="1455">
        <v>1995</v>
      </c>
      <c r="C2245" s="1100">
        <v>1.0202820178878496</v>
      </c>
      <c r="D2245" s="1100">
        <v>0.98699414332355473</v>
      </c>
      <c r="E2245" s="1100">
        <v>1.0145783789256499</v>
      </c>
      <c r="F2245" s="1100">
        <v>1.0036746676733186</v>
      </c>
      <c r="G2245" s="1100">
        <v>1.0226586660189581</v>
      </c>
      <c r="H2245" s="1100">
        <v>1.0165217716577211</v>
      </c>
      <c r="I2245" s="1100">
        <v>1.0170094359661239</v>
      </c>
      <c r="K2245">
        <v>2.2251756276708075</v>
      </c>
      <c r="L2245">
        <v>0</v>
      </c>
      <c r="M2245">
        <v>1.4993323330396268E-3</v>
      </c>
      <c r="N2245">
        <v>0.14250249421009983</v>
      </c>
      <c r="O2245">
        <v>1.9424356792569642E-2</v>
      </c>
      <c r="P2245">
        <v>2.6462702787861073E-2</v>
      </c>
      <c r="Q2245">
        <v>5.496670564750449E-3</v>
      </c>
      <c r="R2245">
        <v>1.4786015742335556E-3</v>
      </c>
      <c r="S2245">
        <v>0.24375520588870189</v>
      </c>
      <c r="T2245">
        <v>1.3488275124810447</v>
      </c>
      <c r="U2245">
        <v>0.13996730784917086</v>
      </c>
      <c r="V2245">
        <v>0.18612091924609489</v>
      </c>
      <c r="W2245">
        <v>9.2811430077844218E-2</v>
      </c>
      <c r="X2245">
        <v>1.5803492467289834E-2</v>
      </c>
      <c r="Y2245">
        <v>4.0242660641857907E-3</v>
      </c>
    </row>
    <row r="2246" spans="1:25" x14ac:dyDescent="0.25">
      <c r="A2246" s="1096"/>
      <c r="B2246" s="1455">
        <v>1996</v>
      </c>
      <c r="C2246" s="1100">
        <v>1.0372170537735044</v>
      </c>
      <c r="D2246" s="1100">
        <v>0.98010910070546453</v>
      </c>
      <c r="E2246" s="1100">
        <v>1.0029864804433779</v>
      </c>
      <c r="F2246" s="1100">
        <v>0.96412749298050904</v>
      </c>
      <c r="G2246" s="1100">
        <v>0.98671824053334056</v>
      </c>
      <c r="H2246" s="1100">
        <v>1.0183138867507631</v>
      </c>
      <c r="I2246" s="1100">
        <v>1.0329323460288193</v>
      </c>
      <c r="K2246">
        <v>2.1581532529646674</v>
      </c>
      <c r="L2246">
        <v>0</v>
      </c>
      <c r="M2246">
        <v>1.5157903000818003E-3</v>
      </c>
      <c r="N2246">
        <v>0.13911517468094353</v>
      </c>
      <c r="O2246">
        <v>1.9129634851062002E-2</v>
      </c>
      <c r="P2246">
        <v>2.5418817503663486E-2</v>
      </c>
      <c r="Q2246">
        <v>5.3508634315743266E-3</v>
      </c>
      <c r="R2246">
        <v>1.4948688667803104E-3</v>
      </c>
      <c r="S2246">
        <v>0.24443605867020538</v>
      </c>
      <c r="T2246">
        <v>1.2956605770055711</v>
      </c>
      <c r="U2246">
        <v>0.13765624301443832</v>
      </c>
      <c r="V2246">
        <v>0.18109891248965365</v>
      </c>
      <c r="W2246">
        <v>9.1227331540232756E-2</v>
      </c>
      <c r="X2246">
        <v>1.5012020938635233E-2</v>
      </c>
      <c r="Y2246">
        <v>4.0685402719865087E-3</v>
      </c>
    </row>
    <row r="2247" spans="1:25" x14ac:dyDescent="0.25">
      <c r="A2247" s="1096"/>
      <c r="B2247" s="1455">
        <v>1997</v>
      </c>
      <c r="C2247" s="1100">
        <v>0.98073200729702026</v>
      </c>
      <c r="D2247" s="1100">
        <v>0.98766797756571556</v>
      </c>
      <c r="E2247" s="1100">
        <v>0.99540090708342777</v>
      </c>
      <c r="F2247" s="1100">
        <v>0.98037164313604708</v>
      </c>
      <c r="G2247" s="1100">
        <v>0.97319774754069432</v>
      </c>
      <c r="H2247" s="1100">
        <v>1.0000546791382705</v>
      </c>
      <c r="I2247" s="1100">
        <v>0.9670071167418095</v>
      </c>
      <c r="K2247">
        <v>2.1938657787071034</v>
      </c>
      <c r="L2247">
        <v>0</v>
      </c>
      <c r="M2247">
        <v>1.596611089205048E-3</v>
      </c>
      <c r="N2247">
        <v>0.14317590384566056</v>
      </c>
      <c r="O2247">
        <v>2.019239173497216E-2</v>
      </c>
      <c r="P2247">
        <v>2.5637536271689639E-2</v>
      </c>
      <c r="Q2247">
        <v>5.6052118665814755E-3</v>
      </c>
      <c r="R2247">
        <v>1.5741717857352103E-3</v>
      </c>
      <c r="S2247">
        <v>0.23958456068399714</v>
      </c>
      <c r="T2247">
        <v>1.3174788696061244</v>
      </c>
      <c r="U2247">
        <v>0.14556671912664529</v>
      </c>
      <c r="V2247">
        <v>0.18285807396510989</v>
      </c>
      <c r="W2247">
        <v>9.431475586229901E-2</v>
      </c>
      <c r="X2247">
        <v>1.5189818372309817E-2</v>
      </c>
      <c r="Y2247">
        <v>4.2843766751815386E-3</v>
      </c>
    </row>
    <row r="2248" spans="1:25" x14ac:dyDescent="0.25">
      <c r="A2248" s="1096"/>
      <c r="B2248" s="1455">
        <v>1998</v>
      </c>
      <c r="C2248" s="1100">
        <v>0.98400643698232559</v>
      </c>
      <c r="D2248" s="1100">
        <v>1.0176830027744468</v>
      </c>
      <c r="E2248" s="1100">
        <v>0.98813271772515698</v>
      </c>
      <c r="F2248" s="1100">
        <v>0.98391222315081461</v>
      </c>
      <c r="G2248" s="1100">
        <v>0.98922821270426708</v>
      </c>
      <c r="H2248" s="1100">
        <v>1.0021396546453243</v>
      </c>
      <c r="I2248" s="1100">
        <v>0.99243395206920537</v>
      </c>
      <c r="K2248">
        <v>2.198028139996314</v>
      </c>
      <c r="L2248">
        <v>0</v>
      </c>
      <c r="M2248">
        <v>1.6081809694450395E-3</v>
      </c>
      <c r="N2248">
        <v>0.14108350775135556</v>
      </c>
      <c r="O2248">
        <v>1.9988495634735152E-2</v>
      </c>
      <c r="P2248">
        <v>2.5603651196115466E-2</v>
      </c>
      <c r="Q2248">
        <v>5.5080387389981854E-3</v>
      </c>
      <c r="R2248">
        <v>1.5856260828437014E-3</v>
      </c>
      <c r="S2248">
        <v>0.24154933122584873</v>
      </c>
      <c r="T2248">
        <v>1.3222267987381406</v>
      </c>
      <c r="U2248">
        <v>0.14506534046255584</v>
      </c>
      <c r="V2248">
        <v>0.18446241774351893</v>
      </c>
      <c r="W2248">
        <v>9.3341393297292616E-2</v>
      </c>
      <c r="X2248">
        <v>1.4906168598350691E-2</v>
      </c>
      <c r="Y2248">
        <v>4.3155514960028247E-3</v>
      </c>
    </row>
    <row r="2249" spans="1:25" x14ac:dyDescent="0.25">
      <c r="A2249" s="1096"/>
      <c r="B2249" s="1455">
        <v>1999</v>
      </c>
      <c r="C2249" s="1100">
        <v>1.0138066638282381</v>
      </c>
      <c r="D2249" s="1100">
        <v>0.9909336678773345</v>
      </c>
      <c r="E2249" s="1100">
        <v>0.95936808296777587</v>
      </c>
      <c r="F2249" s="1100">
        <v>0.97160133766289292</v>
      </c>
      <c r="G2249" s="1100">
        <v>1.008551601103006</v>
      </c>
      <c r="H2249" s="1100">
        <v>1.0413889582368541</v>
      </c>
      <c r="I2249" s="1100">
        <v>0.99919706299340905</v>
      </c>
      <c r="K2249">
        <v>2.1742223681316424</v>
      </c>
      <c r="L2249">
        <v>0</v>
      </c>
      <c r="M2249">
        <v>1.7314611991993151E-3</v>
      </c>
      <c r="N2249">
        <v>0.1393066810163498</v>
      </c>
      <c r="O2249">
        <v>1.9497284892410118E-2</v>
      </c>
      <c r="P2249">
        <v>2.4783156068282637E-2</v>
      </c>
      <c r="Q2249">
        <v>5.217342844963075E-3</v>
      </c>
      <c r="R2249">
        <v>1.7080925412338395E-3</v>
      </c>
      <c r="S2249">
        <v>0.2420839136502832</v>
      </c>
      <c r="T2249">
        <v>1.305654475465035</v>
      </c>
      <c r="U2249">
        <v>0.14073618877998137</v>
      </c>
      <c r="V2249">
        <v>0.1848513747348729</v>
      </c>
      <c r="W2249">
        <v>9.3788765334424595E-2</v>
      </c>
      <c r="X2249">
        <v>1.3677689178321635E-2</v>
      </c>
      <c r="Y2249">
        <v>4.6488648246836226E-3</v>
      </c>
    </row>
    <row r="2250" spans="1:25" x14ac:dyDescent="0.25">
      <c r="A2250" s="1096"/>
      <c r="B2250" s="1455">
        <v>2000</v>
      </c>
      <c r="C2250" s="1100">
        <v>1.0127562830079504</v>
      </c>
      <c r="D2250" s="1100">
        <v>1.0306631748794945</v>
      </c>
      <c r="E2250" s="1100">
        <v>1.020168124069841</v>
      </c>
      <c r="F2250" s="1100">
        <v>0.96521190619902031</v>
      </c>
      <c r="G2250" s="1100">
        <v>0.99941963186480109</v>
      </c>
      <c r="H2250" s="1100">
        <v>0.99148410354847383</v>
      </c>
      <c r="I2250" s="1100">
        <v>1.0041410010016056</v>
      </c>
      <c r="K2250">
        <v>2.1574666736154771</v>
      </c>
      <c r="L2250">
        <v>0</v>
      </c>
      <c r="M2250">
        <v>1.4424367569819616E-3</v>
      </c>
      <c r="N2250">
        <v>0.13937744212366926</v>
      </c>
      <c r="O2250">
        <v>1.9386632978682025E-2</v>
      </c>
      <c r="P2250">
        <v>2.5724006568338859E-2</v>
      </c>
      <c r="Q2250">
        <v>5.5166105376438703E-3</v>
      </c>
      <c r="R2250">
        <v>1.4219890316804415E-3</v>
      </c>
      <c r="S2250">
        <v>0.23537227889322959</v>
      </c>
      <c r="T2250">
        <v>1.2971484347696156</v>
      </c>
      <c r="U2250">
        <v>0.14102013811609279</v>
      </c>
      <c r="V2250">
        <v>0.18393134280116241</v>
      </c>
      <c r="W2250">
        <v>9.0479101227254832E-2</v>
      </c>
      <c r="X2250">
        <v>1.5660947939414072E-2</v>
      </c>
      <c r="Y2250">
        <v>3.8701853856758493E-3</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F47" zoomScale="85" zoomScaleNormal="85" workbookViewId="0">
      <selection activeCell="Q65" sqref="Q65:Q113"/>
    </sheetView>
  </sheetViews>
  <sheetFormatPr defaultColWidth="11" defaultRowHeight="12.5" x14ac:dyDescent="0.25"/>
  <cols>
    <col min="1" max="1" width="27.26953125" style="53" customWidth="1"/>
    <col min="2" max="2" width="28.7265625" style="53" customWidth="1"/>
    <col min="3" max="3" width="25.26953125" style="53" customWidth="1"/>
    <col min="4" max="4" width="18.7265625" style="53" customWidth="1"/>
    <col min="5" max="5" width="49.726562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6.7265625" style="53" customWidth="1"/>
    <col min="30" max="30" width="14.81640625" style="53" customWidth="1"/>
    <col min="31" max="31" width="15.453125" style="53" customWidth="1"/>
    <col min="32" max="32" width="11" style="53"/>
    <col min="33" max="33" width="14.81640625" style="53" customWidth="1"/>
    <col min="34" max="16384" width="11" style="53"/>
  </cols>
  <sheetData>
    <row r="1" spans="1:23" ht="15" customHeight="1" thickBot="1" x14ac:dyDescent="0.3">
      <c r="D1" s="41"/>
    </row>
    <row r="2" spans="1:23" ht="15" customHeight="1" thickTop="1" x14ac:dyDescent="0.3">
      <c r="A2" s="590" t="s">
        <v>493</v>
      </c>
      <c r="B2" s="584"/>
      <c r="C2" s="585"/>
      <c r="D2" s="41"/>
    </row>
    <row r="3" spans="1:23" ht="15" customHeight="1" x14ac:dyDescent="0.25">
      <c r="A3" s="591" t="s">
        <v>494</v>
      </c>
      <c r="B3" s="586"/>
      <c r="C3" s="587"/>
      <c r="E3" s="148"/>
      <c r="F3" s="40"/>
      <c r="G3" s="41"/>
    </row>
    <row r="4" spans="1:23" ht="30.75" customHeight="1" x14ac:dyDescent="0.25">
      <c r="A4" s="591" t="s">
        <v>495</v>
      </c>
      <c r="B4" s="586"/>
      <c r="C4" s="587"/>
      <c r="T4" s="151"/>
      <c r="U4" s="134"/>
      <c r="V4" s="134"/>
      <c r="W4" s="134"/>
    </row>
    <row r="5" spans="1:23" ht="26.25" customHeight="1" x14ac:dyDescent="0.25">
      <c r="A5" s="591" t="s">
        <v>79</v>
      </c>
      <c r="B5" s="586"/>
      <c r="C5" s="587"/>
      <c r="T5" s="151"/>
      <c r="U5" s="134"/>
      <c r="V5" s="134"/>
      <c r="W5" s="134"/>
    </row>
    <row r="6" spans="1:23" ht="15" customHeight="1" thickBot="1" x14ac:dyDescent="0.3">
      <c r="A6" s="592" t="s">
        <v>496</v>
      </c>
      <c r="B6" s="588"/>
      <c r="C6" s="589"/>
      <c r="T6" s="151"/>
      <c r="U6" s="134"/>
      <c r="V6" s="134"/>
      <c r="W6" s="134"/>
    </row>
    <row r="7" spans="1:23" ht="15" customHeight="1" thickTop="1" x14ac:dyDescent="0.25">
      <c r="T7" s="151"/>
      <c r="U7" s="134"/>
      <c r="V7" s="134"/>
      <c r="W7" s="134"/>
    </row>
    <row r="8" spans="1:23" ht="15" customHeight="1" x14ac:dyDescent="0.25">
      <c r="T8" s="151"/>
      <c r="U8" s="134"/>
      <c r="V8" s="134"/>
      <c r="W8" s="134"/>
    </row>
    <row r="9" spans="1:23" ht="15" customHeight="1" x14ac:dyDescent="0.25">
      <c r="T9" s="151"/>
      <c r="U9" s="134"/>
      <c r="V9" s="134"/>
      <c r="W9" s="134"/>
    </row>
    <row r="10" spans="1:23" ht="15" customHeight="1" x14ac:dyDescent="0.25">
      <c r="T10" s="151"/>
      <c r="U10" s="134"/>
      <c r="V10" s="134"/>
      <c r="W10" s="134"/>
    </row>
    <row r="11" spans="1:23" ht="15" customHeight="1" x14ac:dyDescent="0.25">
      <c r="T11" s="151"/>
      <c r="U11" s="134"/>
      <c r="V11" s="134"/>
      <c r="W11" s="134"/>
    </row>
    <row r="12" spans="1:23" ht="29.25" customHeight="1" x14ac:dyDescent="0.25">
      <c r="T12" s="151"/>
      <c r="U12" s="134"/>
      <c r="V12" s="134"/>
      <c r="W12" s="134"/>
    </row>
    <row r="13" spans="1:23" ht="15" customHeight="1" x14ac:dyDescent="0.35">
      <c r="A13" s="137"/>
      <c r="B13" s="147"/>
      <c r="C13" s="147"/>
      <c r="D13" s="147"/>
      <c r="E13" s="147"/>
      <c r="F13" s="134"/>
      <c r="G13" s="40"/>
      <c r="H13" s="41"/>
    </row>
    <row r="14" spans="1:23" ht="15" customHeight="1" thickBot="1" x14ac:dyDescent="0.45">
      <c r="A14" s="133"/>
    </row>
    <row r="15" spans="1:23" ht="29.25" customHeight="1" thickTop="1" thickBot="1" x14ac:dyDescent="0.4">
      <c r="A15" s="155" t="s">
        <v>89</v>
      </c>
      <c r="B15" s="150"/>
      <c r="D15" s="1624" t="s">
        <v>65</v>
      </c>
      <c r="E15" s="1625"/>
    </row>
    <row r="16" spans="1:23" ht="39.5" thickTop="1" x14ac:dyDescent="0.3">
      <c r="A16" s="156" t="s">
        <v>90</v>
      </c>
      <c r="B16" s="157"/>
      <c r="D16" s="317" t="str">
        <f>"Hydrogen Cost (Year "&amp;TEXT(ref_year,"0")&amp;" Real $/kg)"</f>
        <v>Hydrogen Cost (Year 2016 Real $/kg)</v>
      </c>
      <c r="E16" s="1214">
        <f ca="1">H2_price_nominal/INFLATION_FACTOR</f>
        <v>2.2167386276561158</v>
      </c>
    </row>
    <row r="17" spans="1:10" ht="37.5" x14ac:dyDescent="0.25">
      <c r="A17" s="158" t="s">
        <v>91</v>
      </c>
      <c r="B17" s="159">
        <f ca="1">output_kgyear</f>
        <v>50838024.193548374</v>
      </c>
      <c r="D17" s="138" t="s">
        <v>935</v>
      </c>
      <c r="E17" s="1085">
        <f ca="1">+SUM(X57:AB57)/AC57*(1+inflation_rate)^construct</f>
        <v>3.4825303124362166</v>
      </c>
    </row>
    <row r="18" spans="1:10" ht="25" x14ac:dyDescent="0.25">
      <c r="A18" s="158" t="s">
        <v>92</v>
      </c>
      <c r="B18" s="159">
        <f ca="1">B17*H2_LHV_MJ_p_kg/1000/mmBTU_to_GJ</f>
        <v>5792722.4417018751</v>
      </c>
      <c r="D18" s="139" t="s">
        <v>983</v>
      </c>
      <c r="E18" s="140">
        <f ca="1">((E20+1)/(1+B30))-1</f>
        <v>8.0000000000000737E-2</v>
      </c>
    </row>
    <row r="19" spans="1:10" ht="28.5" customHeight="1" x14ac:dyDescent="0.3">
      <c r="A19" s="158" t="s">
        <v>93</v>
      </c>
      <c r="B19" s="159">
        <f ca="1">B17*H2_LHV_MJ_p_kg</f>
        <v>6111322175.9954777</v>
      </c>
      <c r="C19" s="136"/>
      <c r="D19" s="139" t="s">
        <v>991</v>
      </c>
      <c r="E19" s="140">
        <f ca="1">((E21+1)/(1+B30))-1</f>
        <v>8.6163186058188401E-2</v>
      </c>
    </row>
    <row r="20" spans="1:10" ht="15" customHeight="1" x14ac:dyDescent="0.25">
      <c r="A20" s="160" t="s">
        <v>94</v>
      </c>
      <c r="B20" s="159">
        <f ca="1">design_cap</f>
        <v>154758.064516129</v>
      </c>
      <c r="D20" s="141" t="s">
        <v>982</v>
      </c>
      <c r="E20" s="142">
        <f ca="1">IRR(AA65:AA113)</f>
        <v>0.10052000000000061</v>
      </c>
    </row>
    <row r="21" spans="1:10" ht="15" customHeight="1" x14ac:dyDescent="0.25">
      <c r="A21" s="160" t="s">
        <v>95</v>
      </c>
      <c r="B21" s="159">
        <f ca="1">B20*365</f>
        <v>56486693.548387088</v>
      </c>
      <c r="D21" s="141" t="s">
        <v>990</v>
      </c>
      <c r="E21" s="142">
        <f ca="1">IRR(AC65:AC113)</f>
        <v>0.10680028659329377</v>
      </c>
    </row>
    <row r="22" spans="1:10" ht="15" customHeight="1" x14ac:dyDescent="0.25">
      <c r="A22" s="161" t="s">
        <v>96</v>
      </c>
      <c r="B22" s="162">
        <f ca="1">cap_factor</f>
        <v>0.9</v>
      </c>
      <c r="D22" s="144" t="s">
        <v>66</v>
      </c>
      <c r="E22" s="145">
        <f ca="1">(real_irr*(1+real_irr)^anal_period)/(((1+real_irr)^anal_period)-1)</f>
        <v>8.3860161500585326E-2</v>
      </c>
    </row>
    <row r="23" spans="1:10" ht="15" customHeight="1" x14ac:dyDescent="0.25">
      <c r="A23" s="160"/>
      <c r="B23" s="163"/>
      <c r="D23" s="144" t="s">
        <v>76</v>
      </c>
      <c r="E23" s="145">
        <f ca="1">(nominal_irr*(1+nominal_irr)^anal_period)/(((1+nominal_irr)^anal_period)-1)</f>
        <v>0.10274768859314053</v>
      </c>
    </row>
    <row r="24" spans="1:10" ht="24.75" customHeight="1" x14ac:dyDescent="0.3">
      <c r="A24" s="156" t="s">
        <v>97</v>
      </c>
      <c r="B24" s="157"/>
      <c r="D24" s="141" t="s">
        <v>77</v>
      </c>
      <c r="E24" s="145">
        <f ca="1">(E22*(1-total_tax_rate*INDEX(Depreciation!B12:H37,MATCH("NPV - Real IRR",Depreciation!B12:B37,0),MATCH(depr_length,recovery_period,0))))/(1-total_tax_rate)</f>
        <v>9.8212531813322054E-2</v>
      </c>
    </row>
    <row r="25" spans="1:10" ht="15" customHeight="1" x14ac:dyDescent="0.25">
      <c r="A25" s="139" t="s">
        <v>98</v>
      </c>
      <c r="B25" s="164">
        <f>startup_year</f>
        <v>2040</v>
      </c>
      <c r="D25" s="144" t="s">
        <v>78</v>
      </c>
      <c r="E25" s="145">
        <f ca="1">(E23*(1-total_tax_rate*INDEX(Depreciation!B12:H37,MATCH("NPV - Nominal IRR",Depreciation!B12:B37,0),MATCH(depr_length,recovery_period,0))))/(1-total_tax_rate)</f>
        <v>0.12265813940348715</v>
      </c>
    </row>
    <row r="26" spans="1:10" ht="15" customHeight="1" thickBot="1" x14ac:dyDescent="0.3">
      <c r="A26" s="160" t="s">
        <v>99</v>
      </c>
      <c r="B26" s="154">
        <f ca="1">real_irr</f>
        <v>0.08</v>
      </c>
      <c r="C26" s="165"/>
      <c r="D26" s="146" t="s">
        <v>249</v>
      </c>
      <c r="E26" s="1084">
        <f ca="1">NPV(nominal_irr,AA65:AA113)</f>
        <v>1.0284136215620438E-6</v>
      </c>
    </row>
    <row r="27" spans="1:10" ht="15" customHeight="1" thickTop="1" x14ac:dyDescent="0.25">
      <c r="A27" s="139" t="s">
        <v>988</v>
      </c>
      <c r="B27" s="154">
        <f ca="1">((1+B26)*(1+B30))-1</f>
        <v>0.10051999999999994</v>
      </c>
      <c r="C27" s="165"/>
      <c r="D27" s="166"/>
    </row>
    <row r="28" spans="1:10" ht="15" customHeight="1" x14ac:dyDescent="0.25">
      <c r="A28" s="160" t="s">
        <v>100</v>
      </c>
      <c r="B28" s="164">
        <f>anal_period</f>
        <v>40</v>
      </c>
      <c r="C28" s="165"/>
      <c r="D28" s="166"/>
      <c r="F28" s="166"/>
    </row>
    <row r="29" spans="1:10" ht="15" customHeight="1" x14ac:dyDescent="0.25">
      <c r="A29" s="160" t="s">
        <v>101</v>
      </c>
      <c r="B29" s="164">
        <f>plant_life</f>
        <v>40</v>
      </c>
      <c r="C29" s="165"/>
      <c r="D29" s="166"/>
    </row>
    <row r="30" spans="1:10" ht="15" customHeight="1" x14ac:dyDescent="0.25">
      <c r="A30" s="160" t="s">
        <v>102</v>
      </c>
      <c r="B30" s="154">
        <f>inflation_rate</f>
        <v>1.9E-2</v>
      </c>
      <c r="F30" s="1083"/>
      <c r="G30" s="1082"/>
      <c r="H30" s="1082"/>
      <c r="I30" s="1082"/>
      <c r="J30" s="1082"/>
    </row>
    <row r="31" spans="1:10" ht="15" customHeight="1" x14ac:dyDescent="0.25">
      <c r="A31" s="160" t="s">
        <v>103</v>
      </c>
      <c r="B31" s="167">
        <f>100%-equity</f>
        <v>0.6</v>
      </c>
    </row>
    <row r="32" spans="1:10" ht="15" customHeight="1" x14ac:dyDescent="0.25">
      <c r="A32" s="139" t="s">
        <v>104</v>
      </c>
      <c r="B32" s="168">
        <f>equity</f>
        <v>0.4</v>
      </c>
    </row>
    <row r="33" spans="1:12" ht="15" customHeight="1" x14ac:dyDescent="0.25">
      <c r="A33" s="139" t="s">
        <v>105</v>
      </c>
      <c r="B33" s="154">
        <f>total_tax_rate</f>
        <v>0.25739999999999996</v>
      </c>
    </row>
    <row r="34" spans="1:12" ht="15" customHeight="1" x14ac:dyDescent="0.25">
      <c r="A34" s="139"/>
      <c r="B34" s="169"/>
    </row>
    <row r="35" spans="1:12" ht="28.5" customHeight="1" x14ac:dyDescent="0.3">
      <c r="A35" s="170" t="s">
        <v>106</v>
      </c>
      <c r="B35" s="171"/>
    </row>
    <row r="36" spans="1:12" ht="15" customHeight="1" x14ac:dyDescent="0.25">
      <c r="A36" s="160" t="s">
        <v>107</v>
      </c>
      <c r="B36" s="164">
        <f>debt_period</f>
        <v>0</v>
      </c>
    </row>
    <row r="37" spans="1:12" ht="15" customHeight="1" x14ac:dyDescent="0.25">
      <c r="A37" s="160" t="s">
        <v>108</v>
      </c>
      <c r="B37" s="172">
        <f>debt_interest</f>
        <v>3.6999999999999998E-2</v>
      </c>
      <c r="K37" s="1082"/>
    </row>
    <row r="38" spans="1:12" ht="15" customHeight="1" x14ac:dyDescent="0.25">
      <c r="A38" s="139"/>
      <c r="B38" s="157"/>
      <c r="K38" s="1082"/>
    </row>
    <row r="39" spans="1:12" ht="28.5" customHeight="1" x14ac:dyDescent="0.3">
      <c r="A39" s="170" t="s">
        <v>109</v>
      </c>
      <c r="B39" s="157"/>
      <c r="F39" s="1082"/>
      <c r="G39" s="1082"/>
      <c r="H39" s="1082"/>
      <c r="I39" s="1082"/>
      <c r="J39" s="1082"/>
      <c r="K39" s="1082"/>
      <c r="L39" s="1082"/>
    </row>
    <row r="40" spans="1:12" ht="15" customHeight="1" x14ac:dyDescent="0.25">
      <c r="A40" s="139" t="s">
        <v>110</v>
      </c>
      <c r="B40" s="164">
        <f>construct</f>
        <v>3</v>
      </c>
      <c r="G40" s="1082"/>
      <c r="H40" s="1082"/>
    </row>
    <row r="41" spans="1:12" ht="15" customHeight="1" x14ac:dyDescent="0.25">
      <c r="A41" s="139" t="s">
        <v>111</v>
      </c>
      <c r="B41" s="162">
        <f>start_time</f>
        <v>1</v>
      </c>
    </row>
    <row r="42" spans="1:12" ht="15" customHeight="1" x14ac:dyDescent="0.25">
      <c r="A42" s="158" t="s">
        <v>112</v>
      </c>
      <c r="B42" s="167">
        <f>percnt_revs</f>
        <v>0.5</v>
      </c>
    </row>
    <row r="43" spans="1:12" ht="15" customHeight="1" x14ac:dyDescent="0.25">
      <c r="A43" s="158" t="s">
        <v>113</v>
      </c>
      <c r="B43" s="167">
        <f>percnt_var</f>
        <v>0.75</v>
      </c>
    </row>
    <row r="44" spans="1:12" ht="15" customHeight="1" x14ac:dyDescent="0.25">
      <c r="A44" s="158" t="s">
        <v>114</v>
      </c>
      <c r="B44" s="167">
        <f>percnt_fixed</f>
        <v>1</v>
      </c>
    </row>
    <row r="45" spans="1:12" ht="15" customHeight="1" x14ac:dyDescent="0.25">
      <c r="A45" s="139"/>
      <c r="B45" s="157"/>
    </row>
    <row r="46" spans="1:12" ht="28.5" customHeight="1" x14ac:dyDescent="0.3">
      <c r="A46" s="170" t="s">
        <v>115</v>
      </c>
      <c r="B46" s="157"/>
      <c r="F46" s="173"/>
    </row>
    <row r="47" spans="1:12" ht="15" customHeight="1" x14ac:dyDescent="0.25">
      <c r="A47" s="139" t="s">
        <v>389</v>
      </c>
      <c r="B47" s="174" t="str">
        <f>depr_type</f>
        <v>MACRS</v>
      </c>
      <c r="F47" s="173"/>
    </row>
    <row r="48" spans="1:12" ht="15" customHeight="1" x14ac:dyDescent="0.25">
      <c r="A48" s="139" t="s">
        <v>53</v>
      </c>
      <c r="B48" s="164">
        <f>depr_length</f>
        <v>20</v>
      </c>
      <c r="F48" s="173"/>
    </row>
    <row r="49" spans="1:32" ht="15" customHeight="1" x14ac:dyDescent="0.25">
      <c r="A49" s="139"/>
      <c r="B49" s="157"/>
      <c r="F49" s="173"/>
    </row>
    <row r="50" spans="1:32" ht="28.5" customHeight="1" x14ac:dyDescent="0.3">
      <c r="A50" s="170" t="s">
        <v>116</v>
      </c>
      <c r="B50" s="157"/>
    </row>
    <row r="51" spans="1:32" ht="30.75" customHeight="1" x14ac:dyDescent="0.25">
      <c r="A51" s="138" t="s">
        <v>979</v>
      </c>
      <c r="B51" s="175">
        <f ca="1">(total_cap-non_dep_cap)*INFLATION_FACTOR</f>
        <v>303261725.55554992</v>
      </c>
      <c r="F51" s="173"/>
    </row>
    <row r="52" spans="1:32" ht="30" customHeight="1" thickBot="1" x14ac:dyDescent="0.3">
      <c r="A52" s="138" t="s">
        <v>981</v>
      </c>
      <c r="B52" s="175">
        <f ca="1">non_dep_cap*INFLATION_FACTOR</f>
        <v>4323136.3610154521</v>
      </c>
      <c r="F52" s="173"/>
    </row>
    <row r="53" spans="1:32" ht="15" customHeight="1" thickBot="1" x14ac:dyDescent="0.4">
      <c r="A53" s="138" t="s">
        <v>117</v>
      </c>
      <c r="B53" s="175">
        <f ca="1">SUM(B51:B52)</f>
        <v>307584861.91656536</v>
      </c>
      <c r="F53" s="173"/>
      <c r="W53" s="1626" t="s">
        <v>1173</v>
      </c>
      <c r="X53" s="1627"/>
      <c r="Y53" s="1133"/>
      <c r="Z53" s="1133"/>
      <c r="AA53" s="1133"/>
      <c r="AB53" s="1133"/>
      <c r="AC53" s="1134"/>
    </row>
    <row r="54" spans="1:32" ht="15" customHeight="1" thickTop="1" x14ac:dyDescent="0.3">
      <c r="A54" s="138" t="s">
        <v>984</v>
      </c>
      <c r="B54" s="175">
        <f ca="1">decom_percent*depr_cap_infl</f>
        <v>30326172.555554993</v>
      </c>
      <c r="F54" s="173"/>
      <c r="W54" s="1135"/>
      <c r="X54" s="1128" t="s">
        <v>83</v>
      </c>
      <c r="Y54" s="1129" t="s">
        <v>1123</v>
      </c>
      <c r="Z54" s="1129" t="s">
        <v>1124</v>
      </c>
      <c r="AA54" s="1128" t="s">
        <v>1125</v>
      </c>
      <c r="AB54" s="1129" t="s">
        <v>1130</v>
      </c>
      <c r="AC54" s="1136" t="s">
        <v>1126</v>
      </c>
    </row>
    <row r="55" spans="1:32" ht="15" customHeight="1" x14ac:dyDescent="0.25">
      <c r="A55" s="138" t="s">
        <v>993</v>
      </c>
      <c r="B55" s="175">
        <f ca="1">salvage_perct*B53</f>
        <v>30758486.191656537</v>
      </c>
      <c r="F55" s="173"/>
      <c r="W55" s="1137" t="s">
        <v>1121</v>
      </c>
      <c r="X55" s="1130">
        <f ca="1">-SUM(H116:K116)</f>
        <v>142411283.37379569</v>
      </c>
      <c r="Y55" s="1130">
        <f ca="1">-U116</f>
        <v>112654247.5755074</v>
      </c>
      <c r="Z55" s="1130">
        <f ca="1">-Z116</f>
        <v>3078455.2256916822</v>
      </c>
      <c r="AA55" s="1130">
        <f ca="1">-SUM(L116:S116)</f>
        <v>1487351609.1987967</v>
      </c>
      <c r="AB55" s="1130">
        <f ca="1">+AF116</f>
        <v>0</v>
      </c>
      <c r="AC55" s="1138">
        <f ca="1">+AE116</f>
        <v>499560750.04104668</v>
      </c>
    </row>
    <row r="56" spans="1:32" ht="15" customHeight="1" x14ac:dyDescent="0.25">
      <c r="A56" s="160" t="s">
        <v>985</v>
      </c>
      <c r="B56" s="60">
        <f ca="1">fixed*INFLATION_FACTOR</f>
        <v>18540222.962571878</v>
      </c>
      <c r="F56" s="173"/>
      <c r="W56" s="1137" t="s">
        <v>1131</v>
      </c>
      <c r="X56" s="1131">
        <v>1</v>
      </c>
      <c r="Y56" s="1131">
        <f>-total_tax_rate</f>
        <v>-0.25739999999999996</v>
      </c>
      <c r="Z56" s="1131">
        <v>1</v>
      </c>
      <c r="AA56" s="1131">
        <f>1-total_tax_rate</f>
        <v>0.74260000000000004</v>
      </c>
      <c r="AB56" s="1131">
        <v>-1</v>
      </c>
      <c r="AC56" s="1139">
        <f>1-total_tax_rate</f>
        <v>0.74260000000000004</v>
      </c>
    </row>
    <row r="57" spans="1:32" ht="15" customHeight="1" x14ac:dyDescent="0.25">
      <c r="A57" s="160" t="s">
        <v>986</v>
      </c>
      <c r="B57" s="60">
        <f ca="1">total_other_raw*INFLATION_FACTOR</f>
        <v>11177123.013793403</v>
      </c>
      <c r="F57" s="173"/>
      <c r="W57" s="1137" t="s">
        <v>1122</v>
      </c>
      <c r="X57" s="1132">
        <f t="shared" ref="X57:Z57" ca="1" si="0">+X55*X56</f>
        <v>142411283.37379569</v>
      </c>
      <c r="Y57" s="1132">
        <f t="shared" ca="1" si="0"/>
        <v>-28997203.325935602</v>
      </c>
      <c r="Z57" s="1132">
        <f t="shared" ca="1" si="0"/>
        <v>3078455.2256916822</v>
      </c>
      <c r="AA57" s="1132">
        <f ca="1">+AA55*AA56</f>
        <v>1104507304.9910266</v>
      </c>
      <c r="AB57" s="1132">
        <f ca="1">+AB55*AB56</f>
        <v>0</v>
      </c>
      <c r="AC57" s="1140">
        <f ca="1">+AC55*AC56</f>
        <v>370973812.98048127</v>
      </c>
    </row>
    <row r="58" spans="1:32" ht="45.75" customHeight="1" thickBot="1" x14ac:dyDescent="0.3">
      <c r="A58" s="176" t="s">
        <v>987</v>
      </c>
      <c r="B58" s="62">
        <f ca="1">(var_misc+royalties+operator_profit+CO2_OandMcost+waste_treat+solidwaste_treat)*INFLATION_FACTOR</f>
        <v>4644252.5571444631</v>
      </c>
      <c r="F58" s="173"/>
      <c r="W58" s="1141"/>
      <c r="X58" s="1142"/>
      <c r="Y58" s="1142"/>
      <c r="Z58" s="1142"/>
      <c r="AA58" s="1142"/>
      <c r="AB58" s="1142"/>
      <c r="AC58" s="1143"/>
    </row>
    <row r="59" spans="1:32" ht="15" customHeight="1" thickTop="1" x14ac:dyDescent="0.25">
      <c r="F59" s="173"/>
      <c r="W59" s="1144" t="s">
        <v>1120</v>
      </c>
      <c r="X59" s="1085">
        <f ca="1">+(1+real_irr)*(1+inflation_rate)-1</f>
        <v>0.10051999999999994</v>
      </c>
      <c r="Y59" s="1142"/>
      <c r="Z59" s="1142"/>
      <c r="AA59" s="1142"/>
      <c r="AB59" s="1142"/>
      <c r="AC59" s="1143"/>
    </row>
    <row r="60" spans="1:32" ht="15" customHeight="1" thickBot="1" x14ac:dyDescent="0.3">
      <c r="F60" s="173"/>
      <c r="W60" s="1145" t="str">
        <f>+D16</f>
        <v>Hydrogen Cost (Year 2016 Real $/kg)</v>
      </c>
      <c r="X60" s="1146">
        <f ca="1">+SUM(X57:AB57)/AC57*(1+inflation_rate)^construct/INFLATION_FACTOR</f>
        <v>2.2167386276561158</v>
      </c>
      <c r="Y60" s="1147"/>
      <c r="Z60" s="1147"/>
      <c r="AA60" s="1147"/>
      <c r="AB60" s="1147"/>
      <c r="AC60" s="1148"/>
    </row>
    <row r="61" spans="1:32" ht="39.75" customHeight="1" x14ac:dyDescent="0.25">
      <c r="F61" s="173"/>
    </row>
    <row r="62" spans="1:32" ht="17.25" customHeight="1" thickBot="1" x14ac:dyDescent="0.3">
      <c r="F62" s="173"/>
    </row>
    <row r="63" spans="1:32" ht="29.25" customHeight="1" thickTop="1" thickBot="1" x14ac:dyDescent="0.4">
      <c r="A63" s="49" t="s">
        <v>118</v>
      </c>
      <c r="B63" s="177"/>
      <c r="C63" s="177"/>
      <c r="D63" s="177"/>
      <c r="E63" s="177"/>
      <c r="F63" s="177"/>
      <c r="G63" s="177"/>
      <c r="H63" s="1172"/>
      <c r="I63" s="1172"/>
      <c r="J63" s="1172"/>
      <c r="K63" s="1172"/>
      <c r="L63" s="1172"/>
      <c r="M63" s="1172"/>
      <c r="N63" s="1172"/>
      <c r="O63" s="1172"/>
      <c r="P63" s="1172"/>
      <c r="Q63" s="1172"/>
      <c r="R63" s="1172"/>
      <c r="S63" s="1172"/>
      <c r="T63" s="1172"/>
      <c r="U63" s="1172"/>
      <c r="V63" s="1172"/>
      <c r="W63" s="1172"/>
      <c r="X63" s="1172"/>
      <c r="Y63" s="1172"/>
      <c r="Z63" s="1172"/>
      <c r="AA63" s="1172"/>
      <c r="AB63" s="1172"/>
      <c r="AC63" s="1173"/>
    </row>
    <row r="64" spans="1:32" ht="66" thickTop="1" thickBot="1" x14ac:dyDescent="0.35">
      <c r="A64" s="1149" t="s">
        <v>1128</v>
      </c>
      <c r="B64" s="1150" t="s">
        <v>40</v>
      </c>
      <c r="C64" s="1150" t="s">
        <v>56</v>
      </c>
      <c r="D64" s="1150" t="s">
        <v>119</v>
      </c>
      <c r="E64" s="1151" t="s">
        <v>120</v>
      </c>
      <c r="F64" s="1151" t="s">
        <v>1133</v>
      </c>
      <c r="G64" s="1152" t="s">
        <v>121</v>
      </c>
      <c r="H64" s="1174" t="s">
        <v>122</v>
      </c>
      <c r="I64" s="1175" t="s">
        <v>123</v>
      </c>
      <c r="J64" s="1175" t="s">
        <v>1127</v>
      </c>
      <c r="K64" s="1175" t="s">
        <v>135</v>
      </c>
      <c r="L64" s="1175" t="s">
        <v>993</v>
      </c>
      <c r="M64" s="1175" t="s">
        <v>84</v>
      </c>
      <c r="N64" s="1175" t="s">
        <v>136</v>
      </c>
      <c r="O64" s="1175" t="s">
        <v>1132</v>
      </c>
      <c r="P64" s="1175" t="s">
        <v>137</v>
      </c>
      <c r="Q64" s="1175" t="s">
        <v>1134</v>
      </c>
      <c r="R64" s="1175" t="s">
        <v>138</v>
      </c>
      <c r="S64" s="1175" t="s">
        <v>139</v>
      </c>
      <c r="T64" s="1175" t="s">
        <v>140</v>
      </c>
      <c r="U64" s="1175" t="s">
        <v>60</v>
      </c>
      <c r="V64" s="1175" t="s">
        <v>141</v>
      </c>
      <c r="W64" s="1175" t="s">
        <v>142</v>
      </c>
      <c r="X64" s="1175" t="s">
        <v>144</v>
      </c>
      <c r="Y64" s="1175" t="s">
        <v>145</v>
      </c>
      <c r="Z64" s="1175" t="s">
        <v>45</v>
      </c>
      <c r="AA64" s="1176" t="s">
        <v>146</v>
      </c>
      <c r="AB64" s="1176" t="s">
        <v>147</v>
      </c>
      <c r="AC64" s="1154" t="s">
        <v>148</v>
      </c>
      <c r="AD64" s="178"/>
      <c r="AE64" s="1153" t="s">
        <v>1119</v>
      </c>
      <c r="AF64" s="1154" t="s">
        <v>1129</v>
      </c>
    </row>
    <row r="65" spans="1:32" ht="13" thickTop="1" x14ac:dyDescent="0.25">
      <c r="A65" s="179">
        <f>startup_year-construct</f>
        <v>2037</v>
      </c>
      <c r="B65" s="180">
        <v>1</v>
      </c>
      <c r="C65" s="180">
        <f>IF(construct=0,1,-construct)</f>
        <v>-3</v>
      </c>
      <c r="D65" s="180">
        <f t="shared" ref="D65:D96" si="1">IF(C65="","",IF(C65&lt;=plant_life,C65,IF(D64=plant_life,1,D64+1)))</f>
        <v>-3</v>
      </c>
      <c r="E65" s="181">
        <f t="shared" ref="E65:E96" si="2">IF(C65="","",(1+inflation_rate)^(A65-$B$25))</f>
        <v>0.94509931410277337</v>
      </c>
      <c r="F65" s="182">
        <f t="shared" ref="F65:F96" si="3">IF(C65="","",IF(C65&lt;0,0,IF(AND(C65=1,start_time&lt;1),E65*(H2_price_nominal*output_kgyear*start_time*percnt_revs+H2_price_nominal*output_kgyear*(1-start_time)),IF(C65&lt;=start_time,H2_price_nominal*E65*output_kgyear*percnt_revs,H2_price_nominal*output_kgyear*E65))))</f>
        <v>0</v>
      </c>
      <c r="G65" s="1168">
        <f ca="1">-$B$31*depr_cap_infl*E65</f>
        <v>-171967469.28970423</v>
      </c>
      <c r="H65" s="1177">
        <f ca="1">IF(C65&lt;0,-E65*equity*depr_cap_infl*percent_cap1,IF(C65=1,-E65*equity*depr_cap_infl,0))</f>
        <v>-9171598.3621175606</v>
      </c>
      <c r="I65" s="183" t="str">
        <f>IF(OR(C65&lt;0,C65=""),"",-E65*INDEX('Replacement Costs'!$A$16:$H$57,MATCH(C65,'Replacement Costs'!$C$16:$C$57,0),MATCH("Total Yearly Replacement Costs",'Replacement Costs'!$A$16:$H$16,0)))</f>
        <v/>
      </c>
      <c r="J65" s="183">
        <f>IF(AND(C65&gt;=1,C65&lt;anal_period),WorkingCap*SUM(N65:R65)-WorkingCap*SUM(N64:R64),0)</f>
        <v>0</v>
      </c>
      <c r="K65" s="183">
        <f t="shared" ref="K65:K96" ca="1" si="4">IF(C65=-construct,-E65*non_dep_infl,"")</f>
        <v>-4085793.2095684633</v>
      </c>
      <c r="L65" s="183" t="str">
        <f t="shared" ref="L65:L96" si="5">IF(C65=anal_period,salvage*E65,"")</f>
        <v/>
      </c>
      <c r="M65" s="183" t="str">
        <f t="shared" ref="M65:M96" si="6">IF(D65=plant_life,-E65*decom,"")</f>
        <v/>
      </c>
      <c r="N65" s="183">
        <f t="shared" ref="N65:N96" si="7">IF(C65="","",IF(C65&lt;0,0,IF(AND(C65=1,start_time&lt;1),-(inflated_fixed*percnt_fixed*start_time+(inflated_fixed*(1-start_time))),IF(C65&lt;=start_time,-inflated_fixed*percnt_fixed*E65,-inflated_fixed*E65))))</f>
        <v>0</v>
      </c>
      <c r="O65" s="183">
        <f t="shared" ref="O65:O96" si="8">IF(C65="","",IF(C65&lt;0,0,IF(AND(C65=1,start_time&lt;1),-(SUM(B139:E139)*output_kgyear*E65*percnt_var*start_time+SUM(B139:E139)*output_kgyear*E65*(1-start_time)),IF(C65&lt;=start_time,-SUM(B139:E139)*output_kgyear*E65*percnt_var,-SUM(B139:E139)*output_kgyear*E65))))</f>
        <v>0</v>
      </c>
      <c r="P65" s="183">
        <f t="shared" ref="P65:P96" si="9">IF(C65="","",IF(C65&lt;0,0,IF(AND(C65=1,start_time&lt;1),-(inflated_otherraw*E65*percnt_var*start_time+inflated_otherraw*E65*(1-start_time)),IF(C65&lt;=start_time,-inflated_otherraw*E65*percnt_var,-(inflated_otherraw*E65)))))</f>
        <v>0</v>
      </c>
      <c r="Q65" s="183">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3">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3">
        <f ca="1">IF(B65="","",IF($B$31=0,"",-'Debt Financing Calculations'!E14))</f>
        <v>-6362796.3637190564</v>
      </c>
      <c r="T65" s="183">
        <f t="shared" ref="T65:T96" ca="1" si="12">IF(C65="","",F65+SUM(L65:S65))</f>
        <v>-6362796.3637190564</v>
      </c>
      <c r="U65" s="183">
        <f>IF(C65="","",IF(C65&lt;-1,0,IF(C65=anal_period,-LOOKUP(C65,depr_yr,depr_cost)-Depreciation!$C$141-Depreciation!$B$166,-LOOKUP(C65,depr_yr,depr_cost))))</f>
        <v>0</v>
      </c>
      <c r="V65" s="183">
        <f t="shared" ref="V65:V96" ca="1" si="13">IF(C65="","",SUM(T65:U65))</f>
        <v>-6362796.3637190564</v>
      </c>
      <c r="W65" s="184">
        <f t="shared" ref="W65:W96" si="14">IF(C65="","",$B$33)</f>
        <v>0.25739999999999996</v>
      </c>
      <c r="X65" s="183">
        <f t="shared" ref="X65:X96" ca="1" si="15">IF(C65="","",tax_credit-(V65*W65 +Upstream_CO2_taxpYear + Proc_CO2_taxpYear))</f>
        <v>1637783.7840212849</v>
      </c>
      <c r="Y65" s="183">
        <f t="shared" ref="Y65:Y96" ca="1" si="16">IF(C65="","",SUM(T65,X65))</f>
        <v>-4725012.579697771</v>
      </c>
      <c r="Z65" s="183">
        <f>IF(C65="","",IF($B$31=0,"",-'Debt Financing Calculations'!F14))</f>
        <v>0</v>
      </c>
      <c r="AA65" s="183">
        <f t="shared" ref="AA65:AA96" ca="1" si="17">IF(C65="","",SUM(H65,I65,J65,K65,T65,X65,Z65))</f>
        <v>-17982404.151383795</v>
      </c>
      <c r="AB65" s="183">
        <f ca="1">AA65</f>
        <v>-17982404.151383795</v>
      </c>
      <c r="AC65" s="1155">
        <f t="shared" ref="AC65:AC96" ca="1" si="18">IF(C65="","",SUM(H65,I65,J65,K65,T65,Z65))</f>
        <v>-19620187.935405079</v>
      </c>
      <c r="AD65" s="134"/>
      <c r="AE65" s="1159">
        <f t="shared" ref="AE65:AE96" si="19">IF(C65="","",IF(C65&lt;0,0,IF(AND(C65=1,start_time&lt;1),(output_kgyear*start_time*percnt_revs+output_kgyear*(1-start_time)),IF(C65&lt;=start_time,output_kgyear*percnt_revs,output_kgyear))))</f>
        <v>0</v>
      </c>
      <c r="AF65" s="1155">
        <f t="shared" ref="AF65:AF96" si="20">IF(C65="","",tax_credit)</f>
        <v>0</v>
      </c>
    </row>
    <row r="66" spans="1:32" x14ac:dyDescent="0.25">
      <c r="A66" s="58">
        <f t="shared" ref="A66:A113" si="21">IF(B66&lt;&gt;"",A65+1,"")</f>
        <v>2038</v>
      </c>
      <c r="B66" s="185">
        <f>IF(MAX($B$65:B65)&lt;(construct+anal_period),B65+1,"")</f>
        <v>2</v>
      </c>
      <c r="C66" s="185">
        <f t="shared" ref="C66:C113" si="22">IF(B66="","",IF(C65=-1,1,C65+1))</f>
        <v>-2</v>
      </c>
      <c r="D66" s="185">
        <f t="shared" si="1"/>
        <v>-2</v>
      </c>
      <c r="E66" s="186">
        <f t="shared" si="2"/>
        <v>0.96305620107072598</v>
      </c>
      <c r="F66" s="59">
        <f t="shared" si="3"/>
        <v>0</v>
      </c>
      <c r="G66" s="1169"/>
      <c r="H66" s="1178">
        <f ca="1">IF(C66&lt;0,-E66*equity*depr_cap_infl*percent_cap2,0)</f>
        <v>-70093940.482483447</v>
      </c>
      <c r="I66" s="187" t="str">
        <f>IF(OR(C66&lt;0,C66=""),"",-E66*INDEX('Replacement Costs'!$A$16:$H$57,MATCH(C66,'Replacement Costs'!$C$16:$C$57,0),MATCH("Total Yearly Replacement Costs",'Replacement Costs'!$A$16:$H$16,0)))</f>
        <v/>
      </c>
      <c r="J66" s="187">
        <f>IF(AND(C66&gt;=1,C66&lt;anal_period),WorkingCap*SUM(N66:R66)-WorkingCap*SUM(N65:R65),IF(C66&lt;0,0,IF(B66="","",-SUM(J$65:J65))))</f>
        <v>0</v>
      </c>
      <c r="K66" s="187" t="str">
        <f t="shared" si="4"/>
        <v/>
      </c>
      <c r="L66" s="187" t="str">
        <f t="shared" si="5"/>
        <v/>
      </c>
      <c r="M66" s="187" t="str">
        <f t="shared" si="6"/>
        <v/>
      </c>
      <c r="N66" s="187">
        <f t="shared" si="7"/>
        <v>0</v>
      </c>
      <c r="O66" s="187">
        <f t="shared" si="8"/>
        <v>0</v>
      </c>
      <c r="P66" s="187">
        <f t="shared" si="9"/>
        <v>0</v>
      </c>
      <c r="Q66" s="187">
        <f t="shared" si="10"/>
        <v>0</v>
      </c>
      <c r="R66" s="187">
        <f t="shared" si="11"/>
        <v>0</v>
      </c>
      <c r="S66" s="187">
        <f ca="1">IF(B66="","",IF($B$31=0,"",-'Debt Financing Calculations'!E15))</f>
        <v>-6362796.3637190564</v>
      </c>
      <c r="T66" s="187">
        <f t="shared" ca="1" si="12"/>
        <v>-6362796.3637190564</v>
      </c>
      <c r="U66" s="187">
        <f>IF(C66="","",IF(C66&lt;-1,0,IF(C66=anal_period,-LOOKUP(C66,depr_yr,depr_cost)-Depreciation!$C$141-Depreciation!$B$166,-LOOKUP(C66,depr_yr,depr_cost))))</f>
        <v>0</v>
      </c>
      <c r="V66" s="187">
        <f t="shared" ca="1" si="13"/>
        <v>-6362796.3637190564</v>
      </c>
      <c r="W66" s="188">
        <f t="shared" si="14"/>
        <v>0.25739999999999996</v>
      </c>
      <c r="X66" s="187">
        <f t="shared" ca="1" si="15"/>
        <v>1637783.7840212849</v>
      </c>
      <c r="Y66" s="187">
        <f t="shared" ca="1" si="16"/>
        <v>-4725012.579697771</v>
      </c>
      <c r="Z66" s="187">
        <f>IF(C66="","",IF($B$31=0,"",-'Debt Financing Calculations'!F15))</f>
        <v>0</v>
      </c>
      <c r="AA66" s="187">
        <f t="shared" ca="1" si="17"/>
        <v>-74818953.062181219</v>
      </c>
      <c r="AB66" s="187">
        <f t="shared" ref="AB66:AB113" ca="1" si="23">IF(C66="","",AB65+AA66)</f>
        <v>-92801357.213565022</v>
      </c>
      <c r="AC66" s="1156">
        <f t="shared" ca="1" si="18"/>
        <v>-76456736.846202508</v>
      </c>
      <c r="AD66" s="134"/>
      <c r="AE66" s="1160">
        <f t="shared" si="19"/>
        <v>0</v>
      </c>
      <c r="AF66" s="1156">
        <f t="shared" si="20"/>
        <v>0</v>
      </c>
    </row>
    <row r="67" spans="1:32" x14ac:dyDescent="0.25">
      <c r="A67" s="58">
        <f t="shared" si="21"/>
        <v>2039</v>
      </c>
      <c r="B67" s="185">
        <f>IF(MAX($B$65:B66)&lt;(construct+anal_period),B66+1,"")</f>
        <v>3</v>
      </c>
      <c r="C67" s="185">
        <f t="shared" si="22"/>
        <v>-1</v>
      </c>
      <c r="D67" s="185">
        <f t="shared" si="1"/>
        <v>-1</v>
      </c>
      <c r="E67" s="186">
        <f t="shared" si="2"/>
        <v>0.9813542688910698</v>
      </c>
      <c r="F67" s="59">
        <f t="shared" si="3"/>
        <v>0</v>
      </c>
      <c r="G67" s="1169"/>
      <c r="H67" s="1178">
        <f ca="1">IF(C67&lt;0,-E67*equity*depr_cap_infl*percent_cap3,0)</f>
        <v>-38093720.187547006</v>
      </c>
      <c r="I67" s="187" t="str">
        <f>IF(OR(C67&lt;0,C67=""),"",-E67*INDEX('Replacement Costs'!$A$16:$H$57,MATCH(C67,'Replacement Costs'!$C$16:$C$57,0),MATCH("Total Yearly Replacement Costs",'Replacement Costs'!$A$16:$H$16,0)))</f>
        <v/>
      </c>
      <c r="J67" s="187">
        <f>IF(AND(C67&gt;=1,C67&lt;anal_period),WorkingCap*SUM(N67:R67)-WorkingCap*SUM(N66:R66),IF(C67&lt;0,0,IF(B67="","",-SUM(J$65:J66))))</f>
        <v>0</v>
      </c>
      <c r="K67" s="187" t="str">
        <f t="shared" si="4"/>
        <v/>
      </c>
      <c r="L67" s="187" t="str">
        <f t="shared" si="5"/>
        <v/>
      </c>
      <c r="M67" s="187" t="str">
        <f t="shared" si="6"/>
        <v/>
      </c>
      <c r="N67" s="187">
        <f t="shared" si="7"/>
        <v>0</v>
      </c>
      <c r="O67" s="187">
        <f t="shared" si="8"/>
        <v>0</v>
      </c>
      <c r="P67" s="187">
        <f t="shared" si="9"/>
        <v>0</v>
      </c>
      <c r="Q67" s="187">
        <f t="shared" si="10"/>
        <v>0</v>
      </c>
      <c r="R67" s="187">
        <f t="shared" si="11"/>
        <v>0</v>
      </c>
      <c r="S67" s="187">
        <f ca="1">IF(B67="","",IF($B$31=0,"",-'Debt Financing Calculations'!E16))</f>
        <v>-6362796.3637190564</v>
      </c>
      <c r="T67" s="187">
        <f t="shared" ca="1" si="12"/>
        <v>-6362796.3637190564</v>
      </c>
      <c r="U67" s="187">
        <f>IF(C67="","",IF(C67&lt;-1,0,IF(C67=anal_period,-LOOKUP(C67,depr_yr,depr_cost)-Depreciation!$C$141-Depreciation!$B$166,-LOOKUP(C67,depr_yr,depr_cost))))</f>
        <v>0</v>
      </c>
      <c r="V67" s="187">
        <f t="shared" ca="1" si="13"/>
        <v>-6362796.3637190564</v>
      </c>
      <c r="W67" s="188">
        <f t="shared" si="14"/>
        <v>0.25739999999999996</v>
      </c>
      <c r="X67" s="187">
        <f t="shared" ca="1" si="15"/>
        <v>1637783.7840212849</v>
      </c>
      <c r="Y67" s="187">
        <f t="shared" ca="1" si="16"/>
        <v>-4725012.579697771</v>
      </c>
      <c r="Z67" s="187">
        <f>IF(C67="","",IF($B$31=0,"",-'Debt Financing Calculations'!F16))</f>
        <v>0</v>
      </c>
      <c r="AA67" s="187">
        <f t="shared" ca="1" si="17"/>
        <v>-42818732.767244771</v>
      </c>
      <c r="AB67" s="187">
        <f t="shared" ca="1" si="23"/>
        <v>-135620089.98080981</v>
      </c>
      <c r="AC67" s="1156">
        <f t="shared" ca="1" si="18"/>
        <v>-44456516.551266059</v>
      </c>
      <c r="AD67" s="134"/>
      <c r="AE67" s="1160">
        <f t="shared" si="19"/>
        <v>0</v>
      </c>
      <c r="AF67" s="1156">
        <f t="shared" si="20"/>
        <v>0</v>
      </c>
    </row>
    <row r="68" spans="1:32" ht="13" x14ac:dyDescent="0.3">
      <c r="A68" s="1090">
        <f t="shared" si="21"/>
        <v>2040</v>
      </c>
      <c r="B68" s="1091">
        <f>IF(MAX($B$65:B67)&lt;(construct+anal_period),B67+1,"")</f>
        <v>4</v>
      </c>
      <c r="C68" s="1091">
        <f t="shared" si="22"/>
        <v>1</v>
      </c>
      <c r="D68" s="1091">
        <f t="shared" si="1"/>
        <v>1</v>
      </c>
      <c r="E68" s="1092">
        <f t="shared" si="2"/>
        <v>1</v>
      </c>
      <c r="F68" s="1093">
        <f t="shared" ca="1" si="3"/>
        <v>88522480.139198974</v>
      </c>
      <c r="G68" s="1170"/>
      <c r="H68" s="1179">
        <f>IF(C68&lt;0,-E68*equity*depr_cap_infl*percent_cap4,0)</f>
        <v>0</v>
      </c>
      <c r="I68" s="1094">
        <f ca="1">IF(OR(C68&lt;0,C68=""),"",-E68*INDEX('Replacement Costs'!$A$16:$H$57,MATCH(C68,'Replacement Costs'!$C$16:$C$57,0),MATCH("Total Yearly Replacement Costs",'Replacement Costs'!$A$16:$H$16,0)))</f>
        <v>-1516308.6277777494</v>
      </c>
      <c r="J68" s="1094">
        <f ca="1">IF(AND(C68&gt;=1,C68&lt;anal_period),WorkingCap*SUM(N68:R68)-WorkingCap*SUM(N67:R67),IF(C68&lt;0,0,IF(B68="","",-SUM(J$65:J67))))</f>
        <v>-17297024.33393003</v>
      </c>
      <c r="K68" s="1094" t="str">
        <f t="shared" si="4"/>
        <v/>
      </c>
      <c r="L68" s="1094" t="str">
        <f t="shared" si="5"/>
        <v/>
      </c>
      <c r="M68" s="1094" t="str">
        <f t="shared" si="6"/>
        <v/>
      </c>
      <c r="N68" s="1094">
        <f t="shared" ca="1" si="7"/>
        <v>-18540222.962571878</v>
      </c>
      <c r="O68" s="1094">
        <f t="shared" ca="1" si="8"/>
        <v>-77767400.228181481</v>
      </c>
      <c r="P68" s="1094">
        <f t="shared" ca="1" si="9"/>
        <v>-8382842.2603450529</v>
      </c>
      <c r="Q68" s="1094">
        <f t="shared" ca="1" si="10"/>
        <v>0</v>
      </c>
      <c r="R68" s="1094">
        <f t="shared" ca="1" si="11"/>
        <v>-10623030.108435143</v>
      </c>
      <c r="S68" s="1094">
        <f ca="1">IF(B68="","",IF($B$31=0,"",-'Debt Financing Calculations'!E17))</f>
        <v>-6362796.3637190564</v>
      </c>
      <c r="T68" s="1094">
        <f t="shared" ca="1" si="12"/>
        <v>-33153811.784053639</v>
      </c>
      <c r="U68" s="1094">
        <f ca="1">IF(C68="","",IF(C68&lt;-1,0,IF(C68=anal_period,-LOOKUP(C68,depr_yr,depr_cost)-Depreciation!$C$141-Depreciation!$B$166,-LOOKUP(C68,depr_yr,depr_cost))))</f>
        <v>-10906613.885611122</v>
      </c>
      <c r="V68" s="1094">
        <f t="shared" ca="1" si="13"/>
        <v>-44060425.669664763</v>
      </c>
      <c r="W68" s="1095">
        <f t="shared" si="14"/>
        <v>0.25739999999999996</v>
      </c>
      <c r="X68" s="1094">
        <f t="shared" ca="1" si="15"/>
        <v>11341153.567371707</v>
      </c>
      <c r="Y68" s="1094">
        <f ca="1">IF(C68="","",SUM(T68,X68))</f>
        <v>-21812658.216681931</v>
      </c>
      <c r="Z68" s="1094">
        <f>IF(C68="","",IF($B$31=0,"",-'Debt Financing Calculations'!F17))</f>
        <v>0</v>
      </c>
      <c r="AA68" s="1094">
        <f t="shared" ca="1" si="17"/>
        <v>-40625991.178389713</v>
      </c>
      <c r="AB68" s="1094">
        <f t="shared" ca="1" si="23"/>
        <v>-176246081.15919954</v>
      </c>
      <c r="AC68" s="1157">
        <f t="shared" ca="1" si="18"/>
        <v>-51967144.745761417</v>
      </c>
      <c r="AD68" s="1086"/>
      <c r="AE68" s="1161">
        <f t="shared" ca="1" si="19"/>
        <v>25419012.096774187</v>
      </c>
      <c r="AF68" s="1157">
        <f t="shared" si="20"/>
        <v>0</v>
      </c>
    </row>
    <row r="69" spans="1:32" x14ac:dyDescent="0.25">
      <c r="A69" s="58">
        <f t="shared" si="21"/>
        <v>2041</v>
      </c>
      <c r="B69" s="185">
        <f>IF(MAX($B$65:B68)&lt;(construct+anal_period),B68+1,"")</f>
        <v>5</v>
      </c>
      <c r="C69" s="185">
        <f t="shared" si="22"/>
        <v>2</v>
      </c>
      <c r="D69" s="185">
        <f t="shared" si="1"/>
        <v>2</v>
      </c>
      <c r="E69" s="186">
        <f t="shared" si="2"/>
        <v>1.0189999999999999</v>
      </c>
      <c r="F69" s="59">
        <f t="shared" ca="1" si="3"/>
        <v>180408814.52368748</v>
      </c>
      <c r="G69" s="1169"/>
      <c r="H69" s="1178">
        <f t="shared" ref="H69:H113" si="24">IF(C69="","",0)</f>
        <v>0</v>
      </c>
      <c r="I69" s="187">
        <f ca="1">IF(OR(C69&lt;0,C69=""),"",-E69*INDEX('Replacement Costs'!$A$16:$H$57,MATCH(C69,'Replacement Costs'!$C$16:$C$57,0),MATCH("Total Yearly Replacement Costs",'Replacement Costs'!$A$16:$H$16,0)))</f>
        <v>-1545118.4917055266</v>
      </c>
      <c r="J69" s="187">
        <f ca="1">IF(AND(C69&gt;=1,C69&lt;anal_period),WorkingCap*SUM(N69:R69)-WorkingCap*SUM(N68:R68),IF(C69&lt;0,0,IF(B69="","",-SUM(J$65:J68))))</f>
        <v>-5257722.3261296675</v>
      </c>
      <c r="K69" s="187" t="str">
        <f t="shared" si="4"/>
        <v/>
      </c>
      <c r="L69" s="187" t="str">
        <f t="shared" si="5"/>
        <v/>
      </c>
      <c r="M69" s="187" t="str">
        <f t="shared" si="6"/>
        <v/>
      </c>
      <c r="N69" s="187">
        <f t="shared" ca="1" si="7"/>
        <v>-18892487.198860742</v>
      </c>
      <c r="O69" s="187">
        <f t="shared" ca="1" si="8"/>
        <v>-105659974.4433559</v>
      </c>
      <c r="P69" s="187">
        <f t="shared" ca="1" si="9"/>
        <v>-11389488.351055477</v>
      </c>
      <c r="Q69" s="187">
        <f t="shared" ca="1" si="10"/>
        <v>0</v>
      </c>
      <c r="R69" s="187">
        <f t="shared" ca="1" si="11"/>
        <v>-14423027.740459207</v>
      </c>
      <c r="S69" s="187">
        <f ca="1">IF(B69="","",IF($B$31=0,"",-'Debt Financing Calculations'!E18))</f>
        <v>-6362796.3637190564</v>
      </c>
      <c r="T69" s="187">
        <f t="shared" ca="1" si="12"/>
        <v>23681040.426237106</v>
      </c>
      <c r="U69" s="187">
        <f ca="1">IF(C69="","",IF(C69&lt;-1,0,IF(C69=anal_period,-LOOKUP(C69,depr_yr,depr_cost)-Depreciation!$C$141-Depreciation!$B$166,-LOOKUP(C69,depr_yr,depr_cost))))</f>
        <v>-21053900.780832745</v>
      </c>
      <c r="V69" s="187">
        <f t="shared" ca="1" si="13"/>
        <v>2627139.6454043612</v>
      </c>
      <c r="W69" s="188">
        <f t="shared" si="14"/>
        <v>0.25739999999999996</v>
      </c>
      <c r="X69" s="187">
        <f t="shared" ca="1" si="15"/>
        <v>-676225.74472708243</v>
      </c>
      <c r="Y69" s="187">
        <f t="shared" ca="1" si="16"/>
        <v>23004814.681510024</v>
      </c>
      <c r="Z69" s="187">
        <f>IF(C69="","",IF($B$31=0,"",-'Debt Financing Calculations'!F18))</f>
        <v>0</v>
      </c>
      <c r="AA69" s="187">
        <f t="shared" ca="1" si="17"/>
        <v>16201973.863674831</v>
      </c>
      <c r="AB69" s="187">
        <f t="shared" ca="1" si="23"/>
        <v>-160044107.29552472</v>
      </c>
      <c r="AC69" s="1156">
        <f t="shared" ca="1" si="18"/>
        <v>16878199.608401913</v>
      </c>
      <c r="AD69" s="134"/>
      <c r="AE69" s="1160">
        <f t="shared" ca="1" si="19"/>
        <v>50838024.193548374</v>
      </c>
      <c r="AF69" s="1156">
        <f t="shared" si="20"/>
        <v>0</v>
      </c>
    </row>
    <row r="70" spans="1:32" x14ac:dyDescent="0.25">
      <c r="A70" s="58">
        <f t="shared" si="21"/>
        <v>2042</v>
      </c>
      <c r="B70" s="185">
        <f>IF(MAX($B$65:B69)&lt;(construct+anal_period),B69+1,"")</f>
        <v>6</v>
      </c>
      <c r="C70" s="185">
        <f t="shared" si="22"/>
        <v>3</v>
      </c>
      <c r="D70" s="185">
        <f t="shared" si="1"/>
        <v>3</v>
      </c>
      <c r="E70" s="186">
        <f t="shared" si="2"/>
        <v>1.0383609999999999</v>
      </c>
      <c r="F70" s="59">
        <f t="shared" ca="1" si="3"/>
        <v>183836581.99963754</v>
      </c>
      <c r="G70" s="1169"/>
      <c r="H70" s="1178">
        <f t="shared" si="24"/>
        <v>0</v>
      </c>
      <c r="I70" s="187">
        <f ca="1">IF(OR(C70&lt;0,C70=""),"",-E70*INDEX('Replacement Costs'!$A$16:$H$57,MATCH(C70,'Replacement Costs'!$C$16:$C$57,0),MATCH("Total Yearly Replacement Costs",'Replacement Costs'!$A$16:$H$16,0)))</f>
        <v>-1574475.7430479315</v>
      </c>
      <c r="J70" s="187">
        <f ca="1">IF(AND(C70&gt;=1,C70&lt;anal_period),WorkingCap*SUM(N70:R70)-WorkingCap*SUM(N69:R69),IF(C70&lt;0,0,IF(B70="","",-SUM(J$65:J69))))</f>
        <v>-432288.81901415437</v>
      </c>
      <c r="K70" s="187" t="str">
        <f t="shared" si="4"/>
        <v/>
      </c>
      <c r="L70" s="187" t="str">
        <f t="shared" si="5"/>
        <v/>
      </c>
      <c r="M70" s="187" t="str">
        <f t="shared" si="6"/>
        <v/>
      </c>
      <c r="N70" s="187">
        <f t="shared" ca="1" si="7"/>
        <v>-19251444.455639094</v>
      </c>
      <c r="O70" s="187">
        <f t="shared" ca="1" si="8"/>
        <v>-107667513.95777966</v>
      </c>
      <c r="P70" s="187">
        <f t="shared" ca="1" si="9"/>
        <v>-11605888.629725531</v>
      </c>
      <c r="Q70" s="187">
        <f t="shared" ca="1" si="10"/>
        <v>0</v>
      </c>
      <c r="R70" s="187">
        <f t="shared" ca="1" si="11"/>
        <v>-14722056.150681399</v>
      </c>
      <c r="S70" s="187">
        <f ca="1">IF(B70="","",IF($B$31=0,"",-'Debt Financing Calculations'!E19))</f>
        <v>-6362796.3637190564</v>
      </c>
      <c r="T70" s="187">
        <f t="shared" ca="1" si="12"/>
        <v>24226882.442092806</v>
      </c>
      <c r="U70" s="187">
        <f ca="1">IF(C70="","",IF(C70&lt;-1,0,IF(C70=anal_period,-LOOKUP(C70,depr_yr,depr_cost)-Depreciation!$C$141-Depreciation!$B$166,-LOOKUP(C70,depr_yr,depr_cost))))</f>
        <v>-19590174.521407306</v>
      </c>
      <c r="V70" s="187">
        <f t="shared" ca="1" si="13"/>
        <v>4636707.9206854999</v>
      </c>
      <c r="W70" s="188">
        <f t="shared" si="14"/>
        <v>0.25739999999999996</v>
      </c>
      <c r="X70" s="187">
        <f t="shared" ca="1" si="15"/>
        <v>-1193488.6187844474</v>
      </c>
      <c r="Y70" s="187">
        <f t="shared" ca="1" si="16"/>
        <v>23033393.82330836</v>
      </c>
      <c r="Z70" s="187">
        <f>IF(C70="","",IF($B$31=0,"",-'Debt Financing Calculations'!F19))</f>
        <v>0</v>
      </c>
      <c r="AA70" s="187">
        <f t="shared" ca="1" si="17"/>
        <v>21026629.261246275</v>
      </c>
      <c r="AB70" s="187">
        <f t="shared" ca="1" si="23"/>
        <v>-139017478.03427845</v>
      </c>
      <c r="AC70" s="1156">
        <f t="shared" ca="1" si="18"/>
        <v>22220117.880030721</v>
      </c>
      <c r="AD70" s="134"/>
      <c r="AE70" s="1160">
        <f t="shared" ca="1" si="19"/>
        <v>50838024.193548374</v>
      </c>
      <c r="AF70" s="1156">
        <f t="shared" si="20"/>
        <v>0</v>
      </c>
    </row>
    <row r="71" spans="1:32" x14ac:dyDescent="0.25">
      <c r="A71" s="58">
        <f t="shared" si="21"/>
        <v>2043</v>
      </c>
      <c r="B71" s="185">
        <f>IF(MAX($B$65:B70)&lt;(construct+anal_period),B70+1,"")</f>
        <v>7</v>
      </c>
      <c r="C71" s="185">
        <f t="shared" si="22"/>
        <v>4</v>
      </c>
      <c r="D71" s="185">
        <f t="shared" si="1"/>
        <v>4</v>
      </c>
      <c r="E71" s="186">
        <f t="shared" si="2"/>
        <v>1.0580898589999999</v>
      </c>
      <c r="F71" s="59">
        <f t="shared" ca="1" si="3"/>
        <v>187329477.05763066</v>
      </c>
      <c r="G71" s="1169"/>
      <c r="H71" s="1178">
        <f t="shared" si="24"/>
        <v>0</v>
      </c>
      <c r="I71" s="187">
        <f ca="1">IF(OR(C71&lt;0,C71=""),"",-E71*INDEX('Replacement Costs'!$A$16:$H$57,MATCH(C71,'Replacement Costs'!$C$16:$C$57,0),MATCH("Total Yearly Replacement Costs",'Replacement Costs'!$A$16:$H$16,0)))</f>
        <v>-1604390.7821658421</v>
      </c>
      <c r="J71" s="187">
        <f ca="1">IF(AND(C71&gt;=1,C71&lt;anal_period),WorkingCap*SUM(N71:R71)-WorkingCap*SUM(N70:R70),IF(C71&lt;0,0,IF(B71="","",-SUM(J$65:J70))))</f>
        <v>-443123.62852322683</v>
      </c>
      <c r="K71" s="187" t="str">
        <f t="shared" si="4"/>
        <v/>
      </c>
      <c r="L71" s="187" t="str">
        <f t="shared" si="5"/>
        <v/>
      </c>
      <c r="M71" s="187" t="str">
        <f t="shared" si="6"/>
        <v/>
      </c>
      <c r="N71" s="187">
        <f t="shared" ca="1" si="7"/>
        <v>-19617221.900296237</v>
      </c>
      <c r="O71" s="187">
        <f t="shared" ca="1" si="8"/>
        <v>-109713196.72297746</v>
      </c>
      <c r="P71" s="187">
        <f t="shared" ca="1" si="9"/>
        <v>-11826400.513690315</v>
      </c>
      <c r="Q71" s="187">
        <f t="shared" ca="1" si="10"/>
        <v>0</v>
      </c>
      <c r="R71" s="187">
        <f t="shared" ca="1" si="11"/>
        <v>-15044241.580349836</v>
      </c>
      <c r="S71" s="187">
        <f ca="1">IF(B71="","",IF($B$31=0,"",-'Debt Financing Calculations'!E20))</f>
        <v>-6362796.3637190564</v>
      </c>
      <c r="T71" s="187">
        <f t="shared" ca="1" si="12"/>
        <v>24765619.976597756</v>
      </c>
      <c r="U71" s="187">
        <f ca="1">IF(C71="","",IF(C71&lt;-1,0,IF(C71=anal_period,-LOOKUP(C71,depr_yr,depr_cost)-Depreciation!$C$141-Depreciation!$B$166,-LOOKUP(C71,depr_yr,depr_cost))))</f>
        <v>-18242368.01229167</v>
      </c>
      <c r="V71" s="187">
        <f t="shared" ca="1" si="13"/>
        <v>6523251.9643060863</v>
      </c>
      <c r="W71" s="188">
        <f t="shared" si="14"/>
        <v>0.25739999999999996</v>
      </c>
      <c r="X71" s="187">
        <f t="shared" ca="1" si="15"/>
        <v>-1679085.0556123864</v>
      </c>
      <c r="Y71" s="187">
        <f t="shared" ca="1" si="16"/>
        <v>23086534.920985371</v>
      </c>
      <c r="Z71" s="187">
        <f>IF(C71="","",IF($B$31=0,"",-'Debt Financing Calculations'!F20))</f>
        <v>0</v>
      </c>
      <c r="AA71" s="187">
        <f t="shared" ca="1" si="17"/>
        <v>21039020.5102963</v>
      </c>
      <c r="AB71" s="187">
        <f t="shared" ca="1" si="23"/>
        <v>-117978457.52398215</v>
      </c>
      <c r="AC71" s="1156">
        <f t="shared" ca="1" si="18"/>
        <v>22718105.565908685</v>
      </c>
      <c r="AD71" s="134"/>
      <c r="AE71" s="1160">
        <f t="shared" ca="1" si="19"/>
        <v>50838024.193548374</v>
      </c>
      <c r="AF71" s="1156">
        <f t="shared" si="20"/>
        <v>0</v>
      </c>
    </row>
    <row r="72" spans="1:32" x14ac:dyDescent="0.25">
      <c r="A72" s="58">
        <f t="shared" si="21"/>
        <v>2044</v>
      </c>
      <c r="B72" s="185">
        <f>IF(MAX($B$65:B71)&lt;(construct+anal_period),B71+1,"")</f>
        <v>8</v>
      </c>
      <c r="C72" s="185">
        <f t="shared" si="22"/>
        <v>5</v>
      </c>
      <c r="D72" s="185">
        <f t="shared" si="1"/>
        <v>5</v>
      </c>
      <c r="E72" s="186">
        <f t="shared" si="2"/>
        <v>1.0781935663209998</v>
      </c>
      <c r="F72" s="59">
        <f t="shared" ca="1" si="3"/>
        <v>190888737.12172565</v>
      </c>
      <c r="G72" s="1169"/>
      <c r="H72" s="1178">
        <f t="shared" si="24"/>
        <v>0</v>
      </c>
      <c r="I72" s="187">
        <f ca="1">IF(OR(C72&lt;0,C72=""),"",-E72*INDEX('Replacement Costs'!$A$16:$H$57,MATCH(C72,'Replacement Costs'!$C$16:$C$57,0),MATCH("Total Yearly Replacement Costs",'Replacement Costs'!$A$16:$H$16,0)))</f>
        <v>-1634874.2070269932</v>
      </c>
      <c r="J72" s="187">
        <f ca="1">IF(AND(C72&gt;=1,C72&lt;anal_period),WorkingCap*SUM(N72:R72)-WorkingCap*SUM(N71:R71),IF(C72&lt;0,0,IF(B72="","",-SUM(J$65:J71))))</f>
        <v>-452260.8446389921</v>
      </c>
      <c r="K72" s="187" t="str">
        <f t="shared" si="4"/>
        <v/>
      </c>
      <c r="L72" s="187" t="str">
        <f t="shared" si="5"/>
        <v/>
      </c>
      <c r="M72" s="187" t="str">
        <f t="shared" si="6"/>
        <v/>
      </c>
      <c r="N72" s="187">
        <f t="shared" ca="1" si="7"/>
        <v>-19989949.116401866</v>
      </c>
      <c r="O72" s="187">
        <f t="shared" ca="1" si="8"/>
        <v>-111797747.46071404</v>
      </c>
      <c r="P72" s="187">
        <f t="shared" ca="1" si="9"/>
        <v>-12051102.123450432</v>
      </c>
      <c r="Q72" s="187">
        <f t="shared" ca="1" si="10"/>
        <v>0</v>
      </c>
      <c r="R72" s="187">
        <f t="shared" ca="1" si="11"/>
        <v>-15377334.314340813</v>
      </c>
      <c r="S72" s="187">
        <f ca="1">IF(B72="","",IF($B$31=0,"",-'Debt Financing Calculations'!E21))</f>
        <v>-6362796.3637190564</v>
      </c>
      <c r="T72" s="187">
        <f t="shared" ca="1" si="12"/>
        <v>25309807.743099451</v>
      </c>
      <c r="U72" s="187">
        <f ca="1">IF(C72="","",IF(C72&lt;-1,0,IF(C72=anal_period,-LOOKUP(C72,depr_yr,depr_cost)-Depreciation!$C$141-Depreciation!$B$166,-LOOKUP(C72,depr_yr,depr_cost))))</f>
        <v>-16993561.168856382</v>
      </c>
      <c r="V72" s="187">
        <f t="shared" ca="1" si="13"/>
        <v>8316246.5742430687</v>
      </c>
      <c r="W72" s="188">
        <f t="shared" si="14"/>
        <v>0.25739999999999996</v>
      </c>
      <c r="X72" s="187">
        <f t="shared" ca="1" si="15"/>
        <v>-2140601.8682101658</v>
      </c>
      <c r="Y72" s="187">
        <f t="shared" ca="1" si="16"/>
        <v>23169205.874889284</v>
      </c>
      <c r="Z72" s="187">
        <f>IF(C72="","",IF($B$31=0,"",-'Debt Financing Calculations'!F21))</f>
        <v>0</v>
      </c>
      <c r="AA72" s="187">
        <f t="shared" ca="1" si="17"/>
        <v>21082070.8232233</v>
      </c>
      <c r="AB72" s="187">
        <f t="shared" ca="1" si="23"/>
        <v>-96896386.700758845</v>
      </c>
      <c r="AC72" s="1156">
        <f t="shared" ca="1" si="18"/>
        <v>23222672.691433467</v>
      </c>
      <c r="AD72" s="134"/>
      <c r="AE72" s="1160">
        <f t="shared" ca="1" si="19"/>
        <v>50838024.193548374</v>
      </c>
      <c r="AF72" s="1156">
        <f t="shared" si="20"/>
        <v>0</v>
      </c>
    </row>
    <row r="73" spans="1:32" x14ac:dyDescent="0.25">
      <c r="A73" s="58">
        <f t="shared" si="21"/>
        <v>2045</v>
      </c>
      <c r="B73" s="185">
        <f>IF(MAX($B$65:B72)&lt;(construct+anal_period),B72+1,"")</f>
        <v>9</v>
      </c>
      <c r="C73" s="185">
        <f t="shared" si="22"/>
        <v>6</v>
      </c>
      <c r="D73" s="185">
        <f t="shared" si="1"/>
        <v>6</v>
      </c>
      <c r="E73" s="186">
        <f t="shared" si="2"/>
        <v>1.0986792440810986</v>
      </c>
      <c r="F73" s="59">
        <f t="shared" ca="1" si="3"/>
        <v>194515623.12703839</v>
      </c>
      <c r="G73" s="1169"/>
      <c r="H73" s="1178">
        <f t="shared" si="24"/>
        <v>0</v>
      </c>
      <c r="I73" s="187">
        <f ca="1">IF(OR(C73&lt;0,C73=""),"",-E73*INDEX('Replacement Costs'!$A$16:$H$57,MATCH(C73,'Replacement Costs'!$C$16:$C$57,0),MATCH("Total Yearly Replacement Costs",'Replacement Costs'!$A$16:$H$16,0)))</f>
        <v>-1665936.8169605057</v>
      </c>
      <c r="J73" s="187">
        <f ca="1">IF(AND(C73&gt;=1,C73&lt;anal_period),WorkingCap*SUM(N73:R73)-WorkingCap*SUM(N72:R72),IF(C73&lt;0,0,IF(B73="","",-SUM(J$65:J72))))</f>
        <v>-461307.55582091212</v>
      </c>
      <c r="K73" s="187" t="str">
        <f t="shared" si="4"/>
        <v/>
      </c>
      <c r="L73" s="187" t="str">
        <f t="shared" si="5"/>
        <v/>
      </c>
      <c r="M73" s="187" t="str">
        <f t="shared" si="6"/>
        <v/>
      </c>
      <c r="N73" s="187">
        <f t="shared" ca="1" si="7"/>
        <v>-20369758.1496135</v>
      </c>
      <c r="O73" s="187">
        <f t="shared" ca="1" si="8"/>
        <v>-113921904.66246758</v>
      </c>
      <c r="P73" s="187">
        <f t="shared" ca="1" si="9"/>
        <v>-12280073.063795988</v>
      </c>
      <c r="Q73" s="187">
        <f t="shared" ca="1" si="10"/>
        <v>0</v>
      </c>
      <c r="R73" s="187">
        <f t="shared" ca="1" si="11"/>
        <v>-15719780.844502822</v>
      </c>
      <c r="S73" s="187">
        <f ca="1">IF(B73="","",IF($B$31=0,"",-'Debt Financing Calculations'!E22))</f>
        <v>-6362796.3637190564</v>
      </c>
      <c r="T73" s="187">
        <f t="shared" ca="1" si="12"/>
        <v>25861310.042939454</v>
      </c>
      <c r="U73" s="187">
        <f ca="1">IF(C73="","",IF(C73&lt;-1,0,IF(C73=anal_period,-LOOKUP(C73,depr_yr,depr_cost)-Depreciation!$C$141-Depreciation!$B$166,-LOOKUP(C73,depr_yr,depr_cost))))</f>
        <v>-15844201.861033663</v>
      </c>
      <c r="V73" s="187">
        <f t="shared" ca="1" si="13"/>
        <v>10017108.181905791</v>
      </c>
      <c r="W73" s="188">
        <f t="shared" si="14"/>
        <v>0.25739999999999996</v>
      </c>
      <c r="X73" s="187">
        <f t="shared" ca="1" si="15"/>
        <v>-2578403.6460225503</v>
      </c>
      <c r="Y73" s="187">
        <f t="shared" ca="1" si="16"/>
        <v>23282906.396916904</v>
      </c>
      <c r="Z73" s="187">
        <f>IF(C73="","",IF($B$31=0,"",-'Debt Financing Calculations'!F22))</f>
        <v>0</v>
      </c>
      <c r="AA73" s="187">
        <f t="shared" ca="1" si="17"/>
        <v>21155662.024135485</v>
      </c>
      <c r="AB73" s="187">
        <f t="shared" ca="1" si="23"/>
        <v>-75740724.676623359</v>
      </c>
      <c r="AC73" s="1156">
        <f t="shared" ca="1" si="18"/>
        <v>23734065.670158036</v>
      </c>
      <c r="AD73" s="134"/>
      <c r="AE73" s="1160">
        <f t="shared" ca="1" si="19"/>
        <v>50838024.193548374</v>
      </c>
      <c r="AF73" s="1156">
        <f t="shared" si="20"/>
        <v>0</v>
      </c>
    </row>
    <row r="74" spans="1:32" x14ac:dyDescent="0.25">
      <c r="A74" s="58">
        <f t="shared" si="21"/>
        <v>2046</v>
      </c>
      <c r="B74" s="185">
        <f>IF(MAX($B$65:B73)&lt;(construct+anal_period),B73+1,"")</f>
        <v>10</v>
      </c>
      <c r="C74" s="185">
        <f t="shared" si="22"/>
        <v>7</v>
      </c>
      <c r="D74" s="185">
        <f t="shared" si="1"/>
        <v>7</v>
      </c>
      <c r="E74" s="186">
        <f t="shared" si="2"/>
        <v>1.1195541497186396</v>
      </c>
      <c r="F74" s="59">
        <f t="shared" ca="1" si="3"/>
        <v>198211419.96645215</v>
      </c>
      <c r="G74" s="1169"/>
      <c r="H74" s="1178">
        <f t="shared" si="24"/>
        <v>0</v>
      </c>
      <c r="I74" s="187">
        <f ca="1">IF(OR(C74&lt;0,C74=""),"",-E74*INDEX('Replacement Costs'!$A$16:$H$57,MATCH(C74,'Replacement Costs'!$C$16:$C$57,0),MATCH("Total Yearly Replacement Costs",'Replacement Costs'!$A$16:$H$16,0)))</f>
        <v>-1697589.6164827556</v>
      </c>
      <c r="J74" s="187">
        <f ca="1">IF(AND(C74&gt;=1,C74&lt;anal_period),WorkingCap*SUM(N74:R74)-WorkingCap*SUM(N73:R73),IF(C74&lt;0,0,IF(B74="","",-SUM(J$65:J73))))</f>
        <v>-469588.9099431783</v>
      </c>
      <c r="K74" s="187" t="str">
        <f t="shared" si="4"/>
        <v/>
      </c>
      <c r="L74" s="187" t="str">
        <f t="shared" si="5"/>
        <v/>
      </c>
      <c r="M74" s="187" t="str">
        <f t="shared" si="6"/>
        <v/>
      </c>
      <c r="N74" s="187">
        <f t="shared" ca="1" si="7"/>
        <v>-20756783.554456156</v>
      </c>
      <c r="O74" s="187">
        <f t="shared" ca="1" si="8"/>
        <v>-116086420.85105447</v>
      </c>
      <c r="P74" s="187">
        <f t="shared" ca="1" si="9"/>
        <v>-12513394.452008113</v>
      </c>
      <c r="Q74" s="187">
        <f t="shared" ca="1" si="10"/>
        <v>0</v>
      </c>
      <c r="R74" s="187">
        <f t="shared" ca="1" si="11"/>
        <v>-16065510.595815696</v>
      </c>
      <c r="S74" s="187">
        <f ca="1">IF(B74="","",IF($B$31=0,"",-'Debt Financing Calculations'!E23))</f>
        <v>-6362796.3637190564</v>
      </c>
      <c r="T74" s="187">
        <f t="shared" ca="1" si="12"/>
        <v>26426514.149398685</v>
      </c>
      <c r="U74" s="187">
        <f ca="1">IF(C74="","",IF(C74&lt;-1,0,IF(C74=anal_period,-LOOKUP(C74,depr_yr,depr_cost)-Depreciation!$C$141-Depreciation!$B$166,-LOOKUP(C74,depr_yr,depr_cost))))</f>
        <v>-14780204.316436937</v>
      </c>
      <c r="V74" s="187">
        <f t="shared" ca="1" si="13"/>
        <v>11646309.832961747</v>
      </c>
      <c r="W74" s="188">
        <f t="shared" si="14"/>
        <v>0.25739999999999996</v>
      </c>
      <c r="X74" s="187">
        <f t="shared" ca="1" si="15"/>
        <v>-2997760.1510043535</v>
      </c>
      <c r="Y74" s="187">
        <f t="shared" ca="1" si="16"/>
        <v>23428753.998394333</v>
      </c>
      <c r="Z74" s="187">
        <f>IF(C74="","",IF($B$31=0,"",-'Debt Financing Calculations'!F23))</f>
        <v>0</v>
      </c>
      <c r="AA74" s="187">
        <f t="shared" ca="1" si="17"/>
        <v>21261575.471968397</v>
      </c>
      <c r="AB74" s="187">
        <f t="shared" ca="1" si="23"/>
        <v>-54479149.204654962</v>
      </c>
      <c r="AC74" s="1156">
        <f t="shared" ca="1" si="18"/>
        <v>24259335.622972749</v>
      </c>
      <c r="AD74" s="134"/>
      <c r="AE74" s="1160">
        <f t="shared" ca="1" si="19"/>
        <v>50838024.193548374</v>
      </c>
      <c r="AF74" s="1156">
        <f t="shared" si="20"/>
        <v>0</v>
      </c>
    </row>
    <row r="75" spans="1:32" x14ac:dyDescent="0.25">
      <c r="A75" s="58">
        <f t="shared" si="21"/>
        <v>2047</v>
      </c>
      <c r="B75" s="185">
        <f>IF(MAX($B$65:B74)&lt;(construct+anal_period),B74+1,"")</f>
        <v>11</v>
      </c>
      <c r="C75" s="185">
        <f t="shared" si="22"/>
        <v>8</v>
      </c>
      <c r="D75" s="185">
        <f t="shared" si="1"/>
        <v>8</v>
      </c>
      <c r="E75" s="186">
        <f t="shared" si="2"/>
        <v>1.1408256785632938</v>
      </c>
      <c r="F75" s="59">
        <f t="shared" ca="1" si="3"/>
        <v>201977436.94581473</v>
      </c>
      <c r="G75" s="1169"/>
      <c r="H75" s="1178">
        <f t="shared" si="24"/>
        <v>0</v>
      </c>
      <c r="I75" s="187">
        <f ca="1">IF(OR(C75&lt;0,C75=""),"",-E75*INDEX('Replacement Costs'!$A$16:$H$57,MATCH(C75,'Replacement Costs'!$C$16:$C$57,0),MATCH("Total Yearly Replacement Costs",'Replacement Costs'!$A$16:$H$16,0)))</f>
        <v>-1729843.8191959278</v>
      </c>
      <c r="J75" s="187">
        <f ca="1">IF(AND(C75&gt;=1,C75&lt;anal_period),WorkingCap*SUM(N75:R75)-WorkingCap*SUM(N74:R74),IF(C75&lt;0,0,IF(B75="","",-SUM(J$65:J74))))</f>
        <v>-477567.11307674646</v>
      </c>
      <c r="K75" s="187" t="str">
        <f t="shared" si="4"/>
        <v/>
      </c>
      <c r="L75" s="187" t="str">
        <f t="shared" si="5"/>
        <v/>
      </c>
      <c r="M75" s="187" t="str">
        <f t="shared" si="6"/>
        <v/>
      </c>
      <c r="N75" s="187">
        <f t="shared" ca="1" si="7"/>
        <v>-21151162.441990823</v>
      </c>
      <c r="O75" s="187">
        <f t="shared" ca="1" si="8"/>
        <v>-118292062.84722452</v>
      </c>
      <c r="P75" s="187">
        <f t="shared" ca="1" si="9"/>
        <v>-12751148.946596267</v>
      </c>
      <c r="Q75" s="187">
        <f t="shared" ca="1" si="10"/>
        <v>0</v>
      </c>
      <c r="R75" s="187">
        <f t="shared" ca="1" si="11"/>
        <v>-16411515.971367819</v>
      </c>
      <c r="S75" s="187">
        <f ca="1">IF(B75="","",IF($B$31=0,"",-'Debt Financing Calculations'!E24))</f>
        <v>-6362796.3637190564</v>
      </c>
      <c r="T75" s="187">
        <f t="shared" ca="1" si="12"/>
        <v>27008750.374916285</v>
      </c>
      <c r="U75" s="187">
        <f ca="1">IF(C75="","",IF(C75&lt;-1,0,IF(C75=anal_period,-LOOKUP(C75,depr_yr,depr_cost)-Depreciation!$C$141-Depreciation!$B$166,-LOOKUP(C75,depr_yr,depr_cost))))</f>
        <v>-13801956.329812299</v>
      </c>
      <c r="V75" s="187">
        <f t="shared" ca="1" si="13"/>
        <v>13206794.045103986</v>
      </c>
      <c r="W75" s="188">
        <f t="shared" si="14"/>
        <v>0.25739999999999996</v>
      </c>
      <c r="X75" s="187">
        <f t="shared" ca="1" si="15"/>
        <v>-3399428.7872097655</v>
      </c>
      <c r="Y75" s="187">
        <f t="shared" ca="1" si="16"/>
        <v>23609321.587706521</v>
      </c>
      <c r="Z75" s="187">
        <f>IF(C75="","",IF($B$31=0,"",-'Debt Financing Calculations'!F24))</f>
        <v>0</v>
      </c>
      <c r="AA75" s="187">
        <f t="shared" ca="1" si="17"/>
        <v>21401910.655433849</v>
      </c>
      <c r="AB75" s="187">
        <f t="shared" ca="1" si="23"/>
        <v>-33077238.549221113</v>
      </c>
      <c r="AC75" s="1156">
        <f t="shared" ca="1" si="18"/>
        <v>24801339.442643613</v>
      </c>
      <c r="AD75" s="134"/>
      <c r="AE75" s="1160">
        <f t="shared" ca="1" si="19"/>
        <v>50838024.193548374</v>
      </c>
      <c r="AF75" s="1156">
        <f t="shared" si="20"/>
        <v>0</v>
      </c>
    </row>
    <row r="76" spans="1:32" x14ac:dyDescent="0.25">
      <c r="A76" s="58">
        <f t="shared" si="21"/>
        <v>2048</v>
      </c>
      <c r="B76" s="185">
        <f>IF(MAX($B$65:B75)&lt;(construct+anal_period),B75+1,"")</f>
        <v>12</v>
      </c>
      <c r="C76" s="185">
        <f t="shared" si="22"/>
        <v>9</v>
      </c>
      <c r="D76" s="185">
        <f t="shared" si="1"/>
        <v>9</v>
      </c>
      <c r="E76" s="186">
        <f t="shared" si="2"/>
        <v>1.1625013664559962</v>
      </c>
      <c r="F76" s="59">
        <f t="shared" ca="1" si="3"/>
        <v>205815008.24778518</v>
      </c>
      <c r="G76" s="1169"/>
      <c r="H76" s="1178">
        <f t="shared" si="24"/>
        <v>0</v>
      </c>
      <c r="I76" s="187">
        <f ca="1">IF(OR(C76&lt;0,C76=""),"",-E76*INDEX('Replacement Costs'!$A$16:$H$57,MATCH(C76,'Replacement Costs'!$C$16:$C$57,0),MATCH("Total Yearly Replacement Costs",'Replacement Costs'!$A$16:$H$16,0)))</f>
        <v>-1762710.8517606503</v>
      </c>
      <c r="J76" s="187">
        <f ca="1">IF(AND(C76&gt;=1,C76&lt;anal_period),WorkingCap*SUM(N76:R76)-WorkingCap*SUM(N75:R75),IF(C76&lt;0,0,IF(B76="","",-SUM(J$65:J75))))</f>
        <v>-489042.36372667924</v>
      </c>
      <c r="K76" s="187" t="str">
        <f t="shared" si="4"/>
        <v/>
      </c>
      <c r="L76" s="187" t="str">
        <f t="shared" si="5"/>
        <v/>
      </c>
      <c r="M76" s="187" t="str">
        <f t="shared" si="6"/>
        <v/>
      </c>
      <c r="N76" s="187">
        <f t="shared" ca="1" si="7"/>
        <v>-21553034.528388645</v>
      </c>
      <c r="O76" s="187">
        <f t="shared" ca="1" si="8"/>
        <v>-120539612.04132177</v>
      </c>
      <c r="P76" s="187">
        <f t="shared" ca="1" si="9"/>
        <v>-12993420.776581595</v>
      </c>
      <c r="Q76" s="187">
        <f t="shared" ca="1" si="10"/>
        <v>0</v>
      </c>
      <c r="R76" s="187">
        <f t="shared" ca="1" si="11"/>
        <v>-16780105.285731949</v>
      </c>
      <c r="S76" s="187">
        <f ca="1">IF(B76="","",IF($B$31=0,"",-'Debt Financing Calculations'!E25))</f>
        <v>-6362796.3637190564</v>
      </c>
      <c r="T76" s="187">
        <f t="shared" ca="1" si="12"/>
        <v>27586039.252042204</v>
      </c>
      <c r="U76" s="187">
        <f ca="1">IF(C76="","",IF(C76&lt;-1,0,IF(C76=anal_period,-LOOKUP(C76,depr_yr,depr_cost)-Depreciation!$C$141-Depreciation!$B$166,-LOOKUP(C76,depr_yr,depr_cost))))</f>
        <v>-13709671.415617496</v>
      </c>
      <c r="V76" s="187">
        <f t="shared" ca="1" si="13"/>
        <v>13876367.836424708</v>
      </c>
      <c r="W76" s="188">
        <f t="shared" si="14"/>
        <v>0.25739999999999996</v>
      </c>
      <c r="X76" s="187">
        <f t="shared" ca="1" si="15"/>
        <v>-3571777.0810957192</v>
      </c>
      <c r="Y76" s="187">
        <f t="shared" ca="1" si="16"/>
        <v>24014262.170946486</v>
      </c>
      <c r="Z76" s="187">
        <f>IF(C76="","",IF($B$31=0,"",-'Debt Financing Calculations'!F25))</f>
        <v>0</v>
      </c>
      <c r="AA76" s="187">
        <f t="shared" ca="1" si="17"/>
        <v>21762508.955459155</v>
      </c>
      <c r="AB76" s="187">
        <f t="shared" ca="1" si="23"/>
        <v>-11314729.593761958</v>
      </c>
      <c r="AC76" s="1156">
        <f t="shared" ca="1" si="18"/>
        <v>25334286.036554873</v>
      </c>
      <c r="AD76" s="134"/>
      <c r="AE76" s="1160">
        <f t="shared" ca="1" si="19"/>
        <v>50838024.193548374</v>
      </c>
      <c r="AF76" s="1156">
        <f t="shared" si="20"/>
        <v>0</v>
      </c>
    </row>
    <row r="77" spans="1:32" x14ac:dyDescent="0.25">
      <c r="A77" s="58">
        <f t="shared" si="21"/>
        <v>2049</v>
      </c>
      <c r="B77" s="185">
        <f>IF(MAX($B$65:B76)&lt;(construct+anal_period),B76+1,"")</f>
        <v>13</v>
      </c>
      <c r="C77" s="185">
        <f t="shared" si="22"/>
        <v>10</v>
      </c>
      <c r="D77" s="185">
        <f t="shared" si="1"/>
        <v>10</v>
      </c>
      <c r="E77" s="186">
        <f t="shared" si="2"/>
        <v>1.1845888924186601</v>
      </c>
      <c r="F77" s="59">
        <f t="shared" ca="1" si="3"/>
        <v>209725493.40449309</v>
      </c>
      <c r="G77" s="1169"/>
      <c r="H77" s="1178">
        <f t="shared" si="24"/>
        <v>0</v>
      </c>
      <c r="I77" s="187">
        <f ca="1">IF(OR(C77&lt;0,C77=""),"",-E77*INDEX('Replacement Costs'!$A$16:$H$57,MATCH(C77,'Replacement Costs'!$C$16:$C$57,0),MATCH("Total Yearly Replacement Costs",'Replacement Costs'!$A$16:$H$16,0)))</f>
        <v>-1796202.3579441025</v>
      </c>
      <c r="J77" s="187">
        <f ca="1">IF(AND(C77&gt;=1,C77&lt;anal_period),WorkingCap*SUM(N77:R77)-WorkingCap*SUM(N76:R76),IF(C77&lt;0,0,IF(B77="","",-SUM(J$65:J76))))</f>
        <v>-495662.38473917916</v>
      </c>
      <c r="K77" s="187" t="str">
        <f t="shared" si="4"/>
        <v/>
      </c>
      <c r="L77" s="187" t="str">
        <f t="shared" si="5"/>
        <v/>
      </c>
      <c r="M77" s="187" t="str">
        <f t="shared" si="6"/>
        <v/>
      </c>
      <c r="N77" s="187">
        <f t="shared" ca="1" si="7"/>
        <v>-21962542.184428029</v>
      </c>
      <c r="O77" s="187">
        <f t="shared" ca="1" si="8"/>
        <v>-122829864.67010687</v>
      </c>
      <c r="P77" s="187">
        <f t="shared" ca="1" si="9"/>
        <v>-13240295.771336643</v>
      </c>
      <c r="Q77" s="187">
        <f t="shared" ca="1" si="10"/>
        <v>0</v>
      </c>
      <c r="R77" s="187">
        <f t="shared" ca="1" si="11"/>
        <v>-17137885.904413577</v>
      </c>
      <c r="S77" s="187">
        <f ca="1">IF(B77="","",IF($B$31=0,"",-'Debt Financing Calculations'!E26))</f>
        <v>-6362796.3637190564</v>
      </c>
      <c r="T77" s="187">
        <f t="shared" ca="1" si="12"/>
        <v>28192108.510488927</v>
      </c>
      <c r="U77" s="187">
        <f ca="1">IF(C77="","",IF(C77&lt;-1,0,IF(C77=anal_period,-LOOKUP(C77,depr_yr,depr_cost)-Depreciation!$C$141-Depreciation!$B$166,-LOOKUP(C77,depr_yr,depr_cost))))</f>
        <v>-13789619.019379474</v>
      </c>
      <c r="V77" s="187">
        <f t="shared" ca="1" si="13"/>
        <v>14402489.491109453</v>
      </c>
      <c r="W77" s="188">
        <f t="shared" si="14"/>
        <v>0.25739999999999996</v>
      </c>
      <c r="X77" s="187">
        <f t="shared" ca="1" si="15"/>
        <v>-3707200.7950115725</v>
      </c>
      <c r="Y77" s="187">
        <f t="shared" ca="1" si="16"/>
        <v>24484907.715477355</v>
      </c>
      <c r="Z77" s="187">
        <f>IF(C77="","",IF($B$31=0,"",-'Debt Financing Calculations'!F26))</f>
        <v>0</v>
      </c>
      <c r="AA77" s="187">
        <f t="shared" ca="1" si="17"/>
        <v>22193042.972794075</v>
      </c>
      <c r="AB77" s="187">
        <f t="shared" ca="1" si="23"/>
        <v>10878313.379032116</v>
      </c>
      <c r="AC77" s="1156">
        <f t="shared" ca="1" si="18"/>
        <v>25900243.767805647</v>
      </c>
      <c r="AD77" s="134"/>
      <c r="AE77" s="1160">
        <f t="shared" ca="1" si="19"/>
        <v>50838024.193548374</v>
      </c>
      <c r="AF77" s="1156">
        <f t="shared" si="20"/>
        <v>0</v>
      </c>
    </row>
    <row r="78" spans="1:32" x14ac:dyDescent="0.25">
      <c r="A78" s="58">
        <f t="shared" si="21"/>
        <v>2050</v>
      </c>
      <c r="B78" s="185">
        <f>IF(MAX($B$65:B77)&lt;(construct+anal_period),B77+1,"")</f>
        <v>14</v>
      </c>
      <c r="C78" s="185">
        <f t="shared" si="22"/>
        <v>11</v>
      </c>
      <c r="D78" s="185">
        <f t="shared" si="1"/>
        <v>11</v>
      </c>
      <c r="E78" s="186">
        <f t="shared" si="2"/>
        <v>1.2070960813746145</v>
      </c>
      <c r="F78" s="59">
        <f t="shared" ca="1" si="3"/>
        <v>213710277.77917844</v>
      </c>
      <c r="G78" s="1169"/>
      <c r="H78" s="1178">
        <f t="shared" si="24"/>
        <v>0</v>
      </c>
      <c r="I78" s="187">
        <f ca="1">IF(OR(C78&lt;0,C78=""),"",-E78*INDEX('Replacement Costs'!$A$16:$H$57,MATCH(C78,'Replacement Costs'!$C$16:$C$57,0),MATCH("Total Yearly Replacement Costs",'Replacement Costs'!$A$16:$H$16,0)))</f>
        <v>-1830330.2027450404</v>
      </c>
      <c r="J78" s="187">
        <f ca="1">IF(AND(C78&gt;=1,C78&lt;anal_period),WorkingCap*SUM(N78:R78)-WorkingCap*SUM(N77:R77),IF(C78&lt;0,0,IF(B78="","",-SUM(J$65:J77))))</f>
        <v>-507406.17020040005</v>
      </c>
      <c r="K78" s="187" t="str">
        <f t="shared" si="4"/>
        <v/>
      </c>
      <c r="L78" s="187" t="str">
        <f t="shared" si="5"/>
        <v/>
      </c>
      <c r="M78" s="187" t="str">
        <f t="shared" si="6"/>
        <v/>
      </c>
      <c r="N78" s="187">
        <f t="shared" ca="1" si="7"/>
        <v>-22379830.48593216</v>
      </c>
      <c r="O78" s="187">
        <f t="shared" ca="1" si="8"/>
        <v>-125163632.0988389</v>
      </c>
      <c r="P78" s="187">
        <f t="shared" ca="1" si="9"/>
        <v>-13491861.39099204</v>
      </c>
      <c r="Q78" s="187">
        <f t="shared" ca="1" si="10"/>
        <v>0</v>
      </c>
      <c r="R78" s="187">
        <f t="shared" ca="1" si="11"/>
        <v>-17517972.355857983</v>
      </c>
      <c r="S78" s="187">
        <f ca="1">IF(B78="","",IF($B$31=0,"",-'Debt Financing Calculations'!E27))</f>
        <v>-6362796.3637190564</v>
      </c>
      <c r="T78" s="187">
        <f t="shared" ca="1" si="12"/>
        <v>28794185.083838284</v>
      </c>
      <c r="U78" s="187">
        <f ca="1">IF(C78="","",IF(C78&lt;-1,0,IF(C78=anal_period,-LOOKUP(C78,depr_yr,depr_cost)-Depreciation!$C$141-Depreciation!$B$166,-LOOKUP(C78,depr_yr,depr_cost))))</f>
        <v>-13876942.297344029</v>
      </c>
      <c r="V78" s="187">
        <f t="shared" ca="1" si="13"/>
        <v>14917242.786494255</v>
      </c>
      <c r="W78" s="188">
        <f t="shared" si="14"/>
        <v>0.25739999999999996</v>
      </c>
      <c r="X78" s="187">
        <f t="shared" ca="1" si="15"/>
        <v>-3839698.2932436205</v>
      </c>
      <c r="Y78" s="187">
        <f t="shared" ca="1" si="16"/>
        <v>24954486.790594663</v>
      </c>
      <c r="Z78" s="187">
        <f>IF(C78="","",IF($B$31=0,"",-'Debt Financing Calculations'!F27))</f>
        <v>0</v>
      </c>
      <c r="AA78" s="187">
        <f t="shared" ca="1" si="17"/>
        <v>22616750.417649224</v>
      </c>
      <c r="AB78" s="187">
        <f t="shared" ca="1" si="23"/>
        <v>33495063.796681341</v>
      </c>
      <c r="AC78" s="1156">
        <f t="shared" ca="1" si="18"/>
        <v>26456448.710892845</v>
      </c>
      <c r="AD78" s="134"/>
      <c r="AE78" s="1160">
        <f t="shared" ca="1" si="19"/>
        <v>50838024.193548374</v>
      </c>
      <c r="AF78" s="1156">
        <f t="shared" si="20"/>
        <v>0</v>
      </c>
    </row>
    <row r="79" spans="1:32" x14ac:dyDescent="0.25">
      <c r="A79" s="58">
        <f t="shared" si="21"/>
        <v>2051</v>
      </c>
      <c r="B79" s="185">
        <f>IF(MAX($B$65:B78)&lt;(construct+anal_period),B78+1,"")</f>
        <v>15</v>
      </c>
      <c r="C79" s="185">
        <f t="shared" si="22"/>
        <v>12</v>
      </c>
      <c r="D79" s="185">
        <f t="shared" si="1"/>
        <v>12</v>
      </c>
      <c r="E79" s="186">
        <f t="shared" si="2"/>
        <v>1.2300309069207322</v>
      </c>
      <c r="F79" s="59">
        <f t="shared" ca="1" si="3"/>
        <v>217770773.05698285</v>
      </c>
      <c r="G79" s="1169"/>
      <c r="H79" s="1178">
        <f t="shared" si="24"/>
        <v>0</v>
      </c>
      <c r="I79" s="187">
        <f ca="1">IF(OR(C79&lt;0,C79=""),"",-E79*INDEX('Replacement Costs'!$A$16:$H$57,MATCH(C79,'Replacement Costs'!$C$16:$C$57,0),MATCH("Total Yearly Replacement Costs",'Replacement Costs'!$A$16:$H$16,0)))</f>
        <v>-1865106.4765971962</v>
      </c>
      <c r="J79" s="187">
        <f ca="1">IF(AND(C79&gt;=1,C79&lt;anal_period),WorkingCap*SUM(N79:R79)-WorkingCap*SUM(N78:R78),IF(C79&lt;0,0,IF(B79="","",-SUM(J$65:J78))))</f>
        <v>-592326.12745730206</v>
      </c>
      <c r="K79" s="187" t="str">
        <f t="shared" si="4"/>
        <v/>
      </c>
      <c r="L79" s="187" t="str">
        <f t="shared" si="5"/>
        <v/>
      </c>
      <c r="M79" s="187" t="str">
        <f t="shared" si="6"/>
        <v/>
      </c>
      <c r="N79" s="187">
        <f t="shared" ca="1" si="7"/>
        <v>-22805047.265164871</v>
      </c>
      <c r="O79" s="187">
        <f t="shared" ca="1" si="8"/>
        <v>-128071594.52805614</v>
      </c>
      <c r="P79" s="187">
        <f t="shared" ca="1" si="9"/>
        <v>-13748206.757420888</v>
      </c>
      <c r="Q79" s="187">
        <f t="shared" ca="1" si="10"/>
        <v>0</v>
      </c>
      <c r="R79" s="187">
        <f t="shared" ca="1" si="11"/>
        <v>-17877288.630694535</v>
      </c>
      <c r="S79" s="187">
        <f ca="1">IF(B79="","",IF($B$31=0,"",-'Debt Financing Calculations'!E28))</f>
        <v>-6362796.3637190564</v>
      </c>
      <c r="T79" s="187">
        <f t="shared" ca="1" si="12"/>
        <v>28905839.511927336</v>
      </c>
      <c r="U79" s="187">
        <f ca="1">IF(C79="","",IF(C79&lt;-1,0,IF(C79=anal_period,-LOOKUP(C79,depr_yr,depr_cost)-Depreciation!$C$141-Depreciation!$B$166,-LOOKUP(C79,depr_yr,depr_cost))))</f>
        <v>-13960068.047858812</v>
      </c>
      <c r="V79" s="187">
        <f t="shared" ca="1" si="13"/>
        <v>14945771.464068525</v>
      </c>
      <c r="W79" s="188">
        <f t="shared" si="14"/>
        <v>0.25739999999999996</v>
      </c>
      <c r="X79" s="187">
        <f t="shared" ca="1" si="15"/>
        <v>-3847041.5748512377</v>
      </c>
      <c r="Y79" s="187">
        <f t="shared" ca="1" si="16"/>
        <v>25058797.937076099</v>
      </c>
      <c r="Z79" s="187">
        <f>IF(C79="","",IF($B$31=0,"",-'Debt Financing Calculations'!F28))</f>
        <v>0</v>
      </c>
      <c r="AA79" s="187">
        <f t="shared" ca="1" si="17"/>
        <v>22601365.3330216</v>
      </c>
      <c r="AB79" s="187">
        <f t="shared" ca="1" si="23"/>
        <v>56096429.129702941</v>
      </c>
      <c r="AC79" s="1156">
        <f t="shared" ca="1" si="18"/>
        <v>26448406.907872837</v>
      </c>
      <c r="AD79" s="134"/>
      <c r="AE79" s="1160">
        <f t="shared" ca="1" si="19"/>
        <v>50838024.193548374</v>
      </c>
      <c r="AF79" s="1156">
        <f t="shared" si="20"/>
        <v>0</v>
      </c>
    </row>
    <row r="80" spans="1:32" x14ac:dyDescent="0.25">
      <c r="A80" s="58">
        <f t="shared" si="21"/>
        <v>2052</v>
      </c>
      <c r="B80" s="185">
        <f>IF(MAX($B$65:B79)&lt;(construct+anal_period),B79+1,"")</f>
        <v>16</v>
      </c>
      <c r="C80" s="185">
        <f t="shared" si="22"/>
        <v>13</v>
      </c>
      <c r="D80" s="185">
        <f t="shared" si="1"/>
        <v>13</v>
      </c>
      <c r="E80" s="186">
        <f t="shared" si="2"/>
        <v>1.253401494152226</v>
      </c>
      <c r="F80" s="59">
        <f t="shared" ca="1" si="3"/>
        <v>221908417.74506548</v>
      </c>
      <c r="G80" s="1169"/>
      <c r="H80" s="1178">
        <f t="shared" si="24"/>
        <v>0</v>
      </c>
      <c r="I80" s="187">
        <f ca="1">IF(OR(C80&lt;0,C80=""),"",-E80*INDEX('Replacement Costs'!$A$16:$H$57,MATCH(C80,'Replacement Costs'!$C$16:$C$57,0),MATCH("Total Yearly Replacement Costs",'Replacement Costs'!$A$16:$H$16,0)))</f>
        <v>-1900543.4996525426</v>
      </c>
      <c r="J80" s="187">
        <f ca="1">IF(AND(C80&gt;=1,C80&lt;anal_period),WorkingCap*SUM(N80:R80)-WorkingCap*SUM(N79:R79),IF(C80&lt;0,0,IF(B80="","",-SUM(J$65:J79))))</f>
        <v>-605520.04244796187</v>
      </c>
      <c r="K80" s="187" t="str">
        <f t="shared" si="4"/>
        <v/>
      </c>
      <c r="L80" s="187" t="str">
        <f t="shared" si="5"/>
        <v/>
      </c>
      <c r="M80" s="187" t="str">
        <f t="shared" si="6"/>
        <v/>
      </c>
      <c r="N80" s="187">
        <f t="shared" ca="1" si="7"/>
        <v>-23238343.163203001</v>
      </c>
      <c r="O80" s="187">
        <f t="shared" ca="1" si="8"/>
        <v>-131047118.47932206</v>
      </c>
      <c r="P80" s="187">
        <f t="shared" ca="1" si="9"/>
        <v>-14009422.685811883</v>
      </c>
      <c r="Q80" s="187">
        <f t="shared" ca="1" si="10"/>
        <v>0</v>
      </c>
      <c r="R80" s="187">
        <f t="shared" ca="1" si="11"/>
        <v>-18244053.135985896</v>
      </c>
      <c r="S80" s="187">
        <f ca="1">IF(B80="","",IF($B$31=0,"",-'Debt Financing Calculations'!E29))</f>
        <v>-6362796.3637190564</v>
      </c>
      <c r="T80" s="187">
        <f t="shared" ca="1" si="12"/>
        <v>29006683.917023569</v>
      </c>
      <c r="U80" s="187">
        <f ca="1">IF(C80="","",IF(C80&lt;-1,0,IF(C80=anal_period,-LOOKUP(C80,depr_yr,depr_cost)-Depreciation!$C$141-Depreciation!$B$166,-LOOKUP(C80,depr_yr,depr_cost))))</f>
        <v>-14050629.857364472</v>
      </c>
      <c r="V80" s="187">
        <f t="shared" ca="1" si="13"/>
        <v>14956054.059659097</v>
      </c>
      <c r="W80" s="188">
        <f t="shared" si="14"/>
        <v>0.25739999999999996</v>
      </c>
      <c r="X80" s="187">
        <f t="shared" ca="1" si="15"/>
        <v>-3849688.3149562511</v>
      </c>
      <c r="Y80" s="187">
        <f t="shared" ca="1" si="16"/>
        <v>25156995.602067318</v>
      </c>
      <c r="Z80" s="187">
        <f>IF(C80="","",IF($B$31=0,"",-'Debt Financing Calculations'!F29))</f>
        <v>0</v>
      </c>
      <c r="AA80" s="187">
        <f t="shared" ca="1" si="17"/>
        <v>22650932.059966814</v>
      </c>
      <c r="AB80" s="187">
        <f t="shared" ca="1" si="23"/>
        <v>78747361.189669758</v>
      </c>
      <c r="AC80" s="1156">
        <f t="shared" ca="1" si="18"/>
        <v>26500620.374923065</v>
      </c>
      <c r="AD80" s="134"/>
      <c r="AE80" s="1160">
        <f t="shared" ca="1" si="19"/>
        <v>50838024.193548374</v>
      </c>
      <c r="AF80" s="1156">
        <f t="shared" si="20"/>
        <v>0</v>
      </c>
    </row>
    <row r="81" spans="1:32" x14ac:dyDescent="0.25">
      <c r="A81" s="58">
        <f t="shared" si="21"/>
        <v>2053</v>
      </c>
      <c r="B81" s="185">
        <f>IF(MAX($B$65:B80)&lt;(construct+anal_period),B80+1,"")</f>
        <v>17</v>
      </c>
      <c r="C81" s="185">
        <f t="shared" si="22"/>
        <v>14</v>
      </c>
      <c r="D81" s="185">
        <f t="shared" si="1"/>
        <v>14</v>
      </c>
      <c r="E81" s="186">
        <f t="shared" si="2"/>
        <v>1.277216122541118</v>
      </c>
      <c r="F81" s="59">
        <f t="shared" ca="1" si="3"/>
        <v>226124677.68222168</v>
      </c>
      <c r="G81" s="1169"/>
      <c r="H81" s="1178">
        <f t="shared" si="24"/>
        <v>0</v>
      </c>
      <c r="I81" s="187">
        <f ca="1">IF(OR(C81&lt;0,C81=""),"",-E81*INDEX('Replacement Costs'!$A$16:$H$57,MATCH(C81,'Replacement Costs'!$C$16:$C$57,0),MATCH("Total Yearly Replacement Costs",'Replacement Costs'!$A$16:$H$16,0)))</f>
        <v>-1936653.8261459407</v>
      </c>
      <c r="J81" s="187">
        <f ca="1">IF(AND(C81&gt;=1,C81&lt;anal_period),WorkingCap*SUM(N81:R81)-WorkingCap*SUM(N80:R80),IF(C81&lt;0,0,IF(B81="","",-SUM(J$65:J80))))</f>
        <v>-619009.74629272521</v>
      </c>
      <c r="K81" s="187" t="str">
        <f t="shared" si="4"/>
        <v/>
      </c>
      <c r="L81" s="187" t="str">
        <f t="shared" si="5"/>
        <v/>
      </c>
      <c r="M81" s="187" t="str">
        <f t="shared" si="6"/>
        <v/>
      </c>
      <c r="N81" s="187">
        <f t="shared" ca="1" si="7"/>
        <v>-23679871.683303855</v>
      </c>
      <c r="O81" s="187">
        <f t="shared" ca="1" si="8"/>
        <v>-134091773.62878363</v>
      </c>
      <c r="P81" s="187">
        <f t="shared" ca="1" si="9"/>
        <v>-14275601.716842307</v>
      </c>
      <c r="Q81" s="187">
        <f t="shared" ca="1" si="10"/>
        <v>0</v>
      </c>
      <c r="R81" s="187">
        <f t="shared" ca="1" si="11"/>
        <v>-18618422.077344581</v>
      </c>
      <c r="S81" s="187">
        <f ca="1">IF(B81="","",IF($B$31=0,"",-'Debt Financing Calculations'!E30))</f>
        <v>-6362796.3637190564</v>
      </c>
      <c r="T81" s="187">
        <f t="shared" ca="1" si="12"/>
        <v>29096212.212228268</v>
      </c>
      <c r="U81" s="187">
        <f ca="1">IF(C81="","",IF(C81&lt;-1,0,IF(C81=anal_period,-LOOKUP(C81,depr_yr,depr_cost)-Depreciation!$C$141-Depreciation!$B$166,-LOOKUP(C81,depr_yr,depr_cost))))</f>
        <v>-14137055.671519641</v>
      </c>
      <c r="V81" s="187">
        <f t="shared" ca="1" si="13"/>
        <v>14959156.540708628</v>
      </c>
      <c r="W81" s="188">
        <f t="shared" si="14"/>
        <v>0.25739999999999996</v>
      </c>
      <c r="X81" s="187">
        <f t="shared" ca="1" si="15"/>
        <v>-3850486.8935784004</v>
      </c>
      <c r="Y81" s="187">
        <f t="shared" ca="1" si="16"/>
        <v>25245725.318649869</v>
      </c>
      <c r="Z81" s="187">
        <f>IF(C81="","",IF($B$31=0,"",-'Debt Financing Calculations'!F30))</f>
        <v>0</v>
      </c>
      <c r="AA81" s="187">
        <f t="shared" ca="1" si="17"/>
        <v>22690061.746211205</v>
      </c>
      <c r="AB81" s="187">
        <f t="shared" ca="1" si="23"/>
        <v>101437422.93588096</v>
      </c>
      <c r="AC81" s="1156">
        <f t="shared" ca="1" si="18"/>
        <v>26540548.639789604</v>
      </c>
      <c r="AD81" s="134"/>
      <c r="AE81" s="1160">
        <f t="shared" ca="1" si="19"/>
        <v>50838024.193548374</v>
      </c>
      <c r="AF81" s="1156">
        <f t="shared" si="20"/>
        <v>0</v>
      </c>
    </row>
    <row r="82" spans="1:32" x14ac:dyDescent="0.25">
      <c r="A82" s="58">
        <f t="shared" si="21"/>
        <v>2054</v>
      </c>
      <c r="B82" s="185">
        <f>IF(MAX($B$65:B81)&lt;(construct+anal_period),B81+1,"")</f>
        <v>18</v>
      </c>
      <c r="C82" s="185">
        <f t="shared" si="22"/>
        <v>15</v>
      </c>
      <c r="D82" s="185">
        <f t="shared" si="1"/>
        <v>15</v>
      </c>
      <c r="E82" s="186">
        <f t="shared" si="2"/>
        <v>1.3014832288693996</v>
      </c>
      <c r="F82" s="59">
        <f t="shared" ca="1" si="3"/>
        <v>230421046.55818397</v>
      </c>
      <c r="G82" s="1169"/>
      <c r="H82" s="1178">
        <f t="shared" si="24"/>
        <v>0</v>
      </c>
      <c r="I82" s="187">
        <f ca="1">IF(OR(C82&lt;0,C82=""),"",-E82*INDEX('Replacement Costs'!$A$16:$H$57,MATCH(C82,'Replacement Costs'!$C$16:$C$57,0),MATCH("Total Yearly Replacement Costs",'Replacement Costs'!$A$16:$H$16,0)))</f>
        <v>-1973450.2488427139</v>
      </c>
      <c r="J82" s="187">
        <f ca="1">IF(AND(C82&gt;=1,C82&lt;anal_period),WorkingCap*SUM(N82:R82)-WorkingCap*SUM(N81:R81),IF(C82&lt;0,0,IF(B82="","",-SUM(J$65:J81))))</f>
        <v>-632801.90816713125</v>
      </c>
      <c r="K82" s="187" t="str">
        <f t="shared" si="4"/>
        <v/>
      </c>
      <c r="L82" s="187" t="str">
        <f t="shared" si="5"/>
        <v/>
      </c>
      <c r="M82" s="187" t="str">
        <f t="shared" si="6"/>
        <v/>
      </c>
      <c r="N82" s="187">
        <f t="shared" ca="1" si="7"/>
        <v>-24129789.245286632</v>
      </c>
      <c r="O82" s="187">
        <f t="shared" ca="1" si="8"/>
        <v>-137207166.12132242</v>
      </c>
      <c r="P82" s="187">
        <f t="shared" ca="1" si="9"/>
        <v>-14546838.149462312</v>
      </c>
      <c r="Q82" s="187">
        <f t="shared" ca="1" si="10"/>
        <v>0</v>
      </c>
      <c r="R82" s="187">
        <f t="shared" ca="1" si="11"/>
        <v>-19000554.977983866</v>
      </c>
      <c r="S82" s="187">
        <f ca="1">IF(B82="","",IF($B$31=0,"",-'Debt Financing Calculations'!E31))</f>
        <v>-6362796.3637190564</v>
      </c>
      <c r="T82" s="187">
        <f t="shared" ca="1" si="12"/>
        <v>29173901.700409681</v>
      </c>
      <c r="U82" s="187">
        <f ca="1">IF(C82="","",IF(C82&lt;-1,0,IF(C82=anal_period,-LOOKUP(C82,depr_yr,depr_cost)-Depreciation!$C$141-Depreciation!$B$166,-LOOKUP(C82,depr_yr,depr_cost))))</f>
        <v>-14230980.245874861</v>
      </c>
      <c r="V82" s="187">
        <f t="shared" ca="1" si="13"/>
        <v>14942921.454534819</v>
      </c>
      <c r="W82" s="188">
        <f t="shared" si="14"/>
        <v>0.25739999999999996</v>
      </c>
      <c r="X82" s="187">
        <f t="shared" ca="1" si="15"/>
        <v>-3846307.982397262</v>
      </c>
      <c r="Y82" s="187">
        <f t="shared" ca="1" si="16"/>
        <v>25327593.718012419</v>
      </c>
      <c r="Z82" s="187">
        <f>IF(C82="","",IF($B$31=0,"",-'Debt Financing Calculations'!F31))</f>
        <v>0</v>
      </c>
      <c r="AA82" s="187">
        <f t="shared" ca="1" si="17"/>
        <v>22721341.561002575</v>
      </c>
      <c r="AB82" s="187">
        <f t="shared" ca="1" si="23"/>
        <v>124158764.49688354</v>
      </c>
      <c r="AC82" s="1156">
        <f t="shared" ca="1" si="18"/>
        <v>26567649.543399837</v>
      </c>
      <c r="AD82" s="134"/>
      <c r="AE82" s="1160">
        <f t="shared" ca="1" si="19"/>
        <v>50838024.193548374</v>
      </c>
      <c r="AF82" s="1156">
        <f t="shared" si="20"/>
        <v>0</v>
      </c>
    </row>
    <row r="83" spans="1:32" x14ac:dyDescent="0.25">
      <c r="A83" s="58">
        <f t="shared" si="21"/>
        <v>2055</v>
      </c>
      <c r="B83" s="185">
        <f>IF(MAX($B$65:B82)&lt;(construct+anal_period),B82+1,"")</f>
        <v>19</v>
      </c>
      <c r="C83" s="185">
        <f t="shared" si="22"/>
        <v>16</v>
      </c>
      <c r="D83" s="185">
        <f t="shared" si="1"/>
        <v>16</v>
      </c>
      <c r="E83" s="186">
        <f t="shared" si="2"/>
        <v>1.3262114102179181</v>
      </c>
      <c r="F83" s="59">
        <f t="shared" ca="1" si="3"/>
        <v>234799046.44278944</v>
      </c>
      <c r="G83" s="1169"/>
      <c r="H83" s="1178">
        <f t="shared" si="24"/>
        <v>0</v>
      </c>
      <c r="I83" s="187">
        <f ca="1">IF(OR(C83&lt;0,C83=""),"",-E83*INDEX('Replacement Costs'!$A$16:$H$57,MATCH(C83,'Replacement Costs'!$C$16:$C$57,0),MATCH("Total Yearly Replacement Costs",'Replacement Costs'!$A$16:$H$16,0)))</f>
        <v>-2010945.8035707253</v>
      </c>
      <c r="J83" s="187">
        <f ca="1">IF(AND(C83&gt;=1,C83&lt;anal_period),WorkingCap*SUM(N83:R83)-WorkingCap*SUM(N82:R82),IF(C83&lt;0,0,IF(B83="","",-SUM(J$65:J82))))</f>
        <v>-646903.34837440401</v>
      </c>
      <c r="K83" s="187" t="str">
        <f t="shared" si="4"/>
        <v/>
      </c>
      <c r="L83" s="187" t="str">
        <f t="shared" si="5"/>
        <v/>
      </c>
      <c r="M83" s="187" t="str">
        <f t="shared" si="6"/>
        <v/>
      </c>
      <c r="N83" s="187">
        <f t="shared" ca="1" si="7"/>
        <v>-24588255.240947079</v>
      </c>
      <c r="O83" s="187">
        <f t="shared" ca="1" si="8"/>
        <v>-140394939.41784275</v>
      </c>
      <c r="P83" s="187">
        <f t="shared" ca="1" si="9"/>
        <v>-14823228.074302096</v>
      </c>
      <c r="Q83" s="187">
        <f t="shared" ca="1" si="10"/>
        <v>0</v>
      </c>
      <c r="R83" s="187">
        <f t="shared" ca="1" si="11"/>
        <v>-19390614.750126045</v>
      </c>
      <c r="S83" s="187">
        <f ca="1">IF(B83="","",IF($B$31=0,"",-'Debt Financing Calculations'!E32))</f>
        <v>-6362796.3637190564</v>
      </c>
      <c r="T83" s="187">
        <f t="shared" ca="1" si="12"/>
        <v>29239212.595852435</v>
      </c>
      <c r="U83" s="187">
        <f ca="1">IF(C83="","",IF(C83&lt;-1,0,IF(C83=anal_period,-LOOKUP(C83,depr_yr,depr_cost)-Depreciation!$C$141-Depreciation!$B$166,-LOOKUP(C83,depr_yr,depr_cost))))</f>
        <v>-14320832.71741173</v>
      </c>
      <c r="V83" s="187">
        <f t="shared" ca="1" si="13"/>
        <v>14918379.878440704</v>
      </c>
      <c r="W83" s="188">
        <f t="shared" si="14"/>
        <v>0.25739999999999996</v>
      </c>
      <c r="X83" s="187">
        <f t="shared" ca="1" si="15"/>
        <v>-3839990.9807106368</v>
      </c>
      <c r="Y83" s="187">
        <f t="shared" ca="1" si="16"/>
        <v>25399221.615141798</v>
      </c>
      <c r="Z83" s="187">
        <f>IF(C83="","",IF($B$31=0,"",-'Debt Financing Calculations'!F32))</f>
        <v>0</v>
      </c>
      <c r="AA83" s="187">
        <f t="shared" ca="1" si="17"/>
        <v>22741372.463196669</v>
      </c>
      <c r="AB83" s="187">
        <f t="shared" ca="1" si="23"/>
        <v>146900136.96008021</v>
      </c>
      <c r="AC83" s="1156">
        <f t="shared" ca="1" si="18"/>
        <v>26581363.443907306</v>
      </c>
      <c r="AD83" s="134"/>
      <c r="AE83" s="1160">
        <f t="shared" ca="1" si="19"/>
        <v>50838024.193548374</v>
      </c>
      <c r="AF83" s="1156">
        <f t="shared" si="20"/>
        <v>0</v>
      </c>
    </row>
    <row r="84" spans="1:32" x14ac:dyDescent="0.25">
      <c r="A84" s="58">
        <f t="shared" si="21"/>
        <v>2056</v>
      </c>
      <c r="B84" s="185">
        <f>IF(MAX($B$65:B83)&lt;(construct+anal_period),B83+1,"")</f>
        <v>20</v>
      </c>
      <c r="C84" s="185">
        <f t="shared" si="22"/>
        <v>17</v>
      </c>
      <c r="D84" s="185">
        <f t="shared" si="1"/>
        <v>17</v>
      </c>
      <c r="E84" s="186">
        <f t="shared" si="2"/>
        <v>1.3514094270120585</v>
      </c>
      <c r="F84" s="59">
        <f t="shared" ca="1" si="3"/>
        <v>239260228.32520244</v>
      </c>
      <c r="G84" s="1169"/>
      <c r="H84" s="1178">
        <f t="shared" si="24"/>
        <v>0</v>
      </c>
      <c r="I84" s="187">
        <f ca="1">IF(OR(C84&lt;0,C84=""),"",-E84*INDEX('Replacement Costs'!$A$16:$H$57,MATCH(C84,'Replacement Costs'!$C$16:$C$57,0),MATCH("Total Yearly Replacement Costs",'Replacement Costs'!$A$16:$H$16,0)))</f>
        <v>-2049153.7738385689</v>
      </c>
      <c r="J84" s="187">
        <f ca="1">IF(AND(C84&gt;=1,C84&lt;anal_period),WorkingCap*SUM(N84:R84)-WorkingCap*SUM(N83:R83),IF(C84&lt;0,0,IF(B84="","",-SUM(J$65:J83))))</f>
        <v>-649639.99701388925</v>
      </c>
      <c r="K84" s="187" t="str">
        <f t="shared" si="4"/>
        <v/>
      </c>
      <c r="L84" s="187" t="str">
        <f t="shared" si="5"/>
        <v/>
      </c>
      <c r="M84" s="187" t="str">
        <f t="shared" si="6"/>
        <v/>
      </c>
      <c r="N84" s="187">
        <f t="shared" ca="1" si="7"/>
        <v>-25055432.090525072</v>
      </c>
      <c r="O84" s="187">
        <f t="shared" ca="1" si="8"/>
        <v>-143578948.32364684</v>
      </c>
      <c r="P84" s="187">
        <f t="shared" ca="1" si="9"/>
        <v>-15104869.407713836</v>
      </c>
      <c r="Q84" s="187">
        <f t="shared" ca="1" si="10"/>
        <v>0</v>
      </c>
      <c r="R84" s="187">
        <f t="shared" ca="1" si="11"/>
        <v>-19788720.974758152</v>
      </c>
      <c r="S84" s="187">
        <f ca="1">IF(B84="","",IF($B$31=0,"",-'Debt Financing Calculations'!E33))</f>
        <v>-6362796.3637190564</v>
      </c>
      <c r="T84" s="187">
        <f t="shared" ca="1" si="12"/>
        <v>29369461.164839506</v>
      </c>
      <c r="U84" s="187">
        <f ca="1">IF(C84="","",IF(C84&lt;-1,0,IF(C84=anal_period,-LOOKUP(C84,depr_yr,depr_cost)-Depreciation!$C$141-Depreciation!$B$166,-LOOKUP(C84,depr_yr,depr_cost))))</f>
        <v>-14418249.055638898</v>
      </c>
      <c r="V84" s="187">
        <f t="shared" ca="1" si="13"/>
        <v>14951212.109200608</v>
      </c>
      <c r="W84" s="188">
        <f t="shared" si="14"/>
        <v>0.25739999999999996</v>
      </c>
      <c r="X84" s="187">
        <f t="shared" ca="1" si="15"/>
        <v>-3848441.9969082358</v>
      </c>
      <c r="Y84" s="187">
        <f t="shared" ca="1" si="16"/>
        <v>25521019.16793127</v>
      </c>
      <c r="Z84" s="187">
        <f>IF(C84="","",IF($B$31=0,"",-'Debt Financing Calculations'!F33))</f>
        <v>0</v>
      </c>
      <c r="AA84" s="187">
        <f t="shared" ca="1" si="17"/>
        <v>22822225.397078812</v>
      </c>
      <c r="AB84" s="187">
        <f t="shared" ca="1" si="23"/>
        <v>169722362.35715902</v>
      </c>
      <c r="AC84" s="1156">
        <f t="shared" ca="1" si="18"/>
        <v>26670667.393987048</v>
      </c>
      <c r="AD84" s="134"/>
      <c r="AE84" s="1160">
        <f t="shared" ca="1" si="19"/>
        <v>50838024.193548374</v>
      </c>
      <c r="AF84" s="1156">
        <f t="shared" si="20"/>
        <v>0</v>
      </c>
    </row>
    <row r="85" spans="1:32" x14ac:dyDescent="0.25">
      <c r="A85" s="58">
        <f t="shared" si="21"/>
        <v>2057</v>
      </c>
      <c r="B85" s="185">
        <f>IF(MAX($B$65:B84)&lt;(construct+anal_period),B84+1,"")</f>
        <v>21</v>
      </c>
      <c r="C85" s="185">
        <f t="shared" si="22"/>
        <v>18</v>
      </c>
      <c r="D85" s="185">
        <f t="shared" si="1"/>
        <v>18</v>
      </c>
      <c r="E85" s="186">
        <f t="shared" si="2"/>
        <v>1.3770862061252875</v>
      </c>
      <c r="F85" s="59">
        <f t="shared" ca="1" si="3"/>
        <v>243806172.66338125</v>
      </c>
      <c r="G85" s="1169"/>
      <c r="H85" s="1178">
        <f t="shared" si="24"/>
        <v>0</v>
      </c>
      <c r="I85" s="187">
        <f ca="1">IF(OR(C85&lt;0,C85=""),"",-E85*INDEX('Replacement Costs'!$A$16:$H$57,MATCH(C85,'Replacement Costs'!$C$16:$C$57,0),MATCH("Total Yearly Replacement Costs",'Replacement Costs'!$A$16:$H$16,0)))</f>
        <v>-2088087.6955415017</v>
      </c>
      <c r="J85" s="187">
        <f ca="1">IF(AND(C85&gt;=1,C85&lt;anal_period),WorkingCap*SUM(N85:R85)-WorkingCap*SUM(N84:R84),IF(C85&lt;0,0,IF(B85="","",-SUM(J$65:J84))))</f>
        <v>-663843.7525552772</v>
      </c>
      <c r="K85" s="187" t="str">
        <f t="shared" si="4"/>
        <v/>
      </c>
      <c r="L85" s="187" t="str">
        <f t="shared" si="5"/>
        <v/>
      </c>
      <c r="M85" s="187" t="str">
        <f t="shared" si="6"/>
        <v/>
      </c>
      <c r="N85" s="187">
        <f t="shared" ca="1" si="7"/>
        <v>-25531485.300245047</v>
      </c>
      <c r="O85" s="187">
        <f t="shared" ca="1" si="8"/>
        <v>-146835167.18768927</v>
      </c>
      <c r="P85" s="187">
        <f t="shared" ca="1" si="9"/>
        <v>-15391861.926460398</v>
      </c>
      <c r="Q85" s="187">
        <f t="shared" ca="1" si="10"/>
        <v>0</v>
      </c>
      <c r="R85" s="187">
        <f t="shared" ca="1" si="11"/>
        <v>-20195081.399284355</v>
      </c>
      <c r="S85" s="187">
        <f ca="1">IF(B85="","",IF($B$31=0,"",-'Debt Financing Calculations'!E34))</f>
        <v>-6362796.3637190564</v>
      </c>
      <c r="T85" s="187">
        <f t="shared" ca="1" si="12"/>
        <v>29489780.485983133</v>
      </c>
      <c r="U85" s="187">
        <f ca="1">IF(C85="","",IF(C85&lt;-1,0,IF(C85=anal_period,-LOOKUP(C85,depr_yr,depr_cost)-Depreciation!$C$141-Depreciation!$B$166,-LOOKUP(C85,depr_yr,depr_cost))))</f>
        <v>-14511659.63456128</v>
      </c>
      <c r="V85" s="187">
        <f t="shared" ca="1" si="13"/>
        <v>14978120.851421854</v>
      </c>
      <c r="W85" s="188">
        <f t="shared" si="14"/>
        <v>0.25739999999999996</v>
      </c>
      <c r="X85" s="187">
        <f t="shared" ca="1" si="15"/>
        <v>-3855368.3071559845</v>
      </c>
      <c r="Y85" s="187">
        <f t="shared" ca="1" si="16"/>
        <v>25634412.178827148</v>
      </c>
      <c r="Z85" s="187">
        <f>IF(C85="","",IF($B$31=0,"",-'Debt Financing Calculations'!F34))</f>
        <v>0</v>
      </c>
      <c r="AA85" s="187">
        <f t="shared" ca="1" si="17"/>
        <v>22882480.73073037</v>
      </c>
      <c r="AB85" s="187">
        <f t="shared" ca="1" si="23"/>
        <v>192604843.08788937</v>
      </c>
      <c r="AC85" s="1156">
        <f t="shared" ca="1" si="18"/>
        <v>26737849.037886355</v>
      </c>
      <c r="AD85" s="134"/>
      <c r="AE85" s="1160">
        <f t="shared" ca="1" si="19"/>
        <v>50838024.193548374</v>
      </c>
      <c r="AF85" s="1156">
        <f t="shared" si="20"/>
        <v>0</v>
      </c>
    </row>
    <row r="86" spans="1:32" x14ac:dyDescent="0.25">
      <c r="A86" s="58">
        <f t="shared" si="21"/>
        <v>2058</v>
      </c>
      <c r="B86" s="185">
        <f>IF(MAX($B$65:B85)&lt;(construct+anal_period),B85+1,"")</f>
        <v>22</v>
      </c>
      <c r="C86" s="185">
        <f t="shared" si="22"/>
        <v>19</v>
      </c>
      <c r="D86" s="185">
        <f t="shared" si="1"/>
        <v>19</v>
      </c>
      <c r="E86" s="186">
        <f t="shared" si="2"/>
        <v>1.4032508440416678</v>
      </c>
      <c r="F86" s="59">
        <f t="shared" ca="1" si="3"/>
        <v>248438489.94398546</v>
      </c>
      <c r="G86" s="1169"/>
      <c r="H86" s="1178">
        <f t="shared" si="24"/>
        <v>0</v>
      </c>
      <c r="I86" s="187">
        <f ca="1">IF(OR(C86&lt;0,C86=""),"",-E86*INDEX('Replacement Costs'!$A$16:$H$57,MATCH(C86,'Replacement Costs'!$C$16:$C$57,0),MATCH("Total Yearly Replacement Costs",'Replacement Costs'!$A$16:$H$16,0)))</f>
        <v>-2127761.36175679</v>
      </c>
      <c r="J86" s="187">
        <f ca="1">IF(AND(C86&gt;=1,C86&lt;anal_period),WorkingCap*SUM(N86:R86)-WorkingCap*SUM(N85:R85),IF(C86&lt;0,0,IF(B86="","",-SUM(J$65:J85))))</f>
        <v>-678359.65253287181</v>
      </c>
      <c r="K86" s="187" t="str">
        <f t="shared" si="4"/>
        <v/>
      </c>
      <c r="L86" s="187" t="str">
        <f t="shared" si="5"/>
        <v/>
      </c>
      <c r="M86" s="187" t="str">
        <f t="shared" si="6"/>
        <v/>
      </c>
      <c r="N86" s="187">
        <f t="shared" ca="1" si="7"/>
        <v>-26016583.520949699</v>
      </c>
      <c r="O86" s="187">
        <f t="shared" ca="1" si="8"/>
        <v>-150165233.65553674</v>
      </c>
      <c r="P86" s="187">
        <f t="shared" ca="1" si="9"/>
        <v>-15684307.303063143</v>
      </c>
      <c r="Q86" s="187">
        <f t="shared" ca="1" si="10"/>
        <v>0</v>
      </c>
      <c r="R86" s="187">
        <f t="shared" ca="1" si="11"/>
        <v>-20609869.017681971</v>
      </c>
      <c r="S86" s="187">
        <f ca="1">IF(B86="","",IF($B$31=0,"",-'Debt Financing Calculations'!E35))</f>
        <v>-6362796.3637190564</v>
      </c>
      <c r="T86" s="187">
        <f t="shared" ca="1" si="12"/>
        <v>29599700.083034873</v>
      </c>
      <c r="U86" s="187">
        <f ca="1">IF(C86="","",IF(C86&lt;-1,0,IF(C86=anal_period,-LOOKUP(C86,depr_yr,depr_cost)-Depreciation!$C$141-Depreciation!$B$166,-LOOKUP(C86,depr_yr,depr_cost))))</f>
        <v>-14612701.684214287</v>
      </c>
      <c r="V86" s="187">
        <f t="shared" ca="1" si="13"/>
        <v>14986998.398820587</v>
      </c>
      <c r="W86" s="188">
        <f t="shared" si="14"/>
        <v>0.25739999999999996</v>
      </c>
      <c r="X86" s="187">
        <f t="shared" ca="1" si="15"/>
        <v>-3857653.3878564183</v>
      </c>
      <c r="Y86" s="187">
        <f t="shared" ca="1" si="16"/>
        <v>25742046.695178457</v>
      </c>
      <c r="Z86" s="187">
        <f>IF(C86="","",IF($B$31=0,"",-'Debt Financing Calculations'!F35))</f>
        <v>0</v>
      </c>
      <c r="AA86" s="187">
        <f t="shared" ca="1" si="17"/>
        <v>22935925.680888794</v>
      </c>
      <c r="AB86" s="187">
        <f t="shared" ca="1" si="23"/>
        <v>215540768.76877818</v>
      </c>
      <c r="AC86" s="1156">
        <f t="shared" ca="1" si="18"/>
        <v>26793579.068745211</v>
      </c>
      <c r="AD86" s="134"/>
      <c r="AE86" s="1160">
        <f t="shared" ca="1" si="19"/>
        <v>50838024.193548374</v>
      </c>
      <c r="AF86" s="1156">
        <f t="shared" si="20"/>
        <v>0</v>
      </c>
    </row>
    <row r="87" spans="1:32" x14ac:dyDescent="0.25">
      <c r="A87" s="58">
        <f t="shared" si="21"/>
        <v>2059</v>
      </c>
      <c r="B87" s="185">
        <f>IF(MAX($B$65:B86)&lt;(construct+anal_period),B86+1,"")</f>
        <v>23</v>
      </c>
      <c r="C87" s="185">
        <f t="shared" si="22"/>
        <v>20</v>
      </c>
      <c r="D87" s="185">
        <f t="shared" si="1"/>
        <v>20</v>
      </c>
      <c r="E87" s="186">
        <f t="shared" si="2"/>
        <v>1.4299126100784596</v>
      </c>
      <c r="F87" s="59">
        <f t="shared" ca="1" si="3"/>
        <v>253158821.25292122</v>
      </c>
      <c r="G87" s="1169"/>
      <c r="H87" s="1178">
        <f t="shared" si="24"/>
        <v>0</v>
      </c>
      <c r="I87" s="187">
        <f ca="1">IF(OR(C87&lt;0,C87=""),"",-E87*INDEX('Replacement Costs'!$A$16:$H$57,MATCH(C87,'Replacement Costs'!$C$16:$C$57,0),MATCH("Total Yearly Replacement Costs",'Replacement Costs'!$A$16:$H$16,0)))</f>
        <v>-2168188.8276301692</v>
      </c>
      <c r="J87" s="187">
        <f ca="1">IF(AND(C87&gt;=1,C87&lt;anal_period),WorkingCap*SUM(N87:R87)-WorkingCap*SUM(N86:R86),IF(C87&lt;0,0,IF(B87="","",-SUM(J$65:J86))))</f>
        <v>-693194.58856694773</v>
      </c>
      <c r="K87" s="187" t="str">
        <f t="shared" si="4"/>
        <v/>
      </c>
      <c r="L87" s="187" t="str">
        <f t="shared" si="5"/>
        <v/>
      </c>
      <c r="M87" s="187" t="str">
        <f t="shared" si="6"/>
        <v/>
      </c>
      <c r="N87" s="187">
        <f t="shared" ca="1" si="7"/>
        <v>-26510898.607847746</v>
      </c>
      <c r="O87" s="187">
        <f t="shared" ca="1" si="8"/>
        <v>-153570822.51282722</v>
      </c>
      <c r="P87" s="187">
        <f t="shared" ca="1" si="9"/>
        <v>-15982309.141821343</v>
      </c>
      <c r="Q87" s="187">
        <f t="shared" ca="1" si="10"/>
        <v>0</v>
      </c>
      <c r="R87" s="187">
        <f t="shared" ca="1" si="11"/>
        <v>-21033260.491848197</v>
      </c>
      <c r="S87" s="187">
        <f ca="1">IF(B87="","",IF($B$31=0,"",-'Debt Financing Calculations'!E36))</f>
        <v>-6362796.3637190564</v>
      </c>
      <c r="T87" s="187">
        <f t="shared" ca="1" si="12"/>
        <v>29698734.134857655</v>
      </c>
      <c r="U87" s="187">
        <f ca="1">IF(C87="","",IF(C87&lt;-1,0,IF(C87=anal_period,-LOOKUP(C87,depr_yr,depr_cost)-Depreciation!$C$141-Depreciation!$B$166,-LOOKUP(C87,depr_yr,depr_cost))))</f>
        <v>-14709806.863079607</v>
      </c>
      <c r="V87" s="187">
        <f t="shared" ca="1" si="13"/>
        <v>14988927.271778047</v>
      </c>
      <c r="W87" s="188">
        <f t="shared" si="14"/>
        <v>0.25739999999999996</v>
      </c>
      <c r="X87" s="187">
        <f t="shared" ca="1" si="15"/>
        <v>-3858149.8797556688</v>
      </c>
      <c r="Y87" s="187">
        <f t="shared" ca="1" si="16"/>
        <v>25840584.255101986</v>
      </c>
      <c r="Z87" s="187">
        <f>IF(C87="","",IF($B$31=0,"",-'Debt Financing Calculations'!F36))</f>
        <v>0</v>
      </c>
      <c r="AA87" s="187">
        <f t="shared" ca="1" si="17"/>
        <v>22979200.838904869</v>
      </c>
      <c r="AB87" s="187">
        <f t="shared" ca="1" si="23"/>
        <v>238519969.60768303</v>
      </c>
      <c r="AC87" s="1156">
        <f t="shared" ca="1" si="18"/>
        <v>26837350.718660537</v>
      </c>
      <c r="AD87" s="134"/>
      <c r="AE87" s="1160">
        <f t="shared" ca="1" si="19"/>
        <v>50838024.193548374</v>
      </c>
      <c r="AF87" s="1156">
        <f t="shared" si="20"/>
        <v>0</v>
      </c>
    </row>
    <row r="88" spans="1:32" x14ac:dyDescent="0.25">
      <c r="A88" s="58">
        <f t="shared" si="21"/>
        <v>2060</v>
      </c>
      <c r="B88" s="185">
        <f>IF(MAX($B$65:B87)&lt;(construct+anal_period),B87+1,"")</f>
        <v>24</v>
      </c>
      <c r="C88" s="185">
        <f t="shared" si="22"/>
        <v>21</v>
      </c>
      <c r="D88" s="185">
        <f t="shared" si="1"/>
        <v>21</v>
      </c>
      <c r="E88" s="186">
        <f t="shared" si="2"/>
        <v>1.4570809496699502</v>
      </c>
      <c r="F88" s="59">
        <f t="shared" ca="1" si="3"/>
        <v>257968838.85672668</v>
      </c>
      <c r="G88" s="1169"/>
      <c r="H88" s="1178">
        <f t="shared" si="24"/>
        <v>0</v>
      </c>
      <c r="I88" s="187">
        <f ca="1">IF(OR(C88&lt;0,C88=""),"",-E88*INDEX('Replacement Costs'!$A$16:$H$57,MATCH(C88,'Replacement Costs'!$C$16:$C$57,0),MATCH("Total Yearly Replacement Costs",'Replacement Costs'!$A$16:$H$16,0)))</f>
        <v>-2209384.4153551422</v>
      </c>
      <c r="J88" s="187">
        <f ca="1">IF(AND(C88&gt;=1,C88&lt;anal_period),WorkingCap*SUM(N88:R88)-WorkingCap*SUM(N87:R87),IF(C88&lt;0,0,IF(B88="","",-SUM(J$65:J87))))</f>
        <v>-708355.6050690189</v>
      </c>
      <c r="K88" s="187" t="str">
        <f t="shared" si="4"/>
        <v/>
      </c>
      <c r="L88" s="187" t="str">
        <f t="shared" si="5"/>
        <v/>
      </c>
      <c r="M88" s="187" t="str">
        <f t="shared" si="6"/>
        <v/>
      </c>
      <c r="N88" s="187">
        <f t="shared" ca="1" si="7"/>
        <v>-27014605.681396849</v>
      </c>
      <c r="O88" s="187">
        <f t="shared" ca="1" si="8"/>
        <v>-157053646.52756771</v>
      </c>
      <c r="P88" s="187">
        <f t="shared" ca="1" si="9"/>
        <v>-16285973.015515948</v>
      </c>
      <c r="Q88" s="187">
        <f t="shared" ca="1" si="10"/>
        <v>0</v>
      </c>
      <c r="R88" s="187">
        <f t="shared" ca="1" si="11"/>
        <v>-21465436.230324157</v>
      </c>
      <c r="S88" s="187">
        <f ca="1">IF(B88="","",IF($B$31=0,"",-'Debt Financing Calculations'!E37))</f>
        <v>-6362796.3637190564</v>
      </c>
      <c r="T88" s="187">
        <f t="shared" ca="1" si="12"/>
        <v>29786381.038202971</v>
      </c>
      <c r="U88" s="187">
        <f ca="1">IF(C88="","",IF(C88&lt;-1,0,IF(C88=anal_period,-LOOKUP(C88,depr_yr,depr_cost)-Depreciation!$C$141-Depreciation!$B$166,-LOOKUP(C88,depr_yr,depr_cost))))</f>
        <v>-8325905.5557282185</v>
      </c>
      <c r="V88" s="187">
        <f t="shared" ca="1" si="13"/>
        <v>21460475.482474752</v>
      </c>
      <c r="W88" s="188">
        <f t="shared" si="14"/>
        <v>0.25739999999999996</v>
      </c>
      <c r="X88" s="187">
        <f t="shared" ca="1" si="15"/>
        <v>-5523926.3891890002</v>
      </c>
      <c r="Y88" s="187">
        <f t="shared" ca="1" si="16"/>
        <v>24262454.64901397</v>
      </c>
      <c r="Z88" s="187">
        <f>IF(C88="","",IF($B$31=0,"",-'Debt Financing Calculations'!F37))</f>
        <v>0</v>
      </c>
      <c r="AA88" s="187">
        <f t="shared" ca="1" si="17"/>
        <v>21344714.628589809</v>
      </c>
      <c r="AB88" s="187">
        <f t="shared" ca="1" si="23"/>
        <v>259864684.23627284</v>
      </c>
      <c r="AC88" s="1156">
        <f t="shared" ca="1" si="18"/>
        <v>26868641.01777881</v>
      </c>
      <c r="AD88" s="134"/>
      <c r="AE88" s="1160">
        <f t="shared" ca="1" si="19"/>
        <v>50838024.193548374</v>
      </c>
      <c r="AF88" s="1156">
        <f t="shared" si="20"/>
        <v>0</v>
      </c>
    </row>
    <row r="89" spans="1:32" x14ac:dyDescent="0.25">
      <c r="A89" s="58">
        <f t="shared" si="21"/>
        <v>2061</v>
      </c>
      <c r="B89" s="185">
        <f>IF(MAX($B$65:B88)&lt;(construct+anal_period),B88+1,"")</f>
        <v>25</v>
      </c>
      <c r="C89" s="185">
        <f t="shared" si="22"/>
        <v>22</v>
      </c>
      <c r="D89" s="185">
        <f t="shared" si="1"/>
        <v>22</v>
      </c>
      <c r="E89" s="186">
        <f t="shared" si="2"/>
        <v>1.4847654877136791</v>
      </c>
      <c r="F89" s="59">
        <f t="shared" ca="1" si="3"/>
        <v>262870246.79500449</v>
      </c>
      <c r="G89" s="1169"/>
      <c r="H89" s="1178">
        <f t="shared" si="24"/>
        <v>0</v>
      </c>
      <c r="I89" s="187">
        <f ca="1">IF(OR(C89&lt;0,C89=""),"",-E89*INDEX('Replacement Costs'!$A$16:$H$57,MATCH(C89,'Replacement Costs'!$C$16:$C$57,0),MATCH("Total Yearly Replacement Costs",'Replacement Costs'!$A$16:$H$16,0)))</f>
        <v>-2251362.7192468895</v>
      </c>
      <c r="J89" s="187">
        <f ca="1">IF(AND(C89&gt;=1,C89&lt;anal_period),WorkingCap*SUM(N89:R89)-WorkingCap*SUM(N88:R88),IF(C89&lt;0,0,IF(B89="","",-SUM(J$65:J88))))</f>
        <v>-695904.66417577863</v>
      </c>
      <c r="K89" s="187" t="str">
        <f t="shared" si="4"/>
        <v/>
      </c>
      <c r="L89" s="187" t="str">
        <f t="shared" si="5"/>
        <v/>
      </c>
      <c r="M89" s="187" t="str">
        <f t="shared" si="6"/>
        <v/>
      </c>
      <c r="N89" s="187">
        <f t="shared" ca="1" si="7"/>
        <v>-27527883.189343385</v>
      </c>
      <c r="O89" s="187">
        <f t="shared" ca="1" si="8"/>
        <v>-160436753.54482263</v>
      </c>
      <c r="P89" s="187">
        <f t="shared" ca="1" si="9"/>
        <v>-16595406.50281075</v>
      </c>
      <c r="Q89" s="187">
        <f t="shared" ca="1" si="10"/>
        <v>0</v>
      </c>
      <c r="R89" s="187">
        <f t="shared" ca="1" si="11"/>
        <v>-21898982.645666424</v>
      </c>
      <c r="S89" s="187">
        <f ca="1">IF(B89="","",IF($B$31=0,"",-'Debt Financing Calculations'!E38))</f>
        <v>-6362796.3637190564</v>
      </c>
      <c r="T89" s="187">
        <f t="shared" ca="1" si="12"/>
        <v>30048424.548642248</v>
      </c>
      <c r="U89" s="187">
        <f ca="1">IF(C89="","",IF(C89&lt;-1,0,IF(C89=anal_period,-LOOKUP(C89,depr_yr,depr_cost)-Depreciation!$C$141-Depreciation!$B$166,-LOOKUP(C89,depr_yr,depr_cost))))</f>
        <v>-1906575.7455581799</v>
      </c>
      <c r="V89" s="187">
        <f t="shared" ca="1" si="13"/>
        <v>28141848.803084068</v>
      </c>
      <c r="W89" s="188">
        <f t="shared" si="14"/>
        <v>0.25739999999999996</v>
      </c>
      <c r="X89" s="187">
        <f t="shared" ca="1" si="15"/>
        <v>-7243711.881913838</v>
      </c>
      <c r="Y89" s="187">
        <f t="shared" ca="1" si="16"/>
        <v>22804712.666728411</v>
      </c>
      <c r="Z89" s="187">
        <f>IF(C89="","",IF($B$31=0,"",-'Debt Financing Calculations'!F38))</f>
        <v>0</v>
      </c>
      <c r="AA89" s="187">
        <f t="shared" ca="1" si="17"/>
        <v>19857445.283305742</v>
      </c>
      <c r="AB89" s="187">
        <f t="shared" ca="1" si="23"/>
        <v>279722129.51957858</v>
      </c>
      <c r="AC89" s="1156">
        <f t="shared" ca="1" si="18"/>
        <v>27101157.165219579</v>
      </c>
      <c r="AD89" s="134"/>
      <c r="AE89" s="1160">
        <f t="shared" ca="1" si="19"/>
        <v>50838024.193548374</v>
      </c>
      <c r="AF89" s="1156">
        <f t="shared" si="20"/>
        <v>0</v>
      </c>
    </row>
    <row r="90" spans="1:32" x14ac:dyDescent="0.25">
      <c r="A90" s="58">
        <f t="shared" si="21"/>
        <v>2062</v>
      </c>
      <c r="B90" s="185">
        <f>IF(MAX($B$65:B89)&lt;(construct+anal_period),B89+1,"")</f>
        <v>26</v>
      </c>
      <c r="C90" s="185">
        <f t="shared" si="22"/>
        <v>23</v>
      </c>
      <c r="D90" s="185">
        <f t="shared" si="1"/>
        <v>23</v>
      </c>
      <c r="E90" s="186">
        <f t="shared" si="2"/>
        <v>1.5129760319802392</v>
      </c>
      <c r="F90" s="59">
        <f t="shared" ca="1" si="3"/>
        <v>267864781.48410961</v>
      </c>
      <c r="G90" s="1169"/>
      <c r="H90" s="1178">
        <f t="shared" si="24"/>
        <v>0</v>
      </c>
      <c r="I90" s="187">
        <f ca="1">IF(OR(C90&lt;0,C90=""),"",-E90*INDEX('Replacement Costs'!$A$16:$H$57,MATCH(C90,'Replacement Costs'!$C$16:$C$57,0),MATCH("Total Yearly Replacement Costs",'Replacement Costs'!$A$16:$H$16,0)))</f>
        <v>-2294138.610912581</v>
      </c>
      <c r="J90" s="187">
        <f ca="1">IF(AND(C90&gt;=1,C90&lt;anal_period),WorkingCap*SUM(N90:R90)-WorkingCap*SUM(N89:R89),IF(C90&lt;0,0,IF(B90="","",-SUM(J$65:J89))))</f>
        <v>-710505.35394170135</v>
      </c>
      <c r="K90" s="187" t="str">
        <f t="shared" si="4"/>
        <v/>
      </c>
      <c r="L90" s="187" t="str">
        <f t="shared" si="5"/>
        <v/>
      </c>
      <c r="M90" s="187" t="str">
        <f t="shared" si="6"/>
        <v/>
      </c>
      <c r="N90" s="187">
        <f t="shared" ca="1" si="7"/>
        <v>-28050912.969940916</v>
      </c>
      <c r="O90" s="187">
        <f t="shared" ca="1" si="8"/>
        <v>-163892736.38090292</v>
      </c>
      <c r="P90" s="187">
        <f t="shared" ca="1" si="9"/>
        <v>-16910719.226364154</v>
      </c>
      <c r="Q90" s="187">
        <f t="shared" ca="1" si="10"/>
        <v>0</v>
      </c>
      <c r="R90" s="187">
        <f t="shared" ca="1" si="11"/>
        <v>-22341359.665046502</v>
      </c>
      <c r="S90" s="187">
        <f ca="1">IF(B90="","",IF($B$31=0,"",-'Debt Financing Calculations'!E39))</f>
        <v>-6362796.3637190564</v>
      </c>
      <c r="T90" s="187">
        <f t="shared" ca="1" si="12"/>
        <v>30306256.878136039</v>
      </c>
      <c r="U90" s="187">
        <f ca="1">IF(C90="","",IF(C90&lt;-1,0,IF(C90=anal_period,-LOOKUP(C90,depr_yr,depr_cost)-Depreciation!$C$141-Depreciation!$B$166,-LOOKUP(C90,depr_yr,depr_cost))))</f>
        <v>-1942800.6847237854</v>
      </c>
      <c r="V90" s="187">
        <f t="shared" ca="1" si="13"/>
        <v>28363456.193412252</v>
      </c>
      <c r="W90" s="188">
        <f t="shared" si="14"/>
        <v>0.25739999999999996</v>
      </c>
      <c r="X90" s="187">
        <f t="shared" ca="1" si="15"/>
        <v>-7300753.6241843123</v>
      </c>
      <c r="Y90" s="187">
        <f t="shared" ca="1" si="16"/>
        <v>23005503.253951728</v>
      </c>
      <c r="Z90" s="187">
        <f>IF(C90="","",IF($B$31=0,"",-'Debt Financing Calculations'!F39))</f>
        <v>0</v>
      </c>
      <c r="AA90" s="187">
        <f t="shared" ca="1" si="17"/>
        <v>20000859.289097443</v>
      </c>
      <c r="AB90" s="187">
        <f t="shared" ca="1" si="23"/>
        <v>299722988.808676</v>
      </c>
      <c r="AC90" s="1156">
        <f t="shared" ca="1" si="18"/>
        <v>27301612.913281757</v>
      </c>
      <c r="AD90" s="134"/>
      <c r="AE90" s="1160">
        <f t="shared" ca="1" si="19"/>
        <v>50838024.193548374</v>
      </c>
      <c r="AF90" s="1156">
        <f t="shared" si="20"/>
        <v>0</v>
      </c>
    </row>
    <row r="91" spans="1:32" x14ac:dyDescent="0.25">
      <c r="A91" s="58">
        <f t="shared" si="21"/>
        <v>2063</v>
      </c>
      <c r="B91" s="185">
        <f>IF(MAX($B$65:B90)&lt;(construct+anal_period),B90+1,"")</f>
        <v>27</v>
      </c>
      <c r="C91" s="185">
        <f t="shared" si="22"/>
        <v>24</v>
      </c>
      <c r="D91" s="185">
        <f t="shared" si="1"/>
        <v>24</v>
      </c>
      <c r="E91" s="186">
        <f t="shared" si="2"/>
        <v>1.5417225765878635</v>
      </c>
      <c r="F91" s="59">
        <f t="shared" ca="1" si="3"/>
        <v>272954212.33230764</v>
      </c>
      <c r="G91" s="1169"/>
      <c r="H91" s="1178">
        <f t="shared" si="24"/>
        <v>0</v>
      </c>
      <c r="I91" s="187">
        <f ca="1">IF(OR(C91&lt;0,C91=""),"",-E91*INDEX('Replacement Costs'!$A$16:$H$57,MATCH(C91,'Replacement Costs'!$C$16:$C$57,0),MATCH("Total Yearly Replacement Costs",'Replacement Costs'!$A$16:$H$16,0)))</f>
        <v>-2337727.2445199196</v>
      </c>
      <c r="J91" s="187">
        <f ca="1">IF(AND(C91&gt;=1,C91&lt;anal_period),WorkingCap*SUM(N91:R91)-WorkingCap*SUM(N90:R90),IF(C91&lt;0,0,IF(B91="","",-SUM(J$65:J90))))</f>
        <v>-725413.29820004106</v>
      </c>
      <c r="K91" s="187" t="str">
        <f t="shared" si="4"/>
        <v/>
      </c>
      <c r="L91" s="187" t="str">
        <f t="shared" si="5"/>
        <v/>
      </c>
      <c r="M91" s="187" t="str">
        <f t="shared" si="6"/>
        <v/>
      </c>
      <c r="N91" s="187">
        <f t="shared" ca="1" si="7"/>
        <v>-28583880.316369787</v>
      </c>
      <c r="O91" s="187">
        <f t="shared" ca="1" si="8"/>
        <v>-167423164.86051178</v>
      </c>
      <c r="P91" s="187">
        <f t="shared" ca="1" si="9"/>
        <v>-17232022.891665071</v>
      </c>
      <c r="Q91" s="187">
        <f t="shared" ca="1" si="10"/>
        <v>0</v>
      </c>
      <c r="R91" s="187">
        <f t="shared" ca="1" si="11"/>
        <v>-22792748.828374822</v>
      </c>
      <c r="S91" s="187">
        <f ca="1">IF(B91="","",IF($B$31=0,"",-'Debt Financing Calculations'!E40))</f>
        <v>-6362796.3637190564</v>
      </c>
      <c r="T91" s="187">
        <f t="shared" ca="1" si="12"/>
        <v>30559599.071667135</v>
      </c>
      <c r="U91" s="187">
        <f ca="1">IF(C91="","",IF(C91&lt;-1,0,IF(C91=anal_period,-LOOKUP(C91,depr_yr,depr_cost)-Depreciation!$C$141-Depreciation!$B$166,-LOOKUP(C91,depr_yr,depr_cost))))</f>
        <v>-1979713.8977335372</v>
      </c>
      <c r="V91" s="187">
        <f t="shared" ca="1" si="13"/>
        <v>28579885.173933599</v>
      </c>
      <c r="W91" s="188">
        <f t="shared" si="14"/>
        <v>0.25739999999999996</v>
      </c>
      <c r="X91" s="187">
        <f t="shared" ca="1" si="15"/>
        <v>-7356462.4437705074</v>
      </c>
      <c r="Y91" s="187">
        <f t="shared" ca="1" si="16"/>
        <v>23203136.627896629</v>
      </c>
      <c r="Z91" s="187">
        <f>IF(C91="","",IF($B$31=0,"",-'Debt Financing Calculations'!F40))</f>
        <v>0</v>
      </c>
      <c r="AA91" s="187">
        <f t="shared" ca="1" si="17"/>
        <v>20139996.085176669</v>
      </c>
      <c r="AB91" s="187">
        <f t="shared" ca="1" si="23"/>
        <v>319862984.89385265</v>
      </c>
      <c r="AC91" s="1156">
        <f t="shared" ca="1" si="18"/>
        <v>27496458.528947175</v>
      </c>
      <c r="AD91" s="134"/>
      <c r="AE91" s="1160">
        <f t="shared" ca="1" si="19"/>
        <v>50838024.193548374</v>
      </c>
      <c r="AF91" s="1156">
        <f t="shared" si="20"/>
        <v>0</v>
      </c>
    </row>
    <row r="92" spans="1:32" x14ac:dyDescent="0.25">
      <c r="A92" s="58">
        <f t="shared" si="21"/>
        <v>2064</v>
      </c>
      <c r="B92" s="185">
        <f>IF(MAX($B$65:B91)&lt;(construct+anal_period),B91+1,"")</f>
        <v>28</v>
      </c>
      <c r="C92" s="185">
        <f t="shared" si="22"/>
        <v>25</v>
      </c>
      <c r="D92" s="185">
        <f t="shared" si="1"/>
        <v>25</v>
      </c>
      <c r="E92" s="186">
        <f t="shared" si="2"/>
        <v>1.5710153055430329</v>
      </c>
      <c r="F92" s="59">
        <f t="shared" ca="1" si="3"/>
        <v>278140342.36662149</v>
      </c>
      <c r="G92" s="1169"/>
      <c r="H92" s="1178">
        <f t="shared" si="24"/>
        <v>0</v>
      </c>
      <c r="I92" s="187">
        <f ca="1">IF(OR(C92&lt;0,C92=""),"",-E92*INDEX('Replacement Costs'!$A$16:$H$57,MATCH(C92,'Replacement Costs'!$C$16:$C$57,0),MATCH("Total Yearly Replacement Costs",'Replacement Costs'!$A$16:$H$16,0)))</f>
        <v>-2382144.0621657982</v>
      </c>
      <c r="J92" s="187">
        <f ca="1">IF(AND(C92&gt;=1,C92&lt;anal_period),WorkingCap*SUM(N92:R92)-WorkingCap*SUM(N91:R91),IF(C92&lt;0,0,IF(B92="","",-SUM(J$65:J91))))</f>
        <v>-740634.98121286929</v>
      </c>
      <c r="K92" s="187" t="str">
        <f t="shared" si="4"/>
        <v/>
      </c>
      <c r="L92" s="187" t="str">
        <f t="shared" si="5"/>
        <v/>
      </c>
      <c r="M92" s="187" t="str">
        <f t="shared" si="6"/>
        <v/>
      </c>
      <c r="N92" s="187">
        <f t="shared" ca="1" si="7"/>
        <v>-29126974.042380814</v>
      </c>
      <c r="O92" s="187">
        <f t="shared" ca="1" si="8"/>
        <v>-171029642.62409049</v>
      </c>
      <c r="P92" s="187">
        <f t="shared" ca="1" si="9"/>
        <v>-17559431.32660671</v>
      </c>
      <c r="Q92" s="187">
        <f t="shared" ca="1" si="10"/>
        <v>0</v>
      </c>
      <c r="R92" s="187">
        <f t="shared" ca="1" si="11"/>
        <v>-23253335.445262577</v>
      </c>
      <c r="S92" s="187">
        <f ca="1">IF(B92="","",IF($B$31=0,"",-'Debt Financing Calculations'!E41))</f>
        <v>-6362796.3637190564</v>
      </c>
      <c r="T92" s="187">
        <f t="shared" ca="1" si="12"/>
        <v>30808162.564561844</v>
      </c>
      <c r="U92" s="187">
        <f ca="1">IF(C92="","",IF(C92&lt;-1,0,IF(C92=anal_period,-LOOKUP(C92,depr_yr,depr_cost)-Depreciation!$C$141-Depreciation!$B$166,-LOOKUP(C92,depr_yr,depr_cost))))</f>
        <v>-2017328.4617904744</v>
      </c>
      <c r="V92" s="187">
        <f t="shared" ca="1" si="13"/>
        <v>28790834.102771368</v>
      </c>
      <c r="W92" s="188">
        <f t="shared" si="14"/>
        <v>0.25739999999999996</v>
      </c>
      <c r="X92" s="187">
        <f t="shared" ca="1" si="15"/>
        <v>-7410760.6980533488</v>
      </c>
      <c r="Y92" s="187">
        <f t="shared" ca="1" si="16"/>
        <v>23397401.866508495</v>
      </c>
      <c r="Z92" s="187">
        <f>IF(C92="","",IF($B$31=0,"",-'Debt Financing Calculations'!F41))</f>
        <v>0</v>
      </c>
      <c r="AA92" s="187">
        <f t="shared" ca="1" si="17"/>
        <v>20274622.823129829</v>
      </c>
      <c r="AB92" s="187">
        <f t="shared" ca="1" si="23"/>
        <v>340137607.71698248</v>
      </c>
      <c r="AC92" s="1156">
        <f t="shared" ca="1" si="18"/>
        <v>27685383.521183178</v>
      </c>
      <c r="AD92" s="134"/>
      <c r="AE92" s="1160">
        <f t="shared" ca="1" si="19"/>
        <v>50838024.193548374</v>
      </c>
      <c r="AF92" s="1156">
        <f t="shared" si="20"/>
        <v>0</v>
      </c>
    </row>
    <row r="93" spans="1:32" x14ac:dyDescent="0.25">
      <c r="A93" s="58">
        <f t="shared" si="21"/>
        <v>2065</v>
      </c>
      <c r="B93" s="185">
        <f>IF(MAX($B$65:B92)&lt;(construct+anal_period),B92+1,"")</f>
        <v>29</v>
      </c>
      <c r="C93" s="185">
        <f t="shared" si="22"/>
        <v>26</v>
      </c>
      <c r="D93" s="185">
        <f t="shared" si="1"/>
        <v>26</v>
      </c>
      <c r="E93" s="186">
        <f t="shared" si="2"/>
        <v>1.6008645963483503</v>
      </c>
      <c r="F93" s="59">
        <f t="shared" ca="1" si="3"/>
        <v>283425008.87158728</v>
      </c>
      <c r="G93" s="1169"/>
      <c r="H93" s="1178">
        <f t="shared" si="24"/>
        <v>0</v>
      </c>
      <c r="I93" s="187">
        <f ca="1">IF(OR(C93&lt;0,C93=""),"",-E93*INDEX('Replacement Costs'!$A$16:$H$57,MATCH(C93,'Replacement Costs'!$C$16:$C$57,0),MATCH("Total Yearly Replacement Costs",'Replacement Costs'!$A$16:$H$16,0)))</f>
        <v>-2427404.799346948</v>
      </c>
      <c r="J93" s="187">
        <f ca="1">IF(AND(C93&gt;=1,C93&lt;anal_period),WorkingCap*SUM(N93:R93)-WorkingCap*SUM(N92:R92),IF(C93&lt;0,0,IF(B93="","",-SUM(J$65:J92))))</f>
        <v>-756177.02445604652</v>
      </c>
      <c r="K93" s="187" t="str">
        <f t="shared" si="4"/>
        <v/>
      </c>
      <c r="L93" s="187" t="str">
        <f t="shared" si="5"/>
        <v/>
      </c>
      <c r="M93" s="187" t="str">
        <f t="shared" si="6"/>
        <v/>
      </c>
      <c r="N93" s="187">
        <f t="shared" ca="1" si="7"/>
        <v>-29680386.549186043</v>
      </c>
      <c r="O93" s="187">
        <f t="shared" ca="1" si="8"/>
        <v>-174713807.85624638</v>
      </c>
      <c r="P93" s="187">
        <f t="shared" ca="1" si="9"/>
        <v>-17893060.521812234</v>
      </c>
      <c r="Q93" s="187">
        <f t="shared" ca="1" si="10"/>
        <v>0</v>
      </c>
      <c r="R93" s="187">
        <f t="shared" ca="1" si="11"/>
        <v>-23723308.674136214</v>
      </c>
      <c r="S93" s="187">
        <f ca="1">IF(B93="","",IF($B$31=0,"",-'Debt Financing Calculations'!E42))</f>
        <v>-6362796.3637190564</v>
      </c>
      <c r="T93" s="187">
        <f t="shared" ca="1" si="12"/>
        <v>31051648.906487346</v>
      </c>
      <c r="U93" s="187">
        <f ca="1">IF(C93="","",IF(C93&lt;-1,0,IF(C93=anal_period,-LOOKUP(C93,depr_yr,depr_cost)-Depreciation!$C$141-Depreciation!$B$166,-LOOKUP(C93,depr_yr,depr_cost))))</f>
        <v>-2055657.7025644935</v>
      </c>
      <c r="V93" s="187">
        <f t="shared" ca="1" si="13"/>
        <v>28995991.203922853</v>
      </c>
      <c r="W93" s="188">
        <f t="shared" si="14"/>
        <v>0.25739999999999996</v>
      </c>
      <c r="X93" s="187">
        <f t="shared" ca="1" si="15"/>
        <v>-7463568.1358897416</v>
      </c>
      <c r="Y93" s="187">
        <f t="shared" ca="1" si="16"/>
        <v>23588080.770597603</v>
      </c>
      <c r="Z93" s="187">
        <f>IF(C93="","",IF($B$31=0,"",-'Debt Financing Calculations'!F42))</f>
        <v>0</v>
      </c>
      <c r="AA93" s="187">
        <f t="shared" ca="1" si="17"/>
        <v>20404498.94679461</v>
      </c>
      <c r="AB93" s="187">
        <f t="shared" ca="1" si="23"/>
        <v>360542106.66377711</v>
      </c>
      <c r="AC93" s="1156">
        <f t="shared" ca="1" si="18"/>
        <v>27868067.082684353</v>
      </c>
      <c r="AD93" s="134"/>
      <c r="AE93" s="1160">
        <f t="shared" ca="1" si="19"/>
        <v>50838024.193548374</v>
      </c>
      <c r="AF93" s="1156">
        <f t="shared" si="20"/>
        <v>0</v>
      </c>
    </row>
    <row r="94" spans="1:32" x14ac:dyDescent="0.25">
      <c r="A94" s="58">
        <f t="shared" si="21"/>
        <v>2066</v>
      </c>
      <c r="B94" s="185">
        <f>IF(MAX($B$65:B93)&lt;(construct+anal_period),B93+1,"")</f>
        <v>30</v>
      </c>
      <c r="C94" s="185">
        <f t="shared" si="22"/>
        <v>27</v>
      </c>
      <c r="D94" s="185">
        <f t="shared" si="1"/>
        <v>27</v>
      </c>
      <c r="E94" s="186">
        <f t="shared" si="2"/>
        <v>1.631281023678969</v>
      </c>
      <c r="F94" s="59">
        <f t="shared" ca="1" si="3"/>
        <v>288810084.04014742</v>
      </c>
      <c r="G94" s="1169"/>
      <c r="H94" s="1178">
        <f t="shared" si="24"/>
        <v>0</v>
      </c>
      <c r="I94" s="187">
        <f ca="1">IF(OR(C94&lt;0,C94=""),"",-E94*INDEX('Replacement Costs'!$A$16:$H$57,MATCH(C94,'Replacement Costs'!$C$16:$C$57,0),MATCH("Total Yearly Replacement Costs",'Replacement Costs'!$A$16:$H$16,0)))</f>
        <v>-2473525.4905345398</v>
      </c>
      <c r="J94" s="187">
        <f ca="1">IF(AND(C94&gt;=1,C94&lt;anal_period),WorkingCap*SUM(N94:R94)-WorkingCap*SUM(N93:R93),IF(C94&lt;0,0,IF(B94="","",-SUM(J$65:J93))))</f>
        <v>-771749.50583186001</v>
      </c>
      <c r="K94" s="187" t="str">
        <f t="shared" si="4"/>
        <v/>
      </c>
      <c r="L94" s="187" t="str">
        <f t="shared" si="5"/>
        <v/>
      </c>
      <c r="M94" s="187" t="str">
        <f t="shared" si="6"/>
        <v/>
      </c>
      <c r="N94" s="187">
        <f t="shared" ca="1" si="7"/>
        <v>-30244313.89362058</v>
      </c>
      <c r="O94" s="187">
        <f t="shared" ca="1" si="8"/>
        <v>-178479077.04134899</v>
      </c>
      <c r="P94" s="187">
        <f t="shared" ca="1" si="9"/>
        <v>-18233028.671726666</v>
      </c>
      <c r="Q94" s="187">
        <f t="shared" ca="1" si="10"/>
        <v>0</v>
      </c>
      <c r="R94" s="187">
        <f t="shared" ca="1" si="11"/>
        <v>-24199140.700230349</v>
      </c>
      <c r="S94" s="187">
        <f ca="1">IF(B94="","",IF($B$31=0,"",-'Debt Financing Calculations'!E43))</f>
        <v>-6362796.3637190564</v>
      </c>
      <c r="T94" s="187">
        <f t="shared" ca="1" si="12"/>
        <v>31291727.36950177</v>
      </c>
      <c r="U94" s="187">
        <f ca="1">IF(C94="","",IF(C94&lt;-1,0,IF(C94=anal_period,-LOOKUP(C94,depr_yr,depr_cost)-Depreciation!$C$141-Depreciation!$B$166,-LOOKUP(C94,depr_yr,depr_cost))))</f>
        <v>-2094715.1989132185</v>
      </c>
      <c r="V94" s="187">
        <f t="shared" ca="1" si="13"/>
        <v>29197012.170588553</v>
      </c>
      <c r="W94" s="188">
        <f t="shared" si="14"/>
        <v>0.25739999999999996</v>
      </c>
      <c r="X94" s="187">
        <f t="shared" ca="1" si="15"/>
        <v>-7515310.9327094927</v>
      </c>
      <c r="Y94" s="187">
        <f t="shared" ca="1" si="16"/>
        <v>23776416.436792277</v>
      </c>
      <c r="Z94" s="187">
        <f>IF(C94="","",IF($B$31=0,"",-'Debt Financing Calculations'!F43))</f>
        <v>0</v>
      </c>
      <c r="AA94" s="187">
        <f t="shared" ca="1" si="17"/>
        <v>20531141.440425877</v>
      </c>
      <c r="AB94" s="187">
        <f t="shared" ca="1" si="23"/>
        <v>381073248.10420299</v>
      </c>
      <c r="AC94" s="1156">
        <f t="shared" ca="1" si="18"/>
        <v>28046452.373135369</v>
      </c>
      <c r="AD94" s="134"/>
      <c r="AE94" s="1160">
        <f t="shared" ca="1" si="19"/>
        <v>50838024.193548374</v>
      </c>
      <c r="AF94" s="1156">
        <f t="shared" si="20"/>
        <v>0</v>
      </c>
    </row>
    <row r="95" spans="1:32" x14ac:dyDescent="0.25">
      <c r="A95" s="58">
        <f t="shared" si="21"/>
        <v>2067</v>
      </c>
      <c r="B95" s="185">
        <f>IF(MAX($B$65:B94)&lt;(construct+anal_period),B94+1,"")</f>
        <v>31</v>
      </c>
      <c r="C95" s="185">
        <f t="shared" si="22"/>
        <v>28</v>
      </c>
      <c r="D95" s="185">
        <f t="shared" si="1"/>
        <v>28</v>
      </c>
      <c r="E95" s="186">
        <f t="shared" si="2"/>
        <v>1.6622753631288694</v>
      </c>
      <c r="F95" s="59">
        <f t="shared" ca="1" si="3"/>
        <v>294297475.6369102</v>
      </c>
      <c r="G95" s="1169"/>
      <c r="H95" s="1178">
        <f t="shared" si="24"/>
        <v>0</v>
      </c>
      <c r="I95" s="187">
        <f ca="1">IF(OR(C95&lt;0,C95=""),"",-E95*INDEX('Replacement Costs'!$A$16:$H$57,MATCH(C95,'Replacement Costs'!$C$16:$C$57,0),MATCH("Total Yearly Replacement Costs",'Replacement Costs'!$A$16:$H$16,0)))</f>
        <v>-2520522.4748546961</v>
      </c>
      <c r="J95" s="187">
        <f ca="1">IF(AND(C95&gt;=1,C95&lt;anal_period),WorkingCap*SUM(N95:R95)-WorkingCap*SUM(N94:R94),IF(C95&lt;0,0,IF(B95="","",-SUM(J$65:J94))))</f>
        <v>-787937.98638860881</v>
      </c>
      <c r="K95" s="187" t="str">
        <f t="shared" si="4"/>
        <v/>
      </c>
      <c r="L95" s="187" t="str">
        <f t="shared" si="5"/>
        <v/>
      </c>
      <c r="M95" s="187" t="str">
        <f t="shared" si="6"/>
        <v/>
      </c>
      <c r="N95" s="187">
        <f t="shared" ca="1" si="7"/>
        <v>-30818955.85759937</v>
      </c>
      <c r="O95" s="187">
        <f t="shared" ca="1" si="8"/>
        <v>-182325491.79937595</v>
      </c>
      <c r="P95" s="187">
        <f t="shared" ca="1" si="9"/>
        <v>-18579456.216489471</v>
      </c>
      <c r="Q95" s="187">
        <f t="shared" ca="1" si="10"/>
        <v>0</v>
      </c>
      <c r="R95" s="187">
        <f t="shared" ca="1" si="11"/>
        <v>-24684576.342719235</v>
      </c>
      <c r="S95" s="187">
        <f ca="1">IF(B95="","",IF($B$31=0,"",-'Debt Financing Calculations'!E44))</f>
        <v>-6362796.3637190564</v>
      </c>
      <c r="T95" s="187">
        <f t="shared" ca="1" si="12"/>
        <v>31526199.057007134</v>
      </c>
      <c r="U95" s="187">
        <f ca="1">IF(C95="","",IF(C95&lt;-1,0,IF(C95=anal_period,-LOOKUP(C95,depr_yr,depr_cost)-Depreciation!$C$141-Depreciation!$B$166,-LOOKUP(C95,depr_yr,depr_cost))))</f>
        <v>-2134514.7876925697</v>
      </c>
      <c r="V95" s="187">
        <f t="shared" ca="1" si="13"/>
        <v>29391684.269314565</v>
      </c>
      <c r="W95" s="188">
        <f t="shared" si="14"/>
        <v>0.25739999999999996</v>
      </c>
      <c r="X95" s="187">
        <f t="shared" ca="1" si="15"/>
        <v>-7565419.5309215682</v>
      </c>
      <c r="Y95" s="187">
        <f t="shared" ca="1" si="16"/>
        <v>23960779.526085567</v>
      </c>
      <c r="Z95" s="187">
        <f>IF(C95="","",IF($B$31=0,"",-'Debt Financing Calculations'!F44))</f>
        <v>0</v>
      </c>
      <c r="AA95" s="187">
        <f t="shared" ca="1" si="17"/>
        <v>20652319.064842261</v>
      </c>
      <c r="AB95" s="187">
        <f t="shared" ca="1" si="23"/>
        <v>401725567.16904527</v>
      </c>
      <c r="AC95" s="1156">
        <f t="shared" ca="1" si="18"/>
        <v>28217738.595763829</v>
      </c>
      <c r="AD95" s="134"/>
      <c r="AE95" s="1160">
        <f t="shared" ca="1" si="19"/>
        <v>50838024.193548374</v>
      </c>
      <c r="AF95" s="1156">
        <f t="shared" si="20"/>
        <v>0</v>
      </c>
    </row>
    <row r="96" spans="1:32" x14ac:dyDescent="0.25">
      <c r="A96" s="58">
        <f t="shared" si="21"/>
        <v>2068</v>
      </c>
      <c r="B96" s="185">
        <f>IF(MAX($B$65:B95)&lt;(construct+anal_period),B95+1,"")</f>
        <v>32</v>
      </c>
      <c r="C96" s="185">
        <f t="shared" si="22"/>
        <v>29</v>
      </c>
      <c r="D96" s="185">
        <f t="shared" si="1"/>
        <v>29</v>
      </c>
      <c r="E96" s="186">
        <f t="shared" si="2"/>
        <v>1.6938585950283176</v>
      </c>
      <c r="F96" s="59">
        <f t="shared" ca="1" si="3"/>
        <v>299889127.67401147</v>
      </c>
      <c r="G96" s="1169"/>
      <c r="H96" s="1178">
        <f t="shared" si="24"/>
        <v>0</v>
      </c>
      <c r="I96" s="187">
        <f ca="1">IF(OR(C96&lt;0,C96=""),"",-E96*INDEX('Replacement Costs'!$A$16:$H$57,MATCH(C96,'Replacement Costs'!$C$16:$C$57,0),MATCH("Total Yearly Replacement Costs",'Replacement Costs'!$A$16:$H$16,0)))</f>
        <v>-2568412.4018769348</v>
      </c>
      <c r="J96" s="187">
        <f ca="1">IF(AND(C96&gt;=1,C96&lt;anal_period),WorkingCap*SUM(N96:R96)-WorkingCap*SUM(N95:R95),IF(C96&lt;0,0,IF(B96="","",-SUM(J$65:J95))))</f>
        <v>-804467.00041335076</v>
      </c>
      <c r="K96" s="187" t="str">
        <f t="shared" si="4"/>
        <v/>
      </c>
      <c r="L96" s="187" t="str">
        <f t="shared" si="5"/>
        <v/>
      </c>
      <c r="M96" s="187" t="str">
        <f t="shared" si="6"/>
        <v/>
      </c>
      <c r="N96" s="187">
        <f t="shared" ca="1" si="7"/>
        <v>-31404516.018893752</v>
      </c>
      <c r="O96" s="187">
        <f t="shared" ca="1" si="8"/>
        <v>-186254800.90410182</v>
      </c>
      <c r="P96" s="187">
        <f t="shared" ca="1" si="9"/>
        <v>-18932465.88460277</v>
      </c>
      <c r="Q96" s="187">
        <f t="shared" ca="1" si="10"/>
        <v>0</v>
      </c>
      <c r="R96" s="187">
        <f t="shared" ca="1" si="11"/>
        <v>-25179810.744674657</v>
      </c>
      <c r="S96" s="187">
        <f ca="1">IF(B96="","",IF($B$31=0,"",-'Debt Financing Calculations'!E45))</f>
        <v>-6362796.3637190564</v>
      </c>
      <c r="T96" s="187">
        <f t="shared" ca="1" si="12"/>
        <v>31754737.758019418</v>
      </c>
      <c r="U96" s="187">
        <f ca="1">IF(C96="","",IF(C96&lt;-1,0,IF(C96=anal_period,-LOOKUP(C96,depr_yr,depr_cost)-Depreciation!$C$141-Depreciation!$B$166,-LOOKUP(C96,depr_yr,depr_cost))))</f>
        <v>-2175070.5686587286</v>
      </c>
      <c r="V96" s="187">
        <f t="shared" ca="1" si="13"/>
        <v>29579667.189360689</v>
      </c>
      <c r="W96" s="188">
        <f t="shared" si="14"/>
        <v>0.25739999999999996</v>
      </c>
      <c r="X96" s="187">
        <f t="shared" ca="1" si="15"/>
        <v>-7613806.33454144</v>
      </c>
      <c r="Y96" s="187">
        <f t="shared" ca="1" si="16"/>
        <v>24140931.423477978</v>
      </c>
      <c r="Z96" s="187">
        <f>IF(C96="","",IF($B$31=0,"",-'Debt Financing Calculations'!F45))</f>
        <v>0</v>
      </c>
      <c r="AA96" s="187">
        <f t="shared" ca="1" si="17"/>
        <v>20768052.021187693</v>
      </c>
      <c r="AB96" s="187">
        <f t="shared" ca="1" si="23"/>
        <v>422493619.19023299</v>
      </c>
      <c r="AC96" s="1156">
        <f t="shared" ca="1" si="18"/>
        <v>28381858.355729133</v>
      </c>
      <c r="AD96" s="134"/>
      <c r="AE96" s="1160">
        <f t="shared" ca="1" si="19"/>
        <v>50838024.193548374</v>
      </c>
      <c r="AF96" s="1156">
        <f t="shared" si="20"/>
        <v>0</v>
      </c>
    </row>
    <row r="97" spans="1:32" x14ac:dyDescent="0.25">
      <c r="A97" s="58">
        <f t="shared" si="21"/>
        <v>2069</v>
      </c>
      <c r="B97" s="185">
        <f>IF(MAX($B$65:B96)&lt;(construct+anal_period),B96+1,"")</f>
        <v>33</v>
      </c>
      <c r="C97" s="185">
        <f t="shared" si="22"/>
        <v>30</v>
      </c>
      <c r="D97" s="185">
        <f t="shared" ref="D97:D113" si="25">IF(C97="","",IF(C97&lt;=plant_life,C97,IF(D96=plant_life,1,D96+1)))</f>
        <v>30</v>
      </c>
      <c r="E97" s="186">
        <f t="shared" ref="E97:E113" si="26">IF(C97="","",(1+inflation_rate)^(A97-$B$25))</f>
        <v>1.7260419083338554</v>
      </c>
      <c r="F97" s="59">
        <f t="shared" ref="F97:F113" ca="1" si="27">IF(C97="","",IF(C97&lt;0,0,IF(AND(C97=1,start_time&lt;1),E97*(H2_price_nominal*output_kgyear*start_time*percnt_revs+H2_price_nominal*output_kgyear*(1-start_time)),IF(C97&lt;=start_time,H2_price_nominal*E97*output_kgyear*percnt_revs,H2_price_nominal*output_kgyear*E97))))</f>
        <v>305587021.09981763</v>
      </c>
      <c r="G97" s="1169"/>
      <c r="H97" s="1178">
        <f t="shared" si="24"/>
        <v>0</v>
      </c>
      <c r="I97" s="187">
        <f ca="1">IF(OR(C97&lt;0,C97=""),"",-E97*INDEX('Replacement Costs'!$A$16:$H$57,MATCH(C97,'Replacement Costs'!$C$16:$C$57,0),MATCH("Total Yearly Replacement Costs",'Replacement Costs'!$A$16:$H$16,0)))</f>
        <v>-2617212.2375125964</v>
      </c>
      <c r="J97" s="187">
        <f ca="1">IF(AND(C97&gt;=1,C97&lt;anal_period),WorkingCap*SUM(N97:R97)-WorkingCap*SUM(N96:R96),IF(C97&lt;0,0,IF(B97="","",-SUM(J$65:J96))))</f>
        <v>-821343.73019003123</v>
      </c>
      <c r="K97" s="187" t="str">
        <f t="shared" ref="K97:K113" si="28">IF(C97=-construct,-E97*non_dep_infl,"")</f>
        <v/>
      </c>
      <c r="L97" s="187" t="str">
        <f t="shared" ref="L97:L113" si="29">IF(C97=anal_period,salvage*E97,"")</f>
        <v/>
      </c>
      <c r="M97" s="187" t="str">
        <f t="shared" ref="M97:M113" si="30">IF(D97=plant_life,-E97*decom,"")</f>
        <v/>
      </c>
      <c r="N97" s="187">
        <f t="shared" ref="N97:N113" ca="1" si="31">IF(C97="","",IF(C97&lt;0,0,IF(AND(C97=1,start_time&lt;1),-(inflated_fixed*percnt_fixed*start_time+(inflated_fixed*(1-start_time))),IF(C97&lt;=start_time,-inflated_fixed*percnt_fixed*E97,-inflated_fixed*E97))))</f>
        <v>-32001201.82325273</v>
      </c>
      <c r="O97" s="187">
        <f t="shared" ref="O97:O109" ca="1" si="32">IF(C97="","",IF(C97&lt;0,0,IF(AND(C97=1,start_time&lt;1),-(SUM(B171:E171)*output_kgyear*E97*percnt_var*start_time+SUM(B171:E171)*output_kgyear*E97*(1-start_time)),IF(C97&lt;=start_time,-SUM(B171:E171)*output_kgyear*E97*percnt_var,-SUM(B171:E171)*output_kgyear*E97))))</f>
        <v>-190268790.81724399</v>
      </c>
      <c r="P97" s="187">
        <f t="shared" ref="P97:P113" ca="1" si="33">IF(C97="","",IF(C97&lt;0,0,IF(AND(C97=1,start_time&lt;1),-(inflated_otherraw*E97*percnt_var*start_time+inflated_otherraw*E97*(1-start_time)),IF(C97&lt;=start_time,-inflated_otherraw*E97*percnt_var,-(inflated_otherraw*E97)))))</f>
        <v>-19292182.736410219</v>
      </c>
      <c r="Q97" s="187">
        <f t="shared" ca="1" si="10"/>
        <v>0</v>
      </c>
      <c r="R97" s="187">
        <f t="shared" ref="R97:R109" ca="1"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-25685043.043299604</v>
      </c>
      <c r="S97" s="187">
        <f ca="1">IF(B97="","",IF($B$31=0,"",-'Debt Financing Calculations'!E46))</f>
        <v>-6362796.3637190564</v>
      </c>
      <c r="T97" s="187">
        <f t="shared" ref="T97:T113" ca="1" si="35">IF(C97="","",F97+SUM(L97:S97))</f>
        <v>31977006.315891981</v>
      </c>
      <c r="U97" s="187">
        <f ca="1">IF(C97="","",IF(C97&lt;-1,0,IF(C97=anal_period,-LOOKUP(C97,depr_yr,depr_cost)-Depreciation!$C$141-Depreciation!$B$166,-LOOKUP(C97,depr_yr,depr_cost))))</f>
        <v>-2216396.909463244</v>
      </c>
      <c r="V97" s="187">
        <f t="shared" ref="V97:V113" ca="1" si="36">IF(C97="","",SUM(T97:U97))</f>
        <v>29760609.406428736</v>
      </c>
      <c r="W97" s="188">
        <f t="shared" ref="W97:W113" si="37">IF(C97="","",$B$33)</f>
        <v>0.25739999999999996</v>
      </c>
      <c r="X97" s="187">
        <f t="shared" ref="X97:X113" ca="1" si="38">IF(C97="","",tax_credit-(V97*W97 +Upstream_CO2_taxpYear + Proc_CO2_taxpYear))</f>
        <v>-7660380.8612147551</v>
      </c>
      <c r="Y97" s="187">
        <f t="shared" ref="Y97:Y113" ca="1" si="39">IF(C97="","",SUM(T97,X97))</f>
        <v>24316625.454677224</v>
      </c>
      <c r="Z97" s="187">
        <f>IF(C97="","",IF($B$31=0,"",-'Debt Financing Calculations'!F46))</f>
        <v>0</v>
      </c>
      <c r="AA97" s="187">
        <f t="shared" ref="AA97:AA113" ca="1" si="40">IF(C97="","",SUM(H97,I97,J97,K97,T97,X97,Z97))</f>
        <v>20878069.486974597</v>
      </c>
      <c r="AB97" s="187">
        <f t="shared" ca="1" si="23"/>
        <v>443371688.67720759</v>
      </c>
      <c r="AC97" s="1156">
        <f t="shared" ref="AC97:AC113" ca="1" si="41">IF(C97="","",SUM(H97,I97,J97,K97,T97,Z97))</f>
        <v>28538450.348189354</v>
      </c>
      <c r="AD97" s="134"/>
      <c r="AE97" s="1160">
        <f t="shared" ref="AE97:AE113" ca="1" si="42">IF(C97="","",IF(C97&lt;0,0,IF(AND(C97=1,start_time&lt;1),(output_kgyear*start_time*percnt_revs+output_kgyear*(1-start_time)),IF(C97&lt;=start_time,output_kgyear*percnt_revs,output_kgyear))))</f>
        <v>50838024.193548374</v>
      </c>
      <c r="AF97" s="1156">
        <f t="shared" ref="AF97:AF113" si="43">IF(C97="","",tax_credit)</f>
        <v>0</v>
      </c>
    </row>
    <row r="98" spans="1:32" x14ac:dyDescent="0.25">
      <c r="A98" s="58">
        <f t="shared" si="21"/>
        <v>2070</v>
      </c>
      <c r="B98" s="185">
        <f>IF(MAX($B$65:B97)&lt;(construct+anal_period),B97+1,"")</f>
        <v>34</v>
      </c>
      <c r="C98" s="185">
        <f t="shared" si="22"/>
        <v>31</v>
      </c>
      <c r="D98" s="185">
        <f t="shared" si="25"/>
        <v>31</v>
      </c>
      <c r="E98" s="186">
        <f t="shared" si="26"/>
        <v>1.7588367045921991</v>
      </c>
      <c r="F98" s="59">
        <f t="shared" ca="1" si="27"/>
        <v>311393174.50071424</v>
      </c>
      <c r="G98" s="1169"/>
      <c r="H98" s="1178">
        <f t="shared" si="24"/>
        <v>0</v>
      </c>
      <c r="I98" s="187">
        <f ca="1">IF(OR(C98&lt;0,C98=""),"",-E98*INDEX('Replacement Costs'!$A$16:$H$57,MATCH(C98,'Replacement Costs'!$C$16:$C$57,0),MATCH("Total Yearly Replacement Costs",'Replacement Costs'!$A$16:$H$16,0)))</f>
        <v>-2666939.2700253362</v>
      </c>
      <c r="J98" s="187">
        <f ca="1">IF(AND(C98&gt;=1,C98&lt;anal_period),WorkingCap*SUM(N98:R98)-WorkingCap*SUM(N97:R97),IF(C98&lt;0,0,IF(B98="","",-SUM(J$65:J97))))</f>
        <v>-838575.50986157358</v>
      </c>
      <c r="K98" s="187" t="str">
        <f t="shared" si="28"/>
        <v/>
      </c>
      <c r="L98" s="187" t="str">
        <f t="shared" si="29"/>
        <v/>
      </c>
      <c r="M98" s="187" t="str">
        <f t="shared" si="30"/>
        <v/>
      </c>
      <c r="N98" s="187">
        <f t="shared" ca="1" si="31"/>
        <v>-32609224.657894541</v>
      </c>
      <c r="O98" s="187">
        <f t="shared" ca="1" si="32"/>
        <v>-194369286.50067836</v>
      </c>
      <c r="P98" s="187">
        <f t="shared" ca="1" si="33"/>
        <v>-19658734.208402019</v>
      </c>
      <c r="Q98" s="187">
        <f t="shared" ca="1" si="10"/>
        <v>0</v>
      </c>
      <c r="R98" s="187">
        <f t="shared" ca="1" si="34"/>
        <v>-26200476.452308819</v>
      </c>
      <c r="S98" s="187">
        <f ca="1">IF(B98="","",IF($B$31=0,"",-'Debt Financing Calculations'!E47))</f>
        <v>-6362796.3637190564</v>
      </c>
      <c r="T98" s="187">
        <f t="shared" ca="1" si="35"/>
        <v>32192656.317711473</v>
      </c>
      <c r="U98" s="187">
        <f ca="1">IF(C98="","",IF(C98&lt;-1,0,IF(C98=anal_period,-LOOKUP(C98,depr_yr,depr_cost)-Depreciation!$C$141-Depreciation!$B$166,-LOOKUP(C98,depr_yr,depr_cost))))</f>
        <v>-2258508.4507430457</v>
      </c>
      <c r="V98" s="187">
        <f t="shared" ca="1" si="36"/>
        <v>29934147.866968427</v>
      </c>
      <c r="W98" s="188">
        <f t="shared" si="37"/>
        <v>0.25739999999999996</v>
      </c>
      <c r="X98" s="187">
        <f t="shared" ca="1" si="38"/>
        <v>-7705049.6609576717</v>
      </c>
      <c r="Y98" s="187">
        <f t="shared" ca="1" si="39"/>
        <v>24487606.656753801</v>
      </c>
      <c r="Z98" s="187">
        <f>IF(C98="","",IF($B$31=0,"",-'Debt Financing Calculations'!F47))</f>
        <v>0</v>
      </c>
      <c r="AA98" s="187">
        <f t="shared" ca="1" si="40"/>
        <v>20982091.876866892</v>
      </c>
      <c r="AB98" s="187">
        <f t="shared" ca="1" si="23"/>
        <v>464353780.55407447</v>
      </c>
      <c r="AC98" s="1156">
        <f t="shared" ca="1" si="41"/>
        <v>28687141.537824564</v>
      </c>
      <c r="AD98" s="134"/>
      <c r="AE98" s="1160">
        <f t="shared" ca="1" si="42"/>
        <v>50838024.193548374</v>
      </c>
      <c r="AF98" s="1156">
        <f t="shared" si="43"/>
        <v>0</v>
      </c>
    </row>
    <row r="99" spans="1:32" x14ac:dyDescent="0.25">
      <c r="A99" s="58">
        <f t="shared" si="21"/>
        <v>2071</v>
      </c>
      <c r="B99" s="185">
        <f>IF(MAX($B$65:B98)&lt;(construct+anal_period),B98+1,"")</f>
        <v>35</v>
      </c>
      <c r="C99" s="185">
        <f t="shared" si="22"/>
        <v>32</v>
      </c>
      <c r="D99" s="185">
        <f t="shared" si="25"/>
        <v>32</v>
      </c>
      <c r="E99" s="186">
        <f t="shared" si="26"/>
        <v>1.7922546019794507</v>
      </c>
      <c r="F99" s="59">
        <f t="shared" ca="1" si="27"/>
        <v>317309644.81622779</v>
      </c>
      <c r="G99" s="1169"/>
      <c r="H99" s="1178">
        <f t="shared" si="24"/>
        <v>0</v>
      </c>
      <c r="I99" s="187">
        <f ca="1">IF(OR(C99&lt;0,C99=""),"",-E99*INDEX('Replacement Costs'!$A$16:$H$57,MATCH(C99,'Replacement Costs'!$C$16:$C$57,0),MATCH("Total Yearly Replacement Costs",'Replacement Costs'!$A$16:$H$16,0)))</f>
        <v>-2717611.1161558176</v>
      </c>
      <c r="J99" s="187">
        <f ca="1">IF(AND(C99&gt;=1,C99&lt;anal_period),WorkingCap*SUM(N99:R99)-WorkingCap*SUM(N98:R98),IF(C99&lt;0,0,IF(B99="","",-SUM(J$65:J98))))</f>
        <v>-852338.98971465975</v>
      </c>
      <c r="K99" s="187" t="str">
        <f t="shared" si="28"/>
        <v/>
      </c>
      <c r="L99" s="187" t="str">
        <f t="shared" si="29"/>
        <v/>
      </c>
      <c r="M99" s="187" t="str">
        <f t="shared" si="30"/>
        <v/>
      </c>
      <c r="N99" s="187">
        <f t="shared" ca="1" si="31"/>
        <v>-33228799.926394533</v>
      </c>
      <c r="O99" s="187">
        <f t="shared" ca="1" si="32"/>
        <v>-198538366.80098549</v>
      </c>
      <c r="P99" s="187">
        <f t="shared" ca="1" si="33"/>
        <v>-20032250.158361655</v>
      </c>
      <c r="Q99" s="187">
        <f t="shared" ca="1" si="10"/>
        <v>0</v>
      </c>
      <c r="R99" s="187">
        <f t="shared" ca="1" si="34"/>
        <v>-26720564.864973146</v>
      </c>
      <c r="S99" s="187">
        <f ca="1">IF(B99="","",IF($B$31=0,"",-'Debt Financing Calculations'!E48))</f>
        <v>-6362796.3637190564</v>
      </c>
      <c r="T99" s="187">
        <f t="shared" ca="1" si="35"/>
        <v>32426866.701793969</v>
      </c>
      <c r="U99" s="187">
        <f ca="1">IF(C99="","",IF(C99&lt;-1,0,IF(C99=anal_period,-LOOKUP(C99,depr_yr,depr_cost)-Depreciation!$C$141-Depreciation!$B$166,-LOOKUP(C99,depr_yr,depr_cost))))</f>
        <v>-2301420.1113071637</v>
      </c>
      <c r="V99" s="187">
        <f t="shared" ca="1" si="36"/>
        <v>30125446.590486806</v>
      </c>
      <c r="W99" s="188">
        <f t="shared" si="37"/>
        <v>0.25739999999999996</v>
      </c>
      <c r="X99" s="187">
        <f t="shared" ca="1" si="38"/>
        <v>-7754289.9523913031</v>
      </c>
      <c r="Y99" s="187">
        <f t="shared" ca="1" si="39"/>
        <v>24672576.749402665</v>
      </c>
      <c r="Z99" s="187">
        <f>IF(C99="","",IF($B$31=0,"",-'Debt Financing Calculations'!F48))</f>
        <v>0</v>
      </c>
      <c r="AA99" s="187">
        <f t="shared" ca="1" si="40"/>
        <v>21102626.643532187</v>
      </c>
      <c r="AB99" s="187">
        <f t="shared" ca="1" si="23"/>
        <v>485456407.19760668</v>
      </c>
      <c r="AC99" s="1156">
        <f t="shared" ca="1" si="41"/>
        <v>28856916.595923491</v>
      </c>
      <c r="AD99" s="134"/>
      <c r="AE99" s="1160">
        <f t="shared" ca="1" si="42"/>
        <v>50838024.193548374</v>
      </c>
      <c r="AF99" s="1156">
        <f t="shared" si="43"/>
        <v>0</v>
      </c>
    </row>
    <row r="100" spans="1:32" x14ac:dyDescent="0.25">
      <c r="A100" s="58">
        <f t="shared" si="21"/>
        <v>2072</v>
      </c>
      <c r="B100" s="185">
        <f>IF(MAX($B$65:B99)&lt;(construct+anal_period),B99+1,"")</f>
        <v>36</v>
      </c>
      <c r="C100" s="185">
        <f t="shared" si="22"/>
        <v>33</v>
      </c>
      <c r="D100" s="185">
        <f t="shared" si="25"/>
        <v>33</v>
      </c>
      <c r="E100" s="186">
        <f t="shared" si="26"/>
        <v>1.8263074394170602</v>
      </c>
      <c r="F100" s="59">
        <f t="shared" ca="1" si="27"/>
        <v>323338528.06773609</v>
      </c>
      <c r="G100" s="1169"/>
      <c r="H100" s="1178">
        <f t="shared" si="24"/>
        <v>0</v>
      </c>
      <c r="I100" s="187">
        <f ca="1">IF(OR(C100&lt;0,C100=""),"",-E100*INDEX('Replacement Costs'!$A$16:$H$57,MATCH(C100,'Replacement Costs'!$C$16:$C$57,0),MATCH("Total Yearly Replacement Costs",'Replacement Costs'!$A$16:$H$16,0)))</f>
        <v>-2769245.727362778</v>
      </c>
      <c r="J100" s="187">
        <f ca="1">IF(AND(C100&gt;=1,C100&lt;anal_period),WorkingCap*SUM(N100:R100)-WorkingCap*SUM(N99:R99),IF(C100&lt;0,0,IF(B100="","",-SUM(J$65:J99))))</f>
        <v>-870138.39465785772</v>
      </c>
      <c r="K100" s="187" t="str">
        <f t="shared" si="28"/>
        <v/>
      </c>
      <c r="L100" s="187" t="str">
        <f t="shared" si="29"/>
        <v/>
      </c>
      <c r="M100" s="187" t="str">
        <f t="shared" si="30"/>
        <v/>
      </c>
      <c r="N100" s="187">
        <f t="shared" ca="1" si="31"/>
        <v>-33860147.124996029</v>
      </c>
      <c r="O100" s="187">
        <f t="shared" ca="1" si="32"/>
        <v>-202796870.85163578</v>
      </c>
      <c r="P100" s="187">
        <f t="shared" ca="1" si="33"/>
        <v>-20412862.911370527</v>
      </c>
      <c r="Q100" s="187">
        <f t="shared" ca="1" si="10"/>
        <v>0</v>
      </c>
      <c r="R100" s="187">
        <f t="shared" ca="1" si="34"/>
        <v>-27251023.493764814</v>
      </c>
      <c r="S100" s="187">
        <f ca="1">IF(B100="","",IF($B$31=0,"",-'Debt Financing Calculations'!E49))</f>
        <v>-6362796.3637190564</v>
      </c>
      <c r="T100" s="187">
        <f t="shared" ca="1" si="35"/>
        <v>32654827.322249889</v>
      </c>
      <c r="U100" s="187">
        <f ca="1">IF(C100="","",IF(C100&lt;-1,0,IF(C100=anal_period,-LOOKUP(C100,depr_yr,depr_cost)-Depreciation!$C$141-Depreciation!$B$166,-LOOKUP(C100,depr_yr,depr_cost))))</f>
        <v>-2345147.0934219998</v>
      </c>
      <c r="V100" s="187">
        <f t="shared" ca="1" si="36"/>
        <v>30309680.22882789</v>
      </c>
      <c r="W100" s="188">
        <f t="shared" si="37"/>
        <v>0.25739999999999996</v>
      </c>
      <c r="X100" s="187">
        <f t="shared" ca="1" si="38"/>
        <v>-7801711.6909002978</v>
      </c>
      <c r="Y100" s="187">
        <f t="shared" ca="1" si="39"/>
        <v>24853115.631349593</v>
      </c>
      <c r="Z100" s="187">
        <f>IF(C100="","",IF($B$31=0,"",-'Debt Financing Calculations'!F49))</f>
        <v>0</v>
      </c>
      <c r="AA100" s="187">
        <f t="shared" ca="1" si="40"/>
        <v>21213731.509328954</v>
      </c>
      <c r="AB100" s="187">
        <f t="shared" ca="1" si="23"/>
        <v>506670138.70693564</v>
      </c>
      <c r="AC100" s="1156">
        <f t="shared" ca="1" si="41"/>
        <v>29015443.200229254</v>
      </c>
      <c r="AD100" s="134"/>
      <c r="AE100" s="1160">
        <f t="shared" ca="1" si="42"/>
        <v>50838024.193548374</v>
      </c>
      <c r="AF100" s="1156">
        <f t="shared" si="43"/>
        <v>0</v>
      </c>
    </row>
    <row r="101" spans="1:32" x14ac:dyDescent="0.25">
      <c r="A101" s="58">
        <f t="shared" si="21"/>
        <v>2073</v>
      </c>
      <c r="B101" s="185">
        <f>IF(MAX($B$65:B100)&lt;(construct+anal_period),B100+1,"")</f>
        <v>37</v>
      </c>
      <c r="C101" s="185">
        <f t="shared" si="22"/>
        <v>34</v>
      </c>
      <c r="D101" s="185">
        <f t="shared" si="25"/>
        <v>34</v>
      </c>
      <c r="E101" s="186">
        <f t="shared" si="26"/>
        <v>1.8610072807659841</v>
      </c>
      <c r="F101" s="59">
        <f t="shared" ca="1" si="27"/>
        <v>329481960.10102302</v>
      </c>
      <c r="G101" s="1169"/>
      <c r="H101" s="1178">
        <f t="shared" si="24"/>
        <v>0</v>
      </c>
      <c r="I101" s="187">
        <f ca="1">IF(OR(C101&lt;0,C101=""),"",-E101*INDEX('Replacement Costs'!$A$16:$H$57,MATCH(C101,'Replacement Costs'!$C$16:$C$57,0),MATCH("Total Yearly Replacement Costs",'Replacement Costs'!$A$16:$H$16,0)))</f>
        <v>-2821861.3961826703</v>
      </c>
      <c r="J101" s="187">
        <f ca="1">IF(AND(C101&gt;=1,C101&lt;anal_period),WorkingCap*SUM(N101:R101)-WorkingCap*SUM(N100:R100),IF(C101&lt;0,0,IF(B101="","",-SUM(J$65:J100))))</f>
        <v>-888310.45266446471</v>
      </c>
      <c r="K101" s="187" t="str">
        <f t="shared" si="28"/>
        <v/>
      </c>
      <c r="L101" s="187" t="str">
        <f t="shared" si="29"/>
        <v/>
      </c>
      <c r="M101" s="187" t="str">
        <f t="shared" si="30"/>
        <v/>
      </c>
      <c r="N101" s="187">
        <f t="shared" ca="1" si="31"/>
        <v>-34503489.920370951</v>
      </c>
      <c r="O101" s="187">
        <f t="shared" ca="1" si="32"/>
        <v>-207146716.72725224</v>
      </c>
      <c r="P101" s="187">
        <f t="shared" ca="1" si="33"/>
        <v>-20800707.306686562</v>
      </c>
      <c r="Q101" s="187">
        <f t="shared" ca="1" si="10"/>
        <v>0</v>
      </c>
      <c r="R101" s="187">
        <f t="shared" ca="1" si="34"/>
        <v>-27792060.111887209</v>
      </c>
      <c r="S101" s="187">
        <f ca="1">IF(B101="","",IF($B$31=0,"",-'Debt Financing Calculations'!E50))</f>
        <v>-6362796.3637190564</v>
      </c>
      <c r="T101" s="187">
        <f t="shared" ca="1" si="35"/>
        <v>32876189.671107054</v>
      </c>
      <c r="U101" s="187">
        <f ca="1">IF(C101="","",IF(C101&lt;-1,0,IF(C101=anal_period,-LOOKUP(C101,depr_yr,depr_cost)-Depreciation!$C$141-Depreciation!$B$166,-LOOKUP(C101,depr_yr,depr_cost))))</f>
        <v>-2389704.8881970174</v>
      </c>
      <c r="V101" s="187">
        <f t="shared" ca="1" si="36"/>
        <v>30486484.782910038</v>
      </c>
      <c r="W101" s="188">
        <f t="shared" si="37"/>
        <v>0.25739999999999996</v>
      </c>
      <c r="X101" s="187">
        <f t="shared" ca="1" si="38"/>
        <v>-7847221.1831210423</v>
      </c>
      <c r="Y101" s="187">
        <f t="shared" ca="1" si="39"/>
        <v>25028968.487986013</v>
      </c>
      <c r="Z101" s="187">
        <f>IF(C101="","",IF($B$31=0,"",-'Debt Financing Calculations'!F50))</f>
        <v>0</v>
      </c>
      <c r="AA101" s="187">
        <f t="shared" ca="1" si="40"/>
        <v>21318796.639138877</v>
      </c>
      <c r="AB101" s="187">
        <f t="shared" ca="1" si="23"/>
        <v>527988935.34607452</v>
      </c>
      <c r="AC101" s="1156">
        <f t="shared" ca="1" si="41"/>
        <v>29166017.822259918</v>
      </c>
      <c r="AD101" s="134"/>
      <c r="AE101" s="1160">
        <f t="shared" ca="1" si="42"/>
        <v>50838024.193548374</v>
      </c>
      <c r="AF101" s="1156">
        <f t="shared" si="43"/>
        <v>0</v>
      </c>
    </row>
    <row r="102" spans="1:32" x14ac:dyDescent="0.25">
      <c r="A102" s="58">
        <f t="shared" si="21"/>
        <v>2074</v>
      </c>
      <c r="B102" s="185">
        <f>IF(MAX($B$65:B101)&lt;(construct+anal_period),B101+1,"")</f>
        <v>38</v>
      </c>
      <c r="C102" s="185">
        <f t="shared" si="22"/>
        <v>35</v>
      </c>
      <c r="D102" s="185">
        <f t="shared" si="25"/>
        <v>35</v>
      </c>
      <c r="E102" s="186">
        <f t="shared" si="26"/>
        <v>1.8963664191005378</v>
      </c>
      <c r="F102" s="59">
        <f t="shared" ca="1" si="27"/>
        <v>335742117.34294248</v>
      </c>
      <c r="G102" s="1169"/>
      <c r="H102" s="1178">
        <f t="shared" si="24"/>
        <v>0</v>
      </c>
      <c r="I102" s="187">
        <f ca="1">IF(OR(C102&lt;0,C102=""),"",-E102*INDEX('Replacement Costs'!$A$16:$H$57,MATCH(C102,'Replacement Costs'!$C$16:$C$57,0),MATCH("Total Yearly Replacement Costs",'Replacement Costs'!$A$16:$H$16,0)))</f>
        <v>-2875476.762710141</v>
      </c>
      <c r="J102" s="187">
        <f ca="1">IF(AND(C102&gt;=1,C102&lt;anal_period),WorkingCap*SUM(N102:R102)-WorkingCap*SUM(N101:R101),IF(C102&lt;0,0,IF(B102="","",-SUM(J$65:J101))))</f>
        <v>-906862.98431557417</v>
      </c>
      <c r="K102" s="187" t="str">
        <f t="shared" si="28"/>
        <v/>
      </c>
      <c r="L102" s="187" t="str">
        <f t="shared" si="29"/>
        <v/>
      </c>
      <c r="M102" s="187" t="str">
        <f t="shared" si="30"/>
        <v/>
      </c>
      <c r="N102" s="187">
        <f t="shared" ca="1" si="31"/>
        <v>-35159056.228857994</v>
      </c>
      <c r="O102" s="187">
        <f t="shared" ca="1" si="32"/>
        <v>-211589863.64376816</v>
      </c>
      <c r="P102" s="187">
        <f t="shared" ca="1" si="33"/>
        <v>-21195920.745513607</v>
      </c>
      <c r="Q102" s="187">
        <f t="shared" ca="1" si="10"/>
        <v>0</v>
      </c>
      <c r="R102" s="187">
        <f t="shared" ca="1" si="34"/>
        <v>-28343886.67682761</v>
      </c>
      <c r="S102" s="187">
        <f ca="1">IF(B102="","",IF($B$31=0,"",-'Debt Financing Calculations'!E51))</f>
        <v>-6362796.3637190564</v>
      </c>
      <c r="T102" s="187">
        <f t="shared" ca="1" si="35"/>
        <v>33090593.684256017</v>
      </c>
      <c r="U102" s="187">
        <f ca="1">IF(C102="","",IF(C102&lt;-1,0,IF(C102=anal_period,-LOOKUP(C102,depr_yr,depr_cost)-Depreciation!$C$141-Depreciation!$B$166,-LOOKUP(C102,depr_yr,depr_cost))))</f>
        <v>-2435109.2810727605</v>
      </c>
      <c r="V102" s="187">
        <f t="shared" ca="1" si="36"/>
        <v>30655484.403183255</v>
      </c>
      <c r="W102" s="188">
        <f t="shared" si="37"/>
        <v>0.25739999999999996</v>
      </c>
      <c r="X102" s="187">
        <f t="shared" ca="1" si="38"/>
        <v>-7890721.6853793692</v>
      </c>
      <c r="Y102" s="187">
        <f t="shared" ca="1" si="39"/>
        <v>25199871.998876646</v>
      </c>
      <c r="Z102" s="187">
        <f>IF(C102="","",IF($B$31=0,"",-'Debt Financing Calculations'!F51))</f>
        <v>0</v>
      </c>
      <c r="AA102" s="187">
        <f t="shared" ca="1" si="40"/>
        <v>21417532.251850933</v>
      </c>
      <c r="AB102" s="187">
        <f t="shared" ca="1" si="23"/>
        <v>549406467.59792542</v>
      </c>
      <c r="AC102" s="1156">
        <f t="shared" ca="1" si="41"/>
        <v>29308253.937230304</v>
      </c>
      <c r="AD102" s="134"/>
      <c r="AE102" s="1160">
        <f t="shared" ca="1" si="42"/>
        <v>50838024.193548374</v>
      </c>
      <c r="AF102" s="1156">
        <f t="shared" si="43"/>
        <v>0</v>
      </c>
    </row>
    <row r="103" spans="1:32" x14ac:dyDescent="0.25">
      <c r="A103" s="58">
        <f t="shared" si="21"/>
        <v>2075</v>
      </c>
      <c r="B103" s="185">
        <f>IF(MAX($B$65:B102)&lt;(construct+anal_period),B102+1,"")</f>
        <v>39</v>
      </c>
      <c r="C103" s="185">
        <f t="shared" si="22"/>
        <v>36</v>
      </c>
      <c r="D103" s="185">
        <f t="shared" si="25"/>
        <v>36</v>
      </c>
      <c r="E103" s="186">
        <f t="shared" si="26"/>
        <v>1.932397381063448</v>
      </c>
      <c r="F103" s="59">
        <f t="shared" ca="1" si="27"/>
        <v>342121217.57245839</v>
      </c>
      <c r="G103" s="1169"/>
      <c r="H103" s="1178">
        <f t="shared" si="24"/>
        <v>0</v>
      </c>
      <c r="I103" s="187">
        <f ca="1">IF(OR(C103&lt;0,C103=""),"",-E103*INDEX('Replacement Costs'!$A$16:$H$57,MATCH(C103,'Replacement Costs'!$C$16:$C$57,0),MATCH("Total Yearly Replacement Costs",'Replacement Costs'!$A$16:$H$16,0)))</f>
        <v>-2930110.8212016337</v>
      </c>
      <c r="J103" s="187">
        <f ca="1">IF(AND(C103&gt;=1,C103&lt;anal_period),WorkingCap*SUM(N103:R103)-WorkingCap*SUM(N102:R102),IF(C103&lt;0,0,IF(B103="","",-SUM(J$65:J102))))</f>
        <v>-925803.97468154877</v>
      </c>
      <c r="K103" s="187" t="str">
        <f t="shared" si="28"/>
        <v/>
      </c>
      <c r="L103" s="187" t="str">
        <f t="shared" si="29"/>
        <v/>
      </c>
      <c r="M103" s="187" t="str">
        <f t="shared" si="30"/>
        <v/>
      </c>
      <c r="N103" s="187">
        <f t="shared" ca="1" si="31"/>
        <v>-35827078.297206298</v>
      </c>
      <c r="O103" s="187">
        <f t="shared" ca="1" si="32"/>
        <v>-216128312.84087855</v>
      </c>
      <c r="P103" s="187">
        <f t="shared" ca="1" si="33"/>
        <v>-21598643.239678364</v>
      </c>
      <c r="Q103" s="187">
        <f t="shared" ca="1" si="10"/>
        <v>0</v>
      </c>
      <c r="R103" s="187">
        <f t="shared" ca="1" si="34"/>
        <v>-28906719.415081233</v>
      </c>
      <c r="S103" s="187">
        <f ca="1">IF(B103="","",IF($B$31=0,"",-'Debt Financing Calculations'!E52))</f>
        <v>-6362796.3637190564</v>
      </c>
      <c r="T103" s="187">
        <f t="shared" ca="1" si="35"/>
        <v>33297667.415894926</v>
      </c>
      <c r="U103" s="187">
        <f ca="1">IF(C103="","",IF(C103&lt;-1,0,IF(C103=anal_period,-LOOKUP(C103,depr_yr,depr_cost)-Depreciation!$C$141-Depreciation!$B$166,-LOOKUP(C103,depr_yr,depr_cost))))</f>
        <v>-2481376.3574131429</v>
      </c>
      <c r="V103" s="187">
        <f t="shared" ca="1" si="36"/>
        <v>30816291.058481783</v>
      </c>
      <c r="W103" s="188">
        <f t="shared" si="37"/>
        <v>0.25739999999999996</v>
      </c>
      <c r="X103" s="187">
        <f t="shared" ca="1" si="38"/>
        <v>-7932113.3184532095</v>
      </c>
      <c r="Y103" s="187">
        <f t="shared" ca="1" si="39"/>
        <v>25365554.097441718</v>
      </c>
      <c r="Z103" s="187">
        <f>IF(C103="","",IF($B$31=0,"",-'Debt Financing Calculations'!F52))</f>
        <v>0</v>
      </c>
      <c r="AA103" s="187">
        <f t="shared" ca="1" si="40"/>
        <v>21509639.301558532</v>
      </c>
      <c r="AB103" s="187">
        <f t="shared" ca="1" si="23"/>
        <v>570916106.89948392</v>
      </c>
      <c r="AC103" s="1156">
        <f t="shared" ca="1" si="41"/>
        <v>29441752.620011743</v>
      </c>
      <c r="AD103" s="134"/>
      <c r="AE103" s="1160">
        <f t="shared" ca="1" si="42"/>
        <v>50838024.193548374</v>
      </c>
      <c r="AF103" s="1156">
        <f t="shared" si="43"/>
        <v>0</v>
      </c>
    </row>
    <row r="104" spans="1:32" x14ac:dyDescent="0.25">
      <c r="A104" s="58">
        <f t="shared" si="21"/>
        <v>2076</v>
      </c>
      <c r="B104" s="185">
        <f>IF(MAX($B$65:B103)&lt;(construct+anal_period),B103+1,"")</f>
        <v>40</v>
      </c>
      <c r="C104" s="185">
        <f t="shared" si="22"/>
        <v>37</v>
      </c>
      <c r="D104" s="185">
        <f t="shared" si="25"/>
        <v>37</v>
      </c>
      <c r="E104" s="186">
        <f t="shared" si="26"/>
        <v>1.9691129313036535</v>
      </c>
      <c r="F104" s="59">
        <f t="shared" ca="1" si="27"/>
        <v>348621520.70633507</v>
      </c>
      <c r="G104" s="1169"/>
      <c r="H104" s="1178">
        <f t="shared" si="24"/>
        <v>0</v>
      </c>
      <c r="I104" s="187">
        <f ca="1">IF(OR(C104&lt;0,C104=""),"",-E104*INDEX('Replacement Costs'!$A$16:$H$57,MATCH(C104,'Replacement Costs'!$C$16:$C$57,0),MATCH("Total Yearly Replacement Costs",'Replacement Costs'!$A$16:$H$16,0)))</f>
        <v>-2985782.9268044648</v>
      </c>
      <c r="J104" s="187">
        <f ca="1">IF(AND(C104&gt;=1,C104&lt;anal_period),WorkingCap*SUM(N104:R104)-WorkingCap*SUM(N103:R103),IF(C104&lt;0,0,IF(B104="","",-SUM(J$65:J103))))</f>
        <v>-933193.5844098404</v>
      </c>
      <c r="K104" s="187" t="str">
        <f t="shared" si="28"/>
        <v/>
      </c>
      <c r="L104" s="187" t="str">
        <f t="shared" si="29"/>
        <v/>
      </c>
      <c r="M104" s="187" t="str">
        <f t="shared" si="30"/>
        <v/>
      </c>
      <c r="N104" s="187">
        <f t="shared" ca="1" si="31"/>
        <v>-36507792.78485322</v>
      </c>
      <c r="O104" s="187">
        <f t="shared" ca="1" si="32"/>
        <v>-220697021.27897215</v>
      </c>
      <c r="P104" s="187">
        <f t="shared" ca="1" si="33"/>
        <v>-22009017.461232256</v>
      </c>
      <c r="Q104" s="187">
        <f t="shared" ca="1" si="10"/>
        <v>0</v>
      </c>
      <c r="R104" s="187">
        <f t="shared" ca="1" si="34"/>
        <v>-29468212.830519073</v>
      </c>
      <c r="S104" s="187">
        <f ca="1">IF(B104="","",IF($B$31=0,"",-'Debt Financing Calculations'!E53))</f>
        <v>-6362796.3637190564</v>
      </c>
      <c r="T104" s="187">
        <f t="shared" ca="1" si="35"/>
        <v>33576679.987039328</v>
      </c>
      <c r="U104" s="187">
        <f ca="1">IF(C104="","",IF(C104&lt;-1,0,IF(C104=anal_period,-LOOKUP(C104,depr_yr,depr_cost)-Depreciation!$C$141-Depreciation!$B$166,-LOOKUP(C104,depr_yr,depr_cost))))</f>
        <v>-2528522.5082039922</v>
      </c>
      <c r="V104" s="187">
        <f t="shared" ca="1" si="36"/>
        <v>31048157.478835337</v>
      </c>
      <c r="W104" s="188">
        <f t="shared" si="37"/>
        <v>0.25739999999999996</v>
      </c>
      <c r="X104" s="187">
        <f t="shared" ca="1" si="38"/>
        <v>-7991795.7350522149</v>
      </c>
      <c r="Y104" s="187">
        <f t="shared" ca="1" si="39"/>
        <v>25584884.251987115</v>
      </c>
      <c r="Z104" s="187">
        <f>IF(C104="","",IF($B$31=0,"",-'Debt Financing Calculations'!F53))</f>
        <v>0</v>
      </c>
      <c r="AA104" s="187">
        <f t="shared" ca="1" si="40"/>
        <v>21665907.740772806</v>
      </c>
      <c r="AB104" s="187">
        <f t="shared" ca="1" si="23"/>
        <v>592582014.64025676</v>
      </c>
      <c r="AC104" s="1156">
        <f t="shared" ca="1" si="41"/>
        <v>29657703.475825023</v>
      </c>
      <c r="AD104" s="134"/>
      <c r="AE104" s="1160">
        <f t="shared" ca="1" si="42"/>
        <v>50838024.193548374</v>
      </c>
      <c r="AF104" s="1156">
        <f t="shared" si="43"/>
        <v>0</v>
      </c>
    </row>
    <row r="105" spans="1:32" x14ac:dyDescent="0.25">
      <c r="A105" s="58">
        <f t="shared" si="21"/>
        <v>2077</v>
      </c>
      <c r="B105" s="185">
        <f>IF(MAX($B$65:B104)&lt;(construct+anal_period),B104+1,"")</f>
        <v>41</v>
      </c>
      <c r="C105" s="185">
        <f t="shared" si="22"/>
        <v>38</v>
      </c>
      <c r="D105" s="185">
        <f t="shared" si="25"/>
        <v>38</v>
      </c>
      <c r="E105" s="186">
        <f t="shared" si="26"/>
        <v>2.0065260769984223</v>
      </c>
      <c r="F105" s="59">
        <f t="shared" ca="1" si="27"/>
        <v>355245329.59975535</v>
      </c>
      <c r="G105" s="1169"/>
      <c r="H105" s="1178">
        <f t="shared" si="24"/>
        <v>0</v>
      </c>
      <c r="I105" s="187">
        <f ca="1">IF(OR(C105&lt;0,C105=""),"",-E105*INDEX('Replacement Costs'!$A$16:$H$57,MATCH(C105,'Replacement Costs'!$C$16:$C$57,0),MATCH("Total Yearly Replacement Costs",'Replacement Costs'!$A$16:$H$16,0)))</f>
        <v>-3042512.8024137486</v>
      </c>
      <c r="J105" s="187">
        <f ca="1">IF(AND(C105&gt;=1,C105&lt;anal_period),WorkingCap*SUM(N105:R105)-WorkingCap*SUM(N104:R104),IF(C105&lt;0,0,IF(B105="","",-SUM(J$65:J104))))</f>
        <v>-952429.46891474724</v>
      </c>
      <c r="K105" s="187" t="str">
        <f t="shared" si="28"/>
        <v/>
      </c>
      <c r="L105" s="187" t="str">
        <f t="shared" si="29"/>
        <v/>
      </c>
      <c r="M105" s="187" t="str">
        <f t="shared" si="30"/>
        <v/>
      </c>
      <c r="N105" s="187">
        <f t="shared" ca="1" si="31"/>
        <v>-37201440.847765416</v>
      </c>
      <c r="O105" s="187">
        <f t="shared" ca="1" si="32"/>
        <v>-225362307.05354664</v>
      </c>
      <c r="P105" s="187">
        <f t="shared" ca="1" si="33"/>
        <v>-22427188.792995661</v>
      </c>
      <c r="Q105" s="187">
        <f t="shared" ca="1" si="10"/>
        <v>0</v>
      </c>
      <c r="R105" s="187">
        <f t="shared" ca="1" si="34"/>
        <v>-30040637.454033945</v>
      </c>
      <c r="S105" s="187">
        <f ca="1">IF(B105="","",IF($B$31=0,"",-'Debt Financing Calculations'!E54))</f>
        <v>-6362796.3637190564</v>
      </c>
      <c r="T105" s="187">
        <f t="shared" ca="1" si="35"/>
        <v>33850959.087694645</v>
      </c>
      <c r="U105" s="187">
        <f ca="1">IF(C105="","",IF(C105&lt;-1,0,IF(C105=anal_period,-LOOKUP(C105,depr_yr,depr_cost)-Depreciation!$C$141-Depreciation!$B$166,-LOOKUP(C105,depr_yr,depr_cost))))</f>
        <v>-2576564.4358598678</v>
      </c>
      <c r="V105" s="187">
        <f t="shared" ca="1" si="36"/>
        <v>31274394.651834778</v>
      </c>
      <c r="W105" s="188">
        <f t="shared" si="37"/>
        <v>0.25739999999999996</v>
      </c>
      <c r="X105" s="187">
        <f t="shared" ca="1" si="38"/>
        <v>-8050029.1833822709</v>
      </c>
      <c r="Y105" s="187">
        <f t="shared" ca="1" si="39"/>
        <v>25800929.904312372</v>
      </c>
      <c r="Z105" s="187">
        <f>IF(C105="","",IF($B$31=0,"",-'Debt Financing Calculations'!F54))</f>
        <v>0</v>
      </c>
      <c r="AA105" s="187">
        <f t="shared" ca="1" si="40"/>
        <v>21805987.632983878</v>
      </c>
      <c r="AB105" s="187">
        <f t="shared" ca="1" si="23"/>
        <v>614388002.27324069</v>
      </c>
      <c r="AC105" s="1156">
        <f t="shared" ca="1" si="41"/>
        <v>29856016.816366151</v>
      </c>
      <c r="AD105" s="134"/>
      <c r="AE105" s="1160">
        <f t="shared" ca="1" si="42"/>
        <v>50838024.193548374</v>
      </c>
      <c r="AF105" s="1156">
        <f t="shared" si="43"/>
        <v>0</v>
      </c>
    </row>
    <row r="106" spans="1:32" x14ac:dyDescent="0.25">
      <c r="A106" s="58">
        <f t="shared" si="21"/>
        <v>2078</v>
      </c>
      <c r="B106" s="185">
        <f>IF(MAX($B$65:B105)&lt;(construct+anal_period),B105+1,"")</f>
        <v>42</v>
      </c>
      <c r="C106" s="185">
        <f t="shared" si="22"/>
        <v>39</v>
      </c>
      <c r="D106" s="185">
        <f t="shared" si="25"/>
        <v>39</v>
      </c>
      <c r="E106" s="186">
        <f t="shared" si="26"/>
        <v>2.0446500724613927</v>
      </c>
      <c r="F106" s="59">
        <f t="shared" ca="1" si="27"/>
        <v>361994990.86215079</v>
      </c>
      <c r="G106" s="1169"/>
      <c r="H106" s="1178">
        <f t="shared" si="24"/>
        <v>0</v>
      </c>
      <c r="I106" s="187">
        <f ca="1">IF(OR(C106&lt;0,C106=""),"",-E106*INDEX('Replacement Costs'!$A$16:$H$57,MATCH(C106,'Replacement Costs'!$C$16:$C$57,0),MATCH("Total Yearly Replacement Costs",'Replacement Costs'!$A$16:$H$16,0)))</f>
        <v>-3100320.5456596105</v>
      </c>
      <c r="J106" s="187">
        <f ca="1">IF(AND(C106&gt;=1,C106&lt;anal_period),WorkingCap*SUM(N106:R106)-WorkingCap*SUM(N105:R105),IF(C106&lt;0,0,IF(B106="","",-SUM(J$65:J105))))</f>
        <v>-972062.66380898654</v>
      </c>
      <c r="K106" s="187" t="str">
        <f t="shared" si="28"/>
        <v/>
      </c>
      <c r="L106" s="187" t="str">
        <f t="shared" si="29"/>
        <v/>
      </c>
      <c r="M106" s="187" t="str">
        <f t="shared" si="30"/>
        <v/>
      </c>
      <c r="N106" s="187">
        <f t="shared" ca="1" si="31"/>
        <v>-37908268.223872967</v>
      </c>
      <c r="O106" s="187">
        <f t="shared" ca="1" si="32"/>
        <v>-230126211.70042109</v>
      </c>
      <c r="P106" s="187">
        <f t="shared" ca="1" si="33"/>
        <v>-22853305.380062584</v>
      </c>
      <c r="Q106" s="187">
        <f t="shared" ca="1" si="10"/>
        <v>0</v>
      </c>
      <c r="R106" s="187">
        <f t="shared" ca="1" si="34"/>
        <v>-30624206.602711625</v>
      </c>
      <c r="S106" s="187">
        <f ca="1">IF(B106="","",IF($B$31=0,"",-'Debt Financing Calculations'!E55))</f>
        <v>-6362796.3637190564</v>
      </c>
      <c r="T106" s="187">
        <f ca="1">IF(C106="","",F106+SUM(L106:S106))</f>
        <v>34120202.59136349</v>
      </c>
      <c r="U106" s="187">
        <f ca="1">IF(C106="","",IF(C106&lt;-1,0,IF(C106=anal_period,-LOOKUP(C106,depr_yr,depr_cost)-Depreciation!$C$141-Depreciation!$B$166,-LOOKUP(C106,depr_yr,depr_cost))))</f>
        <v>-2625519.1601412063</v>
      </c>
      <c r="V106" s="187">
        <f t="shared" ca="1" si="36"/>
        <v>31494683.431222282</v>
      </c>
      <c r="W106" s="188">
        <f t="shared" si="37"/>
        <v>0.25739999999999996</v>
      </c>
      <c r="X106" s="187">
        <f t="shared" ca="1" si="38"/>
        <v>-8106731.515196614</v>
      </c>
      <c r="Y106" s="187">
        <f t="shared" ca="1" si="39"/>
        <v>26013471.076166876</v>
      </c>
      <c r="Z106" s="187">
        <f>IF(C106="","",IF($B$31=0,"",-'Debt Financing Calculations'!F55))</f>
        <v>0</v>
      </c>
      <c r="AA106" s="187">
        <f t="shared" ca="1" si="40"/>
        <v>21941087.86669828</v>
      </c>
      <c r="AB106" s="187">
        <f t="shared" ca="1" si="23"/>
        <v>636329090.13993895</v>
      </c>
      <c r="AC106" s="1156">
        <f ca="1">IF(C106="","",SUM(H106,I106,J106,K106,T106,Z106))</f>
        <v>30047819.381894894</v>
      </c>
      <c r="AD106" s="134"/>
      <c r="AE106" s="1160">
        <f t="shared" ca="1" si="42"/>
        <v>50838024.193548374</v>
      </c>
      <c r="AF106" s="1156">
        <f t="shared" si="43"/>
        <v>0</v>
      </c>
    </row>
    <row r="107" spans="1:32" x14ac:dyDescent="0.25">
      <c r="A107" s="58">
        <f t="shared" si="21"/>
        <v>2079</v>
      </c>
      <c r="B107" s="185">
        <f>IF(MAX($B$65:B106)&lt;(construct+anal_period),B106+1,"")</f>
        <v>43</v>
      </c>
      <c r="C107" s="185">
        <f t="shared" si="22"/>
        <v>40</v>
      </c>
      <c r="D107" s="185">
        <f t="shared" si="25"/>
        <v>40</v>
      </c>
      <c r="E107" s="186">
        <f t="shared" si="26"/>
        <v>2.0834984238381593</v>
      </c>
      <c r="F107" s="59">
        <f t="shared" ca="1" si="27"/>
        <v>368872895.68853164</v>
      </c>
      <c r="G107" s="1169"/>
      <c r="H107" s="1178">
        <f t="shared" si="24"/>
        <v>0</v>
      </c>
      <c r="I107" s="187">
        <f ca="1">IF(OR(C107&lt;0,C107=""),"",-E107*INDEX('Replacement Costs'!$A$16:$H$57,MATCH(C107,'Replacement Costs'!$C$16:$C$57,0),MATCH("Total Yearly Replacement Costs",'Replacement Costs'!$A$16:$H$16,0)))</f>
        <v>-3159226.6360271433</v>
      </c>
      <c r="J107" s="187">
        <f ca="1">IF(AND(C107&gt;=1,C107&lt;anal_period),WorkingCap*SUM(N107:R107)-WorkingCap*SUM(N106:R106),IF(C107&lt;0,0,IF(B107="","",-SUM(J$65:J106))))</f>
        <v>48226798.786060236</v>
      </c>
      <c r="K107" s="187" t="str">
        <f t="shared" si="28"/>
        <v/>
      </c>
      <c r="L107" s="187">
        <f t="shared" ca="1" si="29"/>
        <v>64085257.499964185</v>
      </c>
      <c r="M107" s="187">
        <f t="shared" ca="1" si="30"/>
        <v>-63184532.72054287</v>
      </c>
      <c r="N107" s="187">
        <f t="shared" ca="1" si="31"/>
        <v>-38628525.320126556</v>
      </c>
      <c r="O107" s="187">
        <f t="shared" ca="1" si="32"/>
        <v>-234990819.91117546</v>
      </c>
      <c r="P107" s="187">
        <f t="shared" ca="1" si="33"/>
        <v>-23287518.182283774</v>
      </c>
      <c r="Q107" s="187">
        <f t="shared" ca="1" si="10"/>
        <v>0</v>
      </c>
      <c r="R107" s="187">
        <f t="shared" ca="1" si="34"/>
        <v>-31219137.76686053</v>
      </c>
      <c r="S107" s="187">
        <f ca="1">IF(B107="","",IF($B$31=0,"",-'Debt Financing Calculations'!E56))</f>
        <v>-6362796.3637190564</v>
      </c>
      <c r="T107" s="187">
        <f t="shared" ca="1" si="35"/>
        <v>35284822.923787594</v>
      </c>
      <c r="U107" s="187">
        <f ca="1">IF(C107="","",IF(C107&lt;-1,0,IF(C107=anal_period,-LOOKUP(C107,depr_yr,depr_cost)-Depreciation!$C$141-Depreciation!$B$166,-LOOKUP(C107,depr_yr,depr_cost))))</f>
        <v>-28623574.627777424</v>
      </c>
      <c r="V107" s="187">
        <f t="shared" ca="1" si="36"/>
        <v>6661248.2960101701</v>
      </c>
      <c r="W107" s="188">
        <f t="shared" si="37"/>
        <v>0.25739999999999996</v>
      </c>
      <c r="X107" s="187">
        <f t="shared" ca="1" si="38"/>
        <v>-1714605.3113930176</v>
      </c>
      <c r="Y107" s="187">
        <f t="shared" ca="1" si="39"/>
        <v>33570217.612394579</v>
      </c>
      <c r="Z107" s="187">
        <f ca="1">IF(C107="","",IF($B$31=0,"",-'Debt Financing Calculations'!F56))</f>
        <v>-171967469.28970423</v>
      </c>
      <c r="AA107" s="187">
        <f t="shared" ca="1" si="40"/>
        <v>-93329679.527276576</v>
      </c>
      <c r="AB107" s="187">
        <f t="shared" ca="1" si="23"/>
        <v>542999410.61266232</v>
      </c>
      <c r="AC107" s="1156">
        <f t="shared" ca="1" si="41"/>
        <v>-91615074.215883553</v>
      </c>
      <c r="AD107" s="134"/>
      <c r="AE107" s="1160">
        <f t="shared" ca="1" si="42"/>
        <v>50838024.193548374</v>
      </c>
      <c r="AF107" s="1156">
        <f t="shared" si="43"/>
        <v>0</v>
      </c>
    </row>
    <row r="108" spans="1:32" x14ac:dyDescent="0.25">
      <c r="A108" s="58" t="str">
        <f t="shared" si="21"/>
        <v/>
      </c>
      <c r="B108" s="185" t="str">
        <f>IF(MAX($B$65:B107)&lt;(construct+anal_period),B107+1,"")</f>
        <v/>
      </c>
      <c r="C108" s="185" t="str">
        <f t="shared" si="22"/>
        <v/>
      </c>
      <c r="D108" s="185" t="str">
        <f t="shared" si="25"/>
        <v/>
      </c>
      <c r="E108" s="186" t="str">
        <f t="shared" si="26"/>
        <v/>
      </c>
      <c r="F108" s="59" t="str">
        <f t="shared" si="27"/>
        <v/>
      </c>
      <c r="G108" s="1169"/>
      <c r="H108" s="1178" t="str">
        <f t="shared" si="24"/>
        <v/>
      </c>
      <c r="I108" s="187" t="str">
        <f>IF(OR(C108&lt;0,C108=""),"",-E108*INDEX('Replacement Costs'!$A$16:$H$57,MATCH(C108,'Replacement Costs'!$C$16:$C$57,0),MATCH("Total Yearly Replacement Costs",'Replacement Costs'!$A$16:$H$16,0)))</f>
        <v/>
      </c>
      <c r="J108" s="187" t="str">
        <f>IF(AND(C108&gt;=1,C108&lt;anal_period),WorkingCap*SUM(N108:R108)-WorkingCap*SUM(N107:R107),IF(C108&lt;0,0,IF(B108="","",-SUM(J$65:J107))))</f>
        <v/>
      </c>
      <c r="K108" s="187" t="str">
        <f t="shared" si="28"/>
        <v/>
      </c>
      <c r="L108" s="187" t="str">
        <f t="shared" si="29"/>
        <v/>
      </c>
      <c r="M108" s="187" t="str">
        <f t="shared" si="30"/>
        <v/>
      </c>
      <c r="N108" s="187" t="str">
        <f t="shared" si="31"/>
        <v/>
      </c>
      <c r="O108" s="187" t="str">
        <f t="shared" si="32"/>
        <v/>
      </c>
      <c r="P108" s="187" t="str">
        <f t="shared" si="33"/>
        <v/>
      </c>
      <c r="Q108" s="187" t="str">
        <f t="shared" si="10"/>
        <v/>
      </c>
      <c r="R108" s="187" t="str">
        <f t="shared" si="34"/>
        <v/>
      </c>
      <c r="S108" s="187" t="str">
        <f>IF(B108="","",IF($B$31=0,"",-'Debt Financing Calculations'!E57))</f>
        <v/>
      </c>
      <c r="T108" s="187" t="str">
        <f t="shared" si="35"/>
        <v/>
      </c>
      <c r="U108" s="187" t="str">
        <f>IF(C108="","",IF(C108&lt;-1,0,IF(C108=anal_period,-LOOKUP(C108,depr_yr,depr_cost)-Depreciation!$C$141-Depreciation!$B$166,-LOOKUP(C108,depr_yr,depr_cost))))</f>
        <v/>
      </c>
      <c r="V108" s="187" t="str">
        <f t="shared" si="36"/>
        <v/>
      </c>
      <c r="W108" s="188" t="str">
        <f t="shared" si="37"/>
        <v/>
      </c>
      <c r="X108" s="187" t="str">
        <f t="shared" si="38"/>
        <v/>
      </c>
      <c r="Y108" s="187" t="str">
        <f t="shared" si="39"/>
        <v/>
      </c>
      <c r="Z108" s="187" t="str">
        <f>IF(C108="","",IF($B$31=0,"",-'Debt Financing Calculations'!F57))</f>
        <v/>
      </c>
      <c r="AA108" s="187" t="str">
        <f t="shared" si="40"/>
        <v/>
      </c>
      <c r="AB108" s="187" t="str">
        <f t="shared" si="23"/>
        <v/>
      </c>
      <c r="AC108" s="1156" t="str">
        <f t="shared" si="41"/>
        <v/>
      </c>
      <c r="AD108" s="134"/>
      <c r="AE108" s="1160" t="str">
        <f t="shared" si="42"/>
        <v/>
      </c>
      <c r="AF108" s="1156" t="str">
        <f t="shared" si="43"/>
        <v/>
      </c>
    </row>
    <row r="109" spans="1:32" x14ac:dyDescent="0.25">
      <c r="A109" s="58" t="str">
        <f t="shared" si="21"/>
        <v/>
      </c>
      <c r="B109" s="185" t="str">
        <f>IF(MAX($B$65:B108)&lt;(construct+anal_period),B108+1,"")</f>
        <v/>
      </c>
      <c r="C109" s="185" t="str">
        <f t="shared" si="22"/>
        <v/>
      </c>
      <c r="D109" s="185" t="str">
        <f t="shared" si="25"/>
        <v/>
      </c>
      <c r="E109" s="186" t="str">
        <f t="shared" si="26"/>
        <v/>
      </c>
      <c r="F109" s="59" t="str">
        <f t="shared" si="27"/>
        <v/>
      </c>
      <c r="G109" s="1169"/>
      <c r="H109" s="1178" t="str">
        <f t="shared" si="24"/>
        <v/>
      </c>
      <c r="I109" s="187" t="str">
        <f>IF(OR(C109&lt;0,C109=""),"",-E109*INDEX('Replacement Costs'!$A$16:$H$57,MATCH(C109,'Replacement Costs'!$C$16:$C$57,0),MATCH("Total Yearly Replacement Costs",'Replacement Costs'!$A$16:$H$16,0)))</f>
        <v/>
      </c>
      <c r="J109" s="187" t="str">
        <f>IF(AND(C109&gt;=1,C109&lt;anal_period),WorkingCap*SUM(N109:R109)-WorkingCap*SUM(N108:R108),IF(C109&lt;0,0,IF(B109="","",-SUM(J$65:J108))))</f>
        <v/>
      </c>
      <c r="K109" s="187" t="str">
        <f t="shared" si="28"/>
        <v/>
      </c>
      <c r="L109" s="187" t="str">
        <f t="shared" si="29"/>
        <v/>
      </c>
      <c r="M109" s="187" t="str">
        <f t="shared" si="30"/>
        <v/>
      </c>
      <c r="N109" s="187" t="str">
        <f t="shared" si="31"/>
        <v/>
      </c>
      <c r="O109" s="187" t="str">
        <f t="shared" si="32"/>
        <v/>
      </c>
      <c r="P109" s="187" t="str">
        <f t="shared" si="33"/>
        <v/>
      </c>
      <c r="Q109" s="187" t="str">
        <f t="shared" si="10"/>
        <v/>
      </c>
      <c r="R109" s="187" t="str">
        <f t="shared" si="34"/>
        <v/>
      </c>
      <c r="S109" s="187" t="str">
        <f>IF(B109="","",IF($B$31=0,"",-'Debt Financing Calculations'!E58))</f>
        <v/>
      </c>
      <c r="T109" s="187" t="str">
        <f t="shared" si="35"/>
        <v/>
      </c>
      <c r="U109" s="187" t="str">
        <f>IF(C109="","",IF(C109&lt;-1,0,IF(C109=anal_period,-LOOKUP(C109,depr_yr,depr_cost)-Depreciation!$C$141-Depreciation!$B$166,-LOOKUP(C109,depr_yr,depr_cost))))</f>
        <v/>
      </c>
      <c r="V109" s="187" t="str">
        <f t="shared" si="36"/>
        <v/>
      </c>
      <c r="W109" s="188" t="str">
        <f t="shared" si="37"/>
        <v/>
      </c>
      <c r="X109" s="187" t="str">
        <f t="shared" si="38"/>
        <v/>
      </c>
      <c r="Y109" s="187" t="str">
        <f t="shared" si="39"/>
        <v/>
      </c>
      <c r="Z109" s="187" t="str">
        <f>IF(C109="","",IF($B$31=0,"",-'Debt Financing Calculations'!F58))</f>
        <v/>
      </c>
      <c r="AA109" s="187" t="str">
        <f t="shared" si="40"/>
        <v/>
      </c>
      <c r="AB109" s="187" t="str">
        <f t="shared" si="23"/>
        <v/>
      </c>
      <c r="AC109" s="1156" t="str">
        <f t="shared" si="41"/>
        <v/>
      </c>
      <c r="AD109" s="134"/>
      <c r="AE109" s="1160" t="str">
        <f t="shared" si="42"/>
        <v/>
      </c>
      <c r="AF109" s="1156" t="str">
        <f t="shared" si="43"/>
        <v/>
      </c>
    </row>
    <row r="110" spans="1:32" x14ac:dyDescent="0.25">
      <c r="A110" s="58" t="str">
        <f t="shared" si="21"/>
        <v/>
      </c>
      <c r="B110" s="185" t="str">
        <f>IF(MAX($B$65:B109)&lt;(construct+anal_period),B109+1,"")</f>
        <v/>
      </c>
      <c r="C110" s="185" t="str">
        <f t="shared" si="22"/>
        <v/>
      </c>
      <c r="D110" s="185" t="str">
        <f t="shared" si="25"/>
        <v/>
      </c>
      <c r="E110" s="186" t="str">
        <f t="shared" si="26"/>
        <v/>
      </c>
      <c r="F110" s="59" t="str">
        <f t="shared" si="27"/>
        <v/>
      </c>
      <c r="G110" s="1169"/>
      <c r="H110" s="1178" t="str">
        <f t="shared" si="24"/>
        <v/>
      </c>
      <c r="I110" s="187" t="str">
        <f>IF(OR(C110&lt;0,C110=""),"",-E110*INDEX('Replacement Costs'!$A$16:$H$57,MATCH(C110,'Replacement Costs'!$C$16:$C$57,0),MATCH("Total Yearly Replacement Costs",'Replacement Costs'!$A$16:$H$16,0)))</f>
        <v/>
      </c>
      <c r="J110" s="187" t="str">
        <f>IF(AND(C110&gt;=1,C110&lt;anal_period),WorkingCap*SUM(N110:R110)-WorkingCap*SUM(N109:R109),IF(C110&lt;0,0,IF(B110="","",-SUM(J$65:J109))))</f>
        <v/>
      </c>
      <c r="K110" s="187" t="str">
        <f t="shared" si="28"/>
        <v/>
      </c>
      <c r="L110" s="187" t="str">
        <f t="shared" si="29"/>
        <v/>
      </c>
      <c r="M110" s="187" t="str">
        <f t="shared" si="30"/>
        <v/>
      </c>
      <c r="N110" s="187" t="str">
        <f t="shared" si="31"/>
        <v/>
      </c>
      <c r="O110" s="187" t="str">
        <f>IF(C110="","",IF(C110&lt;0,0,IF(AND(C110=1,start_time&lt;1),-(SUM(B185:E185)*output_kgyear*E110*percnt_var*start_time+SUM(B185:E185)*output_kgyear*E110*(1-start_time)),IF(C110&lt;=start_time,-SUM(B185:E185)*output_kgyear*E110*percnt_var,-SUM(B185:E185)*output_kgyear*E110))))</f>
        <v/>
      </c>
      <c r="P110" s="187" t="str">
        <f t="shared" si="33"/>
        <v/>
      </c>
      <c r="Q110" s="187" t="str">
        <f>IF(C110="","",IF(C110&lt;0,0,IF(AND(C110=1,start_time&lt;1),SUM(K185:N185,T185:V185)*output_kgyear*E110*percnt_revs*start_time+SUM(K185:N185,T185:V185)*output_kgyear*E110*(1-start_time),IF(C110&lt;=start_time,SUM(K185:N185,T185:V185)*output_kgyear*E110*percnt_revs,SUM(K185:N185,T185:V185)*output_kgyear*E110))))</f>
        <v/>
      </c>
      <c r="R110" s="187"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7" t="str">
        <f>IF(B110="","",IF($B$31=0,"",-'Debt Financing Calculations'!E59))</f>
        <v/>
      </c>
      <c r="T110" s="187" t="str">
        <f t="shared" si="35"/>
        <v/>
      </c>
      <c r="U110" s="187" t="str">
        <f>IF(C110="","",IF(C110&lt;-1,0,IF(C110=anal_period,-LOOKUP(C110,depr_yr,depr_cost)-Depreciation!$C$141-Depreciation!$B$166,-LOOKUP(C110,depr_yr,depr_cost))))</f>
        <v/>
      </c>
      <c r="V110" s="187" t="str">
        <f t="shared" si="36"/>
        <v/>
      </c>
      <c r="W110" s="188" t="str">
        <f t="shared" si="37"/>
        <v/>
      </c>
      <c r="X110" s="187" t="str">
        <f t="shared" si="38"/>
        <v/>
      </c>
      <c r="Y110" s="187" t="str">
        <f t="shared" si="39"/>
        <v/>
      </c>
      <c r="Z110" s="187" t="str">
        <f>IF(C110="","",IF($B$31=0,"",-'Debt Financing Calculations'!F59))</f>
        <v/>
      </c>
      <c r="AA110" s="187" t="str">
        <f t="shared" si="40"/>
        <v/>
      </c>
      <c r="AB110" s="187" t="str">
        <f t="shared" si="23"/>
        <v/>
      </c>
      <c r="AC110" s="1156" t="str">
        <f t="shared" si="41"/>
        <v/>
      </c>
      <c r="AD110" s="134"/>
      <c r="AE110" s="1160" t="str">
        <f t="shared" si="42"/>
        <v/>
      </c>
      <c r="AF110" s="1156" t="str">
        <f t="shared" si="43"/>
        <v/>
      </c>
    </row>
    <row r="111" spans="1:32" x14ac:dyDescent="0.25">
      <c r="A111" s="58" t="str">
        <f t="shared" si="21"/>
        <v/>
      </c>
      <c r="B111" s="185" t="str">
        <f>IF(MAX($B$65:B110)&lt;(construct+anal_period),B110+1,"")</f>
        <v/>
      </c>
      <c r="C111" s="185" t="str">
        <f t="shared" si="22"/>
        <v/>
      </c>
      <c r="D111" s="185" t="str">
        <f t="shared" si="25"/>
        <v/>
      </c>
      <c r="E111" s="186" t="str">
        <f t="shared" si="26"/>
        <v/>
      </c>
      <c r="F111" s="59" t="str">
        <f t="shared" si="27"/>
        <v/>
      </c>
      <c r="G111" s="1169"/>
      <c r="H111" s="1178" t="str">
        <f t="shared" si="24"/>
        <v/>
      </c>
      <c r="I111" s="187" t="str">
        <f>IF(OR(C111&lt;0,C111=""),"",-E111*INDEX('Replacement Costs'!$A$16:$H$57,MATCH(C111,'Replacement Costs'!$C$16:$C$57,0),MATCH("Total Yearly Replacement Costs",'Replacement Costs'!$A$16:$H$16,0)))</f>
        <v/>
      </c>
      <c r="J111" s="187" t="str">
        <f>IF(AND(C111&gt;=1,C111&lt;anal_period),WorkingCap*SUM(N111:R111)-WorkingCap*SUM(N110:R110),IF(C111&lt;0,0,IF(B111="","",-SUM(J$65:J110))))</f>
        <v/>
      </c>
      <c r="K111" s="187" t="str">
        <f t="shared" si="28"/>
        <v/>
      </c>
      <c r="L111" s="187" t="str">
        <f t="shared" si="29"/>
        <v/>
      </c>
      <c r="M111" s="187" t="str">
        <f t="shared" si="30"/>
        <v/>
      </c>
      <c r="N111" s="187" t="str">
        <f t="shared" si="31"/>
        <v/>
      </c>
      <c r="O111" s="187" t="str">
        <f>IF(C111="","",IF(C111&lt;0,0,IF(AND(C111=1,start_time&lt;1),-(SUM(B278:E278)*output_kgyear*E111*percnt_var*start_time+SUM(B278:E278)*output_kgyear*E111*(1-start_time)),IF(C111&lt;=start_time,-SUM(B278:E278)*output_kgyear*E111*percnt_var,-SUM(B278:E278)*output_kgyear*E111))))</f>
        <v/>
      </c>
      <c r="P111" s="187" t="str">
        <f t="shared" si="33"/>
        <v/>
      </c>
      <c r="Q111" s="187" t="str">
        <f>IF(C111="","",IF(C111&lt;0,0,IF(AND(C111=1,start_time&lt;1),SUM(K278:N278,T278:V278)*output_kgyear*E111*percnt_revs*start_time+SUM(K278:N278,T278:V278)*output_kgyear*E111*(1-start_time),IF(C111&lt;=start_time,SUM(K278:N278,T278:V278)*output_kgyear*E111*percnt_revs,SUM(K278:N278,T278:V278)*output_kgyear*E111))))</f>
        <v/>
      </c>
      <c r="R111" s="187"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7" t="str">
        <f>IF(B111="","",IF($B$31=0,"",-'Debt Financing Calculations'!E60))</f>
        <v/>
      </c>
      <c r="T111" s="187" t="str">
        <f t="shared" si="35"/>
        <v/>
      </c>
      <c r="U111" s="187" t="str">
        <f>IF(C111="","",IF(C111&lt;-1,0,IF(C111=anal_period,-LOOKUP(C111,depr_yr,depr_cost)-Depreciation!$C$141-Depreciation!$B$166,-LOOKUP(C111,depr_yr,depr_cost))))</f>
        <v/>
      </c>
      <c r="V111" s="187" t="str">
        <f t="shared" si="36"/>
        <v/>
      </c>
      <c r="W111" s="188" t="str">
        <f t="shared" si="37"/>
        <v/>
      </c>
      <c r="X111" s="187" t="str">
        <f t="shared" si="38"/>
        <v/>
      </c>
      <c r="Y111" s="187" t="str">
        <f t="shared" si="39"/>
        <v/>
      </c>
      <c r="Z111" s="187" t="str">
        <f>IF(C111="","",IF($B$31=0,"",-'Debt Financing Calculations'!F60))</f>
        <v/>
      </c>
      <c r="AA111" s="187" t="str">
        <f t="shared" si="40"/>
        <v/>
      </c>
      <c r="AB111" s="187" t="str">
        <f t="shared" si="23"/>
        <v/>
      </c>
      <c r="AC111" s="1156" t="str">
        <f t="shared" si="41"/>
        <v/>
      </c>
      <c r="AD111" s="134"/>
      <c r="AE111" s="1160" t="str">
        <f t="shared" si="42"/>
        <v/>
      </c>
      <c r="AF111" s="1156" t="str">
        <f t="shared" si="43"/>
        <v/>
      </c>
    </row>
    <row r="112" spans="1:32" x14ac:dyDescent="0.25">
      <c r="A112" s="58" t="str">
        <f t="shared" si="21"/>
        <v/>
      </c>
      <c r="B112" s="185" t="str">
        <f>IF(MAX($B$65:B111)&lt;(construct+anal_period),B111+1,"")</f>
        <v/>
      </c>
      <c r="C112" s="185" t="str">
        <f t="shared" si="22"/>
        <v/>
      </c>
      <c r="D112" s="185" t="str">
        <f t="shared" si="25"/>
        <v/>
      </c>
      <c r="E112" s="186" t="str">
        <f t="shared" si="26"/>
        <v/>
      </c>
      <c r="F112" s="59" t="str">
        <f t="shared" si="27"/>
        <v/>
      </c>
      <c r="G112" s="1169"/>
      <c r="H112" s="1178" t="str">
        <f t="shared" si="24"/>
        <v/>
      </c>
      <c r="I112" s="187" t="str">
        <f>IF(OR(C112&lt;0,C112=""),"",-E112*INDEX('Replacement Costs'!$A$16:$H$57,MATCH(C112,'Replacement Costs'!$C$16:$C$57,0),MATCH("Total Yearly Replacement Costs",'Replacement Costs'!$A$16:$H$16,0)))</f>
        <v/>
      </c>
      <c r="J112" s="187" t="str">
        <f>IF(AND(C112&gt;=1,C112&lt;anal_period),WorkingCap*SUM(N112:R112)-WorkingCap*SUM(N111:R111),IF(C112&lt;0,0,IF(B112="","",-SUM(J$65:J111))))</f>
        <v/>
      </c>
      <c r="K112" s="187" t="str">
        <f t="shared" si="28"/>
        <v/>
      </c>
      <c r="L112" s="187" t="str">
        <f t="shared" si="29"/>
        <v/>
      </c>
      <c r="M112" s="187" t="str">
        <f t="shared" si="30"/>
        <v/>
      </c>
      <c r="N112" s="187" t="str">
        <f t="shared" si="31"/>
        <v/>
      </c>
      <c r="O112" s="187" t="str">
        <f>IF(C112="","",IF(C112&lt;0,0,IF(AND(C112=1,start_time&lt;1),-(SUM(B279:E279)*output_kgyear*E112*percnt_var*start_time+SUM(B279:E279)*output_kgyear*E112*(1-start_time)),IF(C112&lt;=start_time,-SUM(B279:E279)*output_kgyear*E112*percnt_var,-SUM(B279:E279)*output_kgyear*E112))))</f>
        <v/>
      </c>
      <c r="P112" s="187" t="str">
        <f t="shared" si="33"/>
        <v/>
      </c>
      <c r="Q112" s="187" t="str">
        <f>IF(C112="","",IF(C112&lt;0,0,IF(AND(C112=1,start_time&lt;1),SUM(K279:N279,T279:V279)*output_kgyear*E112*percnt_revs*start_time+SUM(K279:N279,T279:V279)*output_kgyear*E112*(1-start_time),IF(C112&lt;=start_time,SUM(K279:N279,T279:V279)*output_kgyear*E112*percnt_revs,SUM(K279:N279,T279:V279)*output_kgyear*E112))))</f>
        <v/>
      </c>
      <c r="R112" s="187"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7" t="str">
        <f>IF(B112="","",IF($B$31=0,"",-'Debt Financing Calculations'!E61))</f>
        <v/>
      </c>
      <c r="T112" s="187" t="str">
        <f t="shared" si="35"/>
        <v/>
      </c>
      <c r="U112" s="187" t="str">
        <f>IF(C112="","",IF(C112&lt;-1,0,IF(C112=anal_period,-LOOKUP(C112,depr_yr,depr_cost)-Depreciation!$C$141-Depreciation!$B$166,-LOOKUP(C112,depr_yr,depr_cost))))</f>
        <v/>
      </c>
      <c r="V112" s="187" t="str">
        <f t="shared" si="36"/>
        <v/>
      </c>
      <c r="W112" s="188" t="str">
        <f t="shared" si="37"/>
        <v/>
      </c>
      <c r="X112" s="187" t="str">
        <f t="shared" si="38"/>
        <v/>
      </c>
      <c r="Y112" s="187" t="str">
        <f t="shared" si="39"/>
        <v/>
      </c>
      <c r="Z112" s="187" t="str">
        <f>IF(C112="","",IF($B$31=0,"",-'Debt Financing Calculations'!F61))</f>
        <v/>
      </c>
      <c r="AA112" s="187" t="str">
        <f t="shared" si="40"/>
        <v/>
      </c>
      <c r="AB112" s="187" t="str">
        <f t="shared" si="23"/>
        <v/>
      </c>
      <c r="AC112" s="1156" t="str">
        <f t="shared" si="41"/>
        <v/>
      </c>
      <c r="AD112" s="134"/>
      <c r="AE112" s="1160" t="str">
        <f t="shared" si="42"/>
        <v/>
      </c>
      <c r="AF112" s="1156" t="str">
        <f t="shared" si="43"/>
        <v/>
      </c>
    </row>
    <row r="113" spans="1:33" ht="13" thickBot="1" x14ac:dyDescent="0.3">
      <c r="A113" s="61" t="str">
        <f t="shared" si="21"/>
        <v/>
      </c>
      <c r="B113" s="189" t="str">
        <f>IF(MAX($B$65:B112)&lt;(construct+anal_period),B112+1,"")</f>
        <v/>
      </c>
      <c r="C113" s="189" t="str">
        <f t="shared" si="22"/>
        <v/>
      </c>
      <c r="D113" s="189" t="str">
        <f t="shared" si="25"/>
        <v/>
      </c>
      <c r="E113" s="1163" t="str">
        <f t="shared" si="26"/>
        <v/>
      </c>
      <c r="F113" s="1164" t="str">
        <f t="shared" si="27"/>
        <v/>
      </c>
      <c r="G113" s="1171"/>
      <c r="H113" s="1180" t="str">
        <f t="shared" si="24"/>
        <v/>
      </c>
      <c r="I113" s="1165" t="str">
        <f>IF(OR(C113&lt;0,C113=""),"",-E113*INDEX('Replacement Costs'!$A$16:$H$57,MATCH(C113,'Replacement Costs'!$C$16:$C$57,0),MATCH("Total Yearly Replacement Costs",'Replacement Costs'!$A$16:$H$16,0)))</f>
        <v/>
      </c>
      <c r="J113" s="1165" t="str">
        <f>IF(AND(C113&gt;=1,C113&lt;anal_period),WorkingCap*SUM(N113:R113)-WorkingCap*SUM(N112:R112),IF(C113&lt;0,0,IF(B113="","",-SUM(J$65:J112))))</f>
        <v/>
      </c>
      <c r="K113" s="1165" t="str">
        <f t="shared" si="28"/>
        <v/>
      </c>
      <c r="L113" s="1165" t="str">
        <f t="shared" si="29"/>
        <v/>
      </c>
      <c r="M113" s="1165" t="str">
        <f t="shared" si="30"/>
        <v/>
      </c>
      <c r="N113" s="1165" t="str">
        <f t="shared" si="31"/>
        <v/>
      </c>
      <c r="O113" s="1165" t="str">
        <f>IF(C113="","",IF(C113&lt;0,0,IF(AND(C113=1,start_time&lt;1),-(SUM(B280:E280)*output_kgyear*E113*percnt_var*start_time+SUM(B280:E280)*output_kgyear*E113*(1-start_time)),IF(C113&lt;=start_time,-SUM(B280:E280)*output_kgyear*E113*percnt_var,-SUM(B280:E280)*output_kgyear*E113))))</f>
        <v/>
      </c>
      <c r="P113" s="1165" t="str">
        <f t="shared" si="33"/>
        <v/>
      </c>
      <c r="Q113" s="1165" t="str">
        <f>IF(C113="","",IF(C113&lt;0,0,IF(AND(C113=1,start_time&lt;1),SUM(K280:N280,T280:V280)*output_kgyear*E113*percnt_revs*start_time+SUM(K280:N280,T280:V280)*output_kgyear*E113*(1-start_time),IF(C113&lt;=start_time,SUM(K280:N280,T280:V280)*output_kgyear*E113*percnt_revs,SUM(K280:N280,T280:V280)*output_kgyear*E113))))</f>
        <v/>
      </c>
      <c r="R113" s="1165"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1165" t="str">
        <f>IF(B113="","",IF($B$31=0,"",-'Debt Financing Calculations'!E62))</f>
        <v/>
      </c>
      <c r="T113" s="1165" t="str">
        <f t="shared" si="35"/>
        <v/>
      </c>
      <c r="U113" s="1165" t="str">
        <f>IF(C113="","",IF(C113&lt;-1,0,IF(C113=anal_period,-LOOKUP(C113,depr_yr,depr_cost)-Depreciation!$C$141-Depreciation!$B$166,-LOOKUP(C113,depr_yr,depr_cost))))</f>
        <v/>
      </c>
      <c r="V113" s="1165" t="str">
        <f t="shared" si="36"/>
        <v/>
      </c>
      <c r="W113" s="1166" t="str">
        <f t="shared" si="37"/>
        <v/>
      </c>
      <c r="X113" s="1165" t="str">
        <f t="shared" si="38"/>
        <v/>
      </c>
      <c r="Y113" s="1165" t="str">
        <f t="shared" si="39"/>
        <v/>
      </c>
      <c r="Z113" s="1165" t="str">
        <f>IF(C113="","",IF($B$31=0,"",-'Debt Financing Calculations'!F62))</f>
        <v/>
      </c>
      <c r="AA113" s="1165" t="str">
        <f t="shared" si="40"/>
        <v/>
      </c>
      <c r="AB113" s="1165" t="str">
        <f t="shared" si="23"/>
        <v/>
      </c>
      <c r="AC113" s="1167" t="str">
        <f t="shared" si="41"/>
        <v/>
      </c>
      <c r="AD113" s="134"/>
      <c r="AE113" s="1162" t="str">
        <f t="shared" si="42"/>
        <v/>
      </c>
      <c r="AF113" s="1158" t="str">
        <f t="shared" si="43"/>
        <v/>
      </c>
    </row>
    <row r="114" spans="1:33" ht="13" thickTop="1" x14ac:dyDescent="0.25">
      <c r="A114" s="134"/>
      <c r="B114" s="134"/>
      <c r="C114" s="134"/>
      <c r="D114" s="134"/>
      <c r="E114" s="1181" t="s">
        <v>149</v>
      </c>
      <c r="F114" s="1182">
        <f t="shared" ref="F114:AC114" ca="1" si="44">SUM(F65:F113)</f>
        <v>10376557542.398497</v>
      </c>
      <c r="G114" s="1182">
        <f t="shared" ca="1" si="44"/>
        <v>-171967469.28970423</v>
      </c>
      <c r="H114" s="1182">
        <f t="shared" ca="1" si="44"/>
        <v>-117359259.032148</v>
      </c>
      <c r="I114" s="1182">
        <f t="shared" ca="1" si="44"/>
        <v>-89628595.491258547</v>
      </c>
      <c r="J114" s="1182">
        <f t="shared" ca="1" si="44"/>
        <v>0</v>
      </c>
      <c r="K114" s="1182">
        <f t="shared" ca="1" si="44"/>
        <v>-4085793.2095684633</v>
      </c>
      <c r="L114" s="1182">
        <f t="shared" ca="1" si="44"/>
        <v>64085257.499964185</v>
      </c>
      <c r="M114" s="1182">
        <f t="shared" ca="1" si="44"/>
        <v>-63184532.72054287</v>
      </c>
      <c r="N114" s="1182">
        <f t="shared" ca="1" si="44"/>
        <v>-1095907596.770375</v>
      </c>
      <c r="O114" s="1182">
        <f t="shared" ca="1" si="44"/>
        <v>-6368025783.5045776</v>
      </c>
      <c r="P114" s="1182">
        <f t="shared" ca="1" si="44"/>
        <v>-657882456.82306671</v>
      </c>
      <c r="Q114" s="1182">
        <f t="shared" ca="1" si="44"/>
        <v>0</v>
      </c>
      <c r="R114" s="1182">
        <f t="shared" ca="1" si="44"/>
        <v>-866370994.29636621</v>
      </c>
      <c r="S114" s="1182">
        <f t="shared" ca="1" si="44"/>
        <v>-273600243.63991928</v>
      </c>
      <c r="T114" s="1182">
        <f t="shared" ca="1" si="44"/>
        <v>1115671192.1436129</v>
      </c>
      <c r="U114" s="1182">
        <f t="shared" ca="1" si="44"/>
        <v>-378955323.81311059</v>
      </c>
      <c r="V114" s="1182">
        <f t="shared" ca="1" si="44"/>
        <v>736715868.33050203</v>
      </c>
      <c r="W114" s="1182">
        <f t="shared" si="44"/>
        <v>11.068200000000001</v>
      </c>
      <c r="X114" s="1182">
        <f t="shared" ca="1" si="44"/>
        <v>-189630664.50827125</v>
      </c>
      <c r="Y114" s="1182">
        <f t="shared" ca="1" si="44"/>
        <v>926040527.63534164</v>
      </c>
      <c r="Z114" s="1182">
        <f t="shared" ca="1" si="44"/>
        <v>-171967469.28970423</v>
      </c>
      <c r="AA114" s="1182">
        <f t="shared" ca="1" si="44"/>
        <v>542999410.61266232</v>
      </c>
      <c r="AB114" s="1182">
        <f t="shared" ca="1" si="44"/>
        <v>9256510210.5737038</v>
      </c>
      <c r="AC114" s="1183">
        <f t="shared" ca="1" si="44"/>
        <v>732630075.12093377</v>
      </c>
      <c r="AD114" s="134"/>
    </row>
    <row r="115" spans="1:33" ht="13" thickBot="1" x14ac:dyDescent="0.3">
      <c r="E115" s="1184" t="s">
        <v>150</v>
      </c>
      <c r="F115" s="1165">
        <f t="shared" ref="F115:AC115" ca="1" si="45">NPV(nominal_irr,F65:F113)</f>
        <v>1494041712.2509494</v>
      </c>
      <c r="G115" s="1165">
        <f t="shared" ca="1" si="45"/>
        <v>-156260194.53504184</v>
      </c>
      <c r="H115" s="1165">
        <f t="shared" ca="1" si="45"/>
        <v>-94787848.412422463</v>
      </c>
      <c r="I115" s="1165">
        <f t="shared" ca="1" si="45"/>
        <v>-13312631.453520477</v>
      </c>
      <c r="J115" s="1165">
        <f t="shared" ca="1" si="45"/>
        <v>-17590548.161014557</v>
      </c>
      <c r="K115" s="1165">
        <f t="shared" ca="1" si="45"/>
        <v>-3712602.4148297748</v>
      </c>
      <c r="L115" s="1165">
        <f t="shared" ca="1" si="45"/>
        <v>1042429.6017103948</v>
      </c>
      <c r="M115" s="1165">
        <f t="shared" ca="1" si="45"/>
        <v>-1027778.1481672244</v>
      </c>
      <c r="N115" s="1165">
        <f t="shared" ca="1" si="45"/>
        <v>-162776331.180379</v>
      </c>
      <c r="O115" s="1165">
        <f t="shared" ca="1" si="45"/>
        <v>-905739781.72060597</v>
      </c>
      <c r="P115" s="1165">
        <f t="shared" ca="1" si="45"/>
        <v>-96226097.937719807</v>
      </c>
      <c r="Q115" s="1165">
        <f t="shared" ca="1" si="45"/>
        <v>0</v>
      </c>
      <c r="R115" s="1165">
        <f t="shared" ca="1" si="45"/>
        <v>-124502203.94002585</v>
      </c>
      <c r="S115" s="1165">
        <f t="shared" ca="1" si="45"/>
        <v>-62269172.812998809</v>
      </c>
      <c r="T115" s="1165">
        <f t="shared" ca="1" si="45"/>
        <v>142542776.11276278</v>
      </c>
      <c r="U115" s="1165">
        <f t="shared" ca="1" si="45"/>
        <v>-102364561.8212367</v>
      </c>
      <c r="V115" s="1165">
        <f t="shared" ca="1" si="45"/>
        <v>40178214.291526079</v>
      </c>
      <c r="W115" s="1165">
        <f t="shared" ca="1" si="45"/>
        <v>2.5190315964626389</v>
      </c>
      <c r="X115" s="1165">
        <f t="shared" ca="1" si="45"/>
        <v>-10341872.358638808</v>
      </c>
      <c r="Y115" s="1165">
        <f t="shared" ca="1" si="45"/>
        <v>132200903.75412394</v>
      </c>
      <c r="Z115" s="1165">
        <f t="shared" ca="1" si="45"/>
        <v>-2797273.3123356979</v>
      </c>
      <c r="AA115" s="1165">
        <f t="shared" ca="1" si="45"/>
        <v>1.0284136215620438E-6</v>
      </c>
      <c r="AB115" s="1165">
        <f t="shared" ca="1" si="45"/>
        <v>-87868958.755944237</v>
      </c>
      <c r="AC115" s="1167">
        <f t="shared" ca="1" si="45"/>
        <v>10341872.358639846</v>
      </c>
      <c r="AD115" s="134"/>
    </row>
    <row r="116" spans="1:33" ht="13" thickBot="1" x14ac:dyDescent="0.3">
      <c r="D116" s="191"/>
      <c r="E116" s="1185" t="s">
        <v>1118</v>
      </c>
      <c r="F116" s="1186">
        <f t="shared" ref="F116:AC116" ca="1" si="46">+F65+NPV($X$59,F66:F113)</f>
        <v>1644222785.1664143</v>
      </c>
      <c r="G116" s="1186">
        <f t="shared" ca="1" si="46"/>
        <v>-171967469.28970423</v>
      </c>
      <c r="H116" s="1186">
        <f ca="1">+H65+NPV($X$59,H66:H113)</f>
        <v>-104315922.93483914</v>
      </c>
      <c r="I116" s="1186">
        <f t="shared" ca="1" si="46"/>
        <v>-14650817.167228358</v>
      </c>
      <c r="J116" s="1186">
        <f t="shared" ca="1" si="46"/>
        <v>-19358750.062159728</v>
      </c>
      <c r="K116" s="1186">
        <f t="shared" ca="1" si="46"/>
        <v>-4085793.2095684633</v>
      </c>
      <c r="L116" s="1186">
        <f t="shared" ca="1" si="46"/>
        <v>1147214.6252743239</v>
      </c>
      <c r="M116" s="1186">
        <f t="shared" ca="1" si="46"/>
        <v>-1131090.4076209939</v>
      </c>
      <c r="N116" s="1186">
        <f t="shared" ca="1" si="46"/>
        <v>-179138607.99063072</v>
      </c>
      <c r="O116" s="1186">
        <f t="shared" ca="1" si="46"/>
        <v>-996784744.57916105</v>
      </c>
      <c r="P116" s="1186">
        <f t="shared" ca="1" si="46"/>
        <v>-105898745.30241941</v>
      </c>
      <c r="Q116" s="1186">
        <f t="shared" ca="1" si="46"/>
        <v>0</v>
      </c>
      <c r="R116" s="1186">
        <f t="shared" ca="1" si="46"/>
        <v>-137017165.48007718</v>
      </c>
      <c r="S116" s="1186">
        <f t="shared" ca="1" si="46"/>
        <v>-68528470.06416145</v>
      </c>
      <c r="T116" s="1186">
        <f t="shared" ca="1" si="46"/>
        <v>156871175.96761772</v>
      </c>
      <c r="U116" s="1186">
        <f t="shared" ca="1" si="46"/>
        <v>-112654247.5755074</v>
      </c>
      <c r="V116" s="1186">
        <f t="shared" ca="1" si="46"/>
        <v>44216928.392110288</v>
      </c>
      <c r="W116" s="1186">
        <f t="shared" ca="1" si="46"/>
        <v>2.7722446525390634</v>
      </c>
      <c r="X116" s="1186">
        <f t="shared" ca="1" si="46"/>
        <v>-11381437.368129188</v>
      </c>
      <c r="Y116" s="1186">
        <f t="shared" ca="1" si="46"/>
        <v>145489738.59948853</v>
      </c>
      <c r="Z116" s="1186">
        <f t="shared" ca="1" si="46"/>
        <v>-3078455.2256916822</v>
      </c>
      <c r="AA116" s="1186">
        <f t="shared" ca="1" si="46"/>
        <v>1.1064112186431885E-6</v>
      </c>
      <c r="AB116" s="1186">
        <f t="shared" ca="1" si="46"/>
        <v>-96701546.490091562</v>
      </c>
      <c r="AC116" s="1187">
        <f t="shared" ca="1" si="46"/>
        <v>11381437.368130289</v>
      </c>
      <c r="AD116" s="1188"/>
      <c r="AE116" s="1189">
        <f ca="1">+AE65+NPV(real_irr,AE66:AE113)</f>
        <v>499560750.04104668</v>
      </c>
      <c r="AF116" s="1190">
        <f ca="1">+AF65+NPV($X$59,AF66:AF113)</f>
        <v>0</v>
      </c>
      <c r="AG116" s="1191"/>
    </row>
    <row r="117" spans="1:33" ht="16.5" thickTop="1" thickBot="1" x14ac:dyDescent="0.4">
      <c r="A117" s="49" t="s">
        <v>79</v>
      </c>
      <c r="B117" s="149"/>
      <c r="C117" s="149"/>
      <c r="D117" s="149"/>
      <c r="E117" s="1192" t="s">
        <v>1174</v>
      </c>
      <c r="F117" s="1206"/>
      <c r="G117" s="1206"/>
      <c r="H117" s="1206">
        <f ca="1">-H116/$AE$116*(1+inflation_rate)^construct/INFLATION_FACTOR</f>
        <v>0.14063856670484737</v>
      </c>
      <c r="I117" s="1206">
        <f ca="1">-I116/$AE$116*(1+inflation_rate)^construct/INFLATION_FACTOR</f>
        <v>1.9752209149708037E-2</v>
      </c>
      <c r="J117" s="1206">
        <f ca="1">-J116/$AE$116*(1+inflation_rate)^construct/INFLATION_FACTOR</f>
        <v>2.6099437030722344E-2</v>
      </c>
      <c r="K117" s="1206">
        <f ca="1">-K116/$AE$116*(1+inflation_rate)^construct/INFLATION_FACTOR</f>
        <v>5.5084601150012609E-3</v>
      </c>
      <c r="L117" s="1206"/>
      <c r="M117" s="1206">
        <f ca="1">-M116/$AE$116*(1+inflation_rate)^construct/INFLATION_FACTOR</f>
        <v>1.5249343462242497E-3</v>
      </c>
      <c r="N117" s="1206">
        <f ca="1">-N116/$AE$116*(1+inflation_rate)^construct/INFLATION_FACTOR</f>
        <v>0.24151439550643775</v>
      </c>
      <c r="O117" s="1206">
        <f ca="1">-O116/$AE$116*(1+inflation_rate)^construct/INFLATION_FACTOR</f>
        <v>1.3438636580768006</v>
      </c>
      <c r="P117" s="1206">
        <f ca="1">-P116/$AE$116*(1+inflation_rate)^construct/INFLATION_FACTOR</f>
        <v>0.14277252538404067</v>
      </c>
      <c r="Q117" s="1206"/>
      <c r="R117" s="1206">
        <f ca="1">-R116/$AE$116*(1+inflation_rate)^construct/INFLATION_FACTOR</f>
        <v>0.18472633156029178</v>
      </c>
      <c r="S117" s="1206">
        <f ca="1">-S116/$AE$116*(1+inflation_rate)^construct/INFLATION_FACTOR</f>
        <v>9.2389977839911513E-2</v>
      </c>
      <c r="T117" s="1206"/>
      <c r="U117" s="1206"/>
      <c r="V117" s="1206"/>
      <c r="W117" s="1206"/>
      <c r="X117" s="1206">
        <f ca="1">-X116/$AE$116*(1+inflation_rate)^construct/INFLATION_FACTOR</f>
        <v>1.5344436337820982E-2</v>
      </c>
      <c r="Y117" s="1206"/>
      <c r="Z117" s="1206">
        <f ca="1">-Z116/$AE$116*(1+inflation_rate)^construct/INFLATION_FACTOR</f>
        <v>4.1503685959502759E-3</v>
      </c>
      <c r="AA117" s="1206"/>
      <c r="AB117" s="1206"/>
      <c r="AC117" s="1207"/>
      <c r="AD117" s="1208"/>
      <c r="AE117" s="1209"/>
      <c r="AF117" s="1209"/>
      <c r="AG117" s="1207">
        <f ca="1">+SUM(F117:AC117)</f>
        <v>2.2182853006477568</v>
      </c>
    </row>
    <row r="118" spans="1:33" ht="15" customHeight="1" thickTop="1" thickBot="1" x14ac:dyDescent="0.35">
      <c r="A118" s="54" t="s">
        <v>80</v>
      </c>
      <c r="B118" s="56" t="s">
        <v>151</v>
      </c>
      <c r="C118" s="56" t="s">
        <v>152</v>
      </c>
      <c r="D118" s="1089" t="s">
        <v>153</v>
      </c>
      <c r="E118" s="1193" t="s">
        <v>1175</v>
      </c>
      <c r="F118" s="1210">
        <f ca="1">F116/$AE$116*(1+inflation_rate)^construct/INFLATION_FACTOR</f>
        <v>2.2167386276561176</v>
      </c>
      <c r="G118" s="1210"/>
      <c r="H118" s="1210"/>
      <c r="I118" s="1210"/>
      <c r="J118" s="1210"/>
      <c r="K118" s="1210"/>
      <c r="L118" s="1210">
        <f ca="1">L116/$AE$116*(1+inflation_rate)^construct/INFLATION_FACTOR</f>
        <v>1.5466729916409979E-3</v>
      </c>
      <c r="M118" s="1210"/>
      <c r="N118" s="1210"/>
      <c r="O118" s="1210"/>
      <c r="P118" s="1210"/>
      <c r="Q118" s="1210">
        <f ca="1">Q116/$AE$116*(1+inflation_rate)^construct/INFLATION_FACTOR</f>
        <v>0</v>
      </c>
      <c r="R118" s="1210"/>
      <c r="S118" s="1210"/>
      <c r="T118" s="1210"/>
      <c r="U118" s="1210"/>
      <c r="V118" s="1210"/>
      <c r="W118" s="1210"/>
      <c r="X118" s="1210"/>
      <c r="Y118" s="1210"/>
      <c r="Z118" s="1210"/>
      <c r="AA118" s="1210"/>
      <c r="AB118" s="1210"/>
      <c r="AC118" s="1211"/>
      <c r="AD118" s="1212"/>
      <c r="AE118" s="1213"/>
      <c r="AF118" s="1213"/>
      <c r="AG118" s="1211">
        <f ca="1">+SUM(F118:AC118)</f>
        <v>2.2182853006477585</v>
      </c>
    </row>
    <row r="119" spans="1:33" ht="15" customHeight="1" x14ac:dyDescent="0.25">
      <c r="A119" s="194" t="s">
        <v>154</v>
      </c>
      <c r="B119" s="187">
        <f ca="1">(SUM(H115:K115)+L115*(1-total_tax_rate)+S115*(1-total_tax_rate)+U115*(-total_tax_rate)+Z115)/(1-total_tax_rate)</f>
        <v>-203769519.32404986</v>
      </c>
      <c r="C119" s="195">
        <f t="shared" ref="C119:C125" ca="1" si="47">B119/SUM($B$118:$B$125)</f>
        <v>0.13638810593651188</v>
      </c>
      <c r="D119" s="196">
        <f t="shared" ref="D119:D125" ca="1" si="48">H2_price_real*C119</f>
        <v>0.30233678278232029</v>
      </c>
      <c r="E119" s="192"/>
    </row>
    <row r="120" spans="1:33" ht="15" customHeight="1" x14ac:dyDescent="0.25">
      <c r="A120" s="194" t="s">
        <v>84</v>
      </c>
      <c r="B120" s="187">
        <f ca="1">M115</f>
        <v>-1027778.1481672244</v>
      </c>
      <c r="C120" s="195">
        <f t="shared" ca="1" si="47"/>
        <v>6.8791797427044852E-4</v>
      </c>
      <c r="D120" s="196">
        <f t="shared" ca="1" si="48"/>
        <v>1.5249343462242493E-3</v>
      </c>
      <c r="E120" s="192"/>
      <c r="V120" s="151"/>
      <c r="W120" s="134"/>
      <c r="X120" s="134"/>
      <c r="Y120" s="134"/>
    </row>
    <row r="121" spans="1:33" ht="15" customHeight="1" x14ac:dyDescent="0.25">
      <c r="A121" s="194" t="s">
        <v>85</v>
      </c>
      <c r="B121" s="187">
        <f ca="1">N115</f>
        <v>-162776331.180379</v>
      </c>
      <c r="C121" s="195">
        <f t="shared" ca="1" si="47"/>
        <v>0.10895032571422489</v>
      </c>
      <c r="D121" s="196">
        <f t="shared" ca="1" si="48"/>
        <v>0.24151439550643772</v>
      </c>
      <c r="E121" s="192"/>
      <c r="V121" s="151"/>
      <c r="W121" s="134"/>
      <c r="X121" s="134"/>
      <c r="Y121" s="134"/>
    </row>
    <row r="122" spans="1:33" ht="15" customHeight="1" x14ac:dyDescent="0.25">
      <c r="A122" s="194" t="s">
        <v>1004</v>
      </c>
      <c r="B122" s="187">
        <f ca="1">O115</f>
        <v>-905739781.72060597</v>
      </c>
      <c r="C122" s="195">
        <f t="shared" ca="1" si="47"/>
        <v>0.606234601278972</v>
      </c>
      <c r="D122" s="196">
        <f t="shared" ca="1" si="48"/>
        <v>1.3438636580768009</v>
      </c>
      <c r="E122" s="192"/>
      <c r="V122" s="151"/>
      <c r="W122" s="134"/>
      <c r="X122" s="134"/>
      <c r="Y122" s="134"/>
    </row>
    <row r="123" spans="1:33" ht="15" customHeight="1" x14ac:dyDescent="0.25">
      <c r="A123" s="194" t="s">
        <v>86</v>
      </c>
      <c r="B123" s="187">
        <f ca="1">P115</f>
        <v>-96226097.937719807</v>
      </c>
      <c r="C123" s="195">
        <f t="shared" ca="1" si="47"/>
        <v>6.4406567198678807E-2</v>
      </c>
      <c r="D123" s="196">
        <f t="shared" ca="1" si="48"/>
        <v>0.14277252538404067</v>
      </c>
      <c r="E123" s="192"/>
      <c r="V123" s="151"/>
      <c r="W123" s="134"/>
      <c r="X123" s="134"/>
      <c r="Y123" s="134"/>
    </row>
    <row r="124" spans="1:33" ht="15" customHeight="1" x14ac:dyDescent="0.25">
      <c r="A124" s="194" t="s">
        <v>87</v>
      </c>
      <c r="B124" s="187">
        <f ca="1">Q115</f>
        <v>0</v>
      </c>
      <c r="C124" s="195">
        <f t="shared" ca="1" si="47"/>
        <v>0</v>
      </c>
      <c r="D124" s="196">
        <f t="shared" ca="1" si="48"/>
        <v>0</v>
      </c>
      <c r="E124" s="192"/>
      <c r="V124" s="151"/>
      <c r="W124" s="134"/>
      <c r="X124" s="134"/>
      <c r="Y124" s="134"/>
    </row>
    <row r="125" spans="1:33" ht="29.25" customHeight="1" thickBot="1" x14ac:dyDescent="0.3">
      <c r="A125" s="197" t="s">
        <v>88</v>
      </c>
      <c r="B125" s="190">
        <f ca="1">R115</f>
        <v>-124502203.94002585</v>
      </c>
      <c r="C125" s="198">
        <f t="shared" ca="1" si="47"/>
        <v>8.3332481897341937E-2</v>
      </c>
      <c r="D125" s="199">
        <f t="shared" ca="1" si="48"/>
        <v>0.18472633156029189</v>
      </c>
      <c r="E125" s="192"/>
      <c r="V125" s="151"/>
      <c r="W125" s="134"/>
      <c r="X125" s="134"/>
      <c r="Y125" s="134"/>
    </row>
    <row r="126" spans="1:33" ht="15" customHeight="1" thickTop="1" x14ac:dyDescent="0.25">
      <c r="D126" s="191"/>
      <c r="E126" s="192"/>
      <c r="K126"/>
      <c r="L126"/>
      <c r="M126"/>
      <c r="V126" s="151"/>
      <c r="W126" s="134"/>
      <c r="X126" s="134"/>
      <c r="Y126" s="134"/>
    </row>
    <row r="127" spans="1:33" ht="15" customHeight="1" x14ac:dyDescent="0.25">
      <c r="D127" s="191"/>
      <c r="E127" s="192"/>
      <c r="K127"/>
      <c r="L127"/>
      <c r="M127"/>
      <c r="V127" s="151"/>
      <c r="W127" s="134"/>
      <c r="X127" s="134"/>
      <c r="Y127" s="134"/>
    </row>
    <row r="128" spans="1:33" ht="42.75" customHeight="1" thickBot="1" x14ac:dyDescent="0.3">
      <c r="A128" s="228" t="s">
        <v>261</v>
      </c>
      <c r="B128" s="417">
        <f>(1+inflation_rate)^(startup_year-ref_year)</f>
        <v>1.5710153055430329</v>
      </c>
      <c r="P128" s="841"/>
    </row>
    <row r="129" spans="1:22" ht="51.75" customHeight="1" thickBot="1" x14ac:dyDescent="0.4">
      <c r="A129" s="200" t="s">
        <v>155</v>
      </c>
      <c r="B129" s="201"/>
      <c r="C129" s="201"/>
      <c r="D129" s="201"/>
      <c r="E129" s="201"/>
      <c r="F129" s="201"/>
      <c r="G129" s="201"/>
      <c r="H129" s="201"/>
      <c r="I129" s="201"/>
      <c r="J129" s="201"/>
      <c r="K129" s="201"/>
      <c r="L129" s="201"/>
      <c r="M129" s="201"/>
      <c r="N129" s="201"/>
      <c r="O129" s="201"/>
      <c r="P129" s="840"/>
      <c r="Q129" s="201"/>
      <c r="R129" s="201"/>
      <c r="S129" s="201"/>
      <c r="T129" s="201"/>
      <c r="U129" s="201"/>
      <c r="V129" s="236"/>
    </row>
    <row r="130" spans="1:22" ht="31.9" customHeight="1" thickTop="1" thickBot="1" x14ac:dyDescent="0.4">
      <c r="A130" s="374"/>
      <c r="B130" s="202" t="s">
        <v>67</v>
      </c>
      <c r="C130" s="230"/>
      <c r="D130" s="230"/>
      <c r="E130" s="149"/>
      <c r="F130" s="203" t="s">
        <v>68</v>
      </c>
      <c r="G130" s="230"/>
      <c r="H130" s="230"/>
      <c r="I130" s="231"/>
      <c r="J130" s="595" t="s">
        <v>1002</v>
      </c>
      <c r="K130" s="233" t="s">
        <v>69</v>
      </c>
      <c r="L130" s="149"/>
      <c r="M130" s="149"/>
      <c r="N130" s="193"/>
      <c r="O130" s="395" t="s">
        <v>70</v>
      </c>
      <c r="P130" s="400"/>
      <c r="Q130" s="400"/>
      <c r="R130" s="401"/>
      <c r="S130" s="202" t="s">
        <v>73</v>
      </c>
      <c r="T130" s="411"/>
      <c r="U130" s="411"/>
      <c r="V130" s="412"/>
    </row>
    <row r="131" spans="1:22" ht="30.75" customHeight="1" thickTop="1" thickBot="1" x14ac:dyDescent="0.4">
      <c r="A131" s="375" t="s">
        <v>263</v>
      </c>
      <c r="B131" s="377" t="str">
        <f>Input_Sheet_Template!$B$75</f>
        <v>Woody Biomass</v>
      </c>
      <c r="C131" s="378"/>
      <c r="D131" s="378"/>
      <c r="E131" s="378"/>
      <c r="F131" s="379" t="str">
        <f>Input_Sheet_Template!$B$78</f>
        <v>Industrial Electricity</v>
      </c>
      <c r="G131" s="378" t="str">
        <f>Input_Sheet_Template!$B$80</f>
        <v>Commercial Natural Gas</v>
      </c>
      <c r="H131" s="378"/>
      <c r="I131" s="380"/>
      <c r="J131" s="603" t="str">
        <f ca="1">IF(CO2_CashFlow_eUse&gt;0,'HyARC Physical Property Data'!A77,"")</f>
        <v/>
      </c>
      <c r="K131" s="597"/>
      <c r="L131" s="381"/>
      <c r="M131" s="381"/>
      <c r="N131" s="382"/>
      <c r="O131" s="396" t="s">
        <v>71</v>
      </c>
      <c r="P131" s="402" t="str">
        <f>Input_Sheet_Template!$B$140</f>
        <v>Process Water</v>
      </c>
      <c r="Q131" s="402" t="str">
        <f>Input_Sheet_Template!$B$142</f>
        <v>Cooling Water</v>
      </c>
      <c r="R131" s="403"/>
      <c r="S131" s="396" t="s">
        <v>71</v>
      </c>
      <c r="T131" s="402"/>
      <c r="U131" s="402"/>
      <c r="V131" s="403"/>
    </row>
    <row r="132" spans="1:22" ht="31.5" customHeight="1" thickBot="1" x14ac:dyDescent="0.4">
      <c r="A132" s="376" t="s">
        <v>933</v>
      </c>
      <c r="B132" s="383">
        <f>Input_Sheet_Template!$C$75</f>
        <v>1.9551069237418006E-2</v>
      </c>
      <c r="C132" s="384"/>
      <c r="D132" s="384"/>
      <c r="E132" s="384"/>
      <c r="F132" s="385">
        <f>Input_Sheet_Template!$C$78</f>
        <v>3.5999999999999995E-3</v>
      </c>
      <c r="G132" s="384">
        <f>Input_Sheet_Template!$C$80</f>
        <v>1.0549999999999999</v>
      </c>
      <c r="H132" s="384"/>
      <c r="I132" s="386"/>
      <c r="J132" s="604">
        <f ca="1">IF(J131="",0,VLOOKUP(J131,MASTER_PROPERTY_TABLE,9,FALSE))</f>
        <v>0</v>
      </c>
      <c r="K132" s="598"/>
      <c r="L132" s="387"/>
      <c r="M132" s="387"/>
      <c r="N132" s="388"/>
      <c r="O132" s="397" t="s">
        <v>264</v>
      </c>
      <c r="P132" s="842">
        <f>Input_Sheet_Template!$D$140</f>
        <v>1.321</v>
      </c>
      <c r="Q132" s="842">
        <f>Input_Sheet_Template!$D$142</f>
        <v>79.260000000000005</v>
      </c>
      <c r="R132" s="843"/>
      <c r="S132" s="397" t="s">
        <v>264</v>
      </c>
      <c r="T132" s="404"/>
      <c r="U132" s="404"/>
      <c r="V132" s="405"/>
    </row>
    <row r="133" spans="1:22" ht="16.5" customHeight="1" thickBot="1" x14ac:dyDescent="0.4">
      <c r="A133" s="376" t="s">
        <v>264</v>
      </c>
      <c r="B133" s="383">
        <f ca="1">feedstockWoody_Biomass_Usage</f>
        <v>13.02868</v>
      </c>
      <c r="C133" s="384"/>
      <c r="D133" s="384"/>
      <c r="E133" s="384"/>
      <c r="F133" s="385">
        <f ca="1">utilityIndustrial_Electricity_Usage</f>
        <v>0.94499999999999995</v>
      </c>
      <c r="G133" s="384">
        <f ca="1">utilityCommercial_Natural_Gas_Usage</f>
        <v>2.9510000000000001E-3</v>
      </c>
      <c r="H133" s="384"/>
      <c r="I133" s="386"/>
      <c r="J133" s="604">
        <f ca="1" xml:space="preserve"> CO2_eUse_kWhpkg</f>
        <v>0</v>
      </c>
      <c r="K133" s="598"/>
      <c r="L133" s="387"/>
      <c r="M133" s="387"/>
      <c r="N133" s="388"/>
      <c r="O133" s="397" t="s">
        <v>72</v>
      </c>
      <c r="P133" s="404">
        <f>Input_Sheet_Template!$C$140</f>
        <v>2.374951094500801E-3</v>
      </c>
      <c r="Q133" s="404">
        <f>Input_Sheet_Template!$C$142</f>
        <v>1.1334993860117458E-4</v>
      </c>
      <c r="R133" s="405"/>
      <c r="S133" s="397" t="s">
        <v>74</v>
      </c>
      <c r="T133" s="404"/>
      <c r="U133" s="404"/>
      <c r="V133" s="405"/>
    </row>
    <row r="134" spans="1:22" ht="16.5" customHeight="1" thickBot="1" x14ac:dyDescent="0.4">
      <c r="A134" s="376" t="s">
        <v>265</v>
      </c>
      <c r="B134" s="383">
        <f>feedstockWoody_Biomass_Price</f>
        <v>9.9647594727723249E-2</v>
      </c>
      <c r="C134" s="384"/>
      <c r="D134" s="384"/>
      <c r="E134" s="384"/>
      <c r="F134" s="385">
        <f>utilityIndustrial_Electricity_Price</f>
        <v>7.7596976084681746E-2</v>
      </c>
      <c r="G134" s="384">
        <f>utilityCommercial_Natural_Gas_Price</f>
        <v>11.434927027570099</v>
      </c>
      <c r="H134" s="384"/>
      <c r="I134" s="386"/>
      <c r="J134" s="604">
        <f ca="1">IF(J131="",0,CO2_eCost)</f>
        <v>0</v>
      </c>
      <c r="K134" s="598"/>
      <c r="L134" s="387"/>
      <c r="M134" s="387"/>
      <c r="N134" s="388"/>
      <c r="O134" s="398" t="s">
        <v>266</v>
      </c>
      <c r="P134" s="406" t="str">
        <f>Input_Sheet_Template!$F$140</f>
        <v>Yes</v>
      </c>
      <c r="Q134" s="406" t="str">
        <f>Input_Sheet_Template!$F$142</f>
        <v>Yes</v>
      </c>
      <c r="R134" s="407"/>
      <c r="S134" s="398" t="s">
        <v>266</v>
      </c>
      <c r="T134" s="413"/>
      <c r="U134" s="413"/>
      <c r="V134" s="414"/>
    </row>
    <row r="135" spans="1:22" ht="16.5" customHeight="1" thickBot="1" x14ac:dyDescent="0.4">
      <c r="A135" s="418" t="s">
        <v>266</v>
      </c>
      <c r="B135" s="389" t="str">
        <f>Input_Sheet_Template!$G$75</f>
        <v>yes</v>
      </c>
      <c r="C135" s="390"/>
      <c r="D135" s="390"/>
      <c r="E135" s="390"/>
      <c r="F135" s="391" t="str">
        <f>Input_Sheet_Template!$G$78</f>
        <v>yes</v>
      </c>
      <c r="G135" s="390" t="str">
        <f>Input_Sheet_Template!$G$80</f>
        <v>yes</v>
      </c>
      <c r="H135" s="390"/>
      <c r="I135" s="392"/>
      <c r="J135" s="605" t="str">
        <f ca="1">IF(J131="","","yes")</f>
        <v/>
      </c>
      <c r="K135" s="599"/>
      <c r="L135" s="393"/>
      <c r="M135" s="393"/>
      <c r="N135" s="394"/>
      <c r="O135" s="399"/>
      <c r="P135" s="408"/>
      <c r="Q135" s="408"/>
      <c r="R135" s="409"/>
      <c r="S135" s="410"/>
      <c r="T135" s="415"/>
      <c r="U135" s="415"/>
      <c r="V135" s="416"/>
    </row>
    <row r="136" spans="1:22" ht="30" customHeight="1" thickBot="1" x14ac:dyDescent="0.4">
      <c r="A136" s="376" t="s">
        <v>530</v>
      </c>
      <c r="B136" s="534">
        <f ca="1">IF(B131="",0,VLOOKUP(B131,MASTER_PROPERTY_TABLE,11,FALSE)*B132*B133)</f>
        <v>24.93157945624549</v>
      </c>
      <c r="C136" s="535">
        <f>IF(C131="",0,VLOOKUP(C131,MASTER_PROPERTY_TABLE,11,FALSE)*C132*C133)</f>
        <v>0</v>
      </c>
      <c r="D136" s="535">
        <f>IF(D131="",0,VLOOKUP(D131,MASTER_PROPERTY_TABLE,11,FALSE)*D132*D133)</f>
        <v>0</v>
      </c>
      <c r="E136" s="536">
        <f>IF(E131="",0,VLOOKUP(E131,MASTER_PROPERTY_TABLE,11,FALSE)*E132*E133)</f>
        <v>0</v>
      </c>
      <c r="F136" s="534">
        <f ca="1">IF(F131="",,VLOOKUP(F131,MASTER_PROPERTY_TABLE,11,FALSE)*F132*F133)</f>
        <v>0</v>
      </c>
      <c r="G136" s="535">
        <f ca="1">IF(G131="",,VLOOKUP(G131,MASTER_PROPERTY_TABLE,11,FALSE)*G132*G133)</f>
        <v>0.17532682536453037</v>
      </c>
      <c r="H136" s="535">
        <f>IF(H131="",,VLOOKUP(H131,MASTER_PROPERTY_TABLE,11,FALSE)*H132*H133)</f>
        <v>0</v>
      </c>
      <c r="I136" s="535">
        <f>IF(I131="",,VLOOKUP(I131,MASTER_PROPERTY_TABLE,11,FALSE)*I132*I133)</f>
        <v>0</v>
      </c>
      <c r="J136" s="536">
        <f ca="1">IF($J$131="",0,VLOOKUP($J$131,MASTER_PROPERTY_TABLE,12,FALSE)*$J$132*$J$133)</f>
        <v>0</v>
      </c>
      <c r="K136" s="384"/>
      <c r="L136" s="387"/>
      <c r="M136" s="387"/>
      <c r="N136" s="388"/>
      <c r="O136" s="421"/>
      <c r="P136" s="419"/>
      <c r="Q136" s="419"/>
      <c r="R136" s="420"/>
      <c r="S136" s="422"/>
      <c r="T136" s="423"/>
      <c r="U136" s="423"/>
      <c r="V136" s="424"/>
    </row>
    <row r="137" spans="1:22" ht="30" customHeight="1" thickBot="1" x14ac:dyDescent="0.4">
      <c r="A137" s="533" t="s">
        <v>934</v>
      </c>
      <c r="B137" s="425">
        <f ca="1">IF(B131="",0,IF(VLOOKUP(B131,MASTER_PROPERTY_TABLE,12,FALSE)="English",mmBTU_to_GJ,1))</f>
        <v>1</v>
      </c>
      <c r="C137" s="426">
        <f>IF(C131="",0,IF(VLOOKUP(C131,MASTER_PROPERTY_TABLE,12,FALSE)="English",mmBTU_to_GJ,1))</f>
        <v>0</v>
      </c>
      <c r="D137" s="426">
        <f>IF(D131="",0,IF(VLOOKUP(D131,MASTER_PROPERTY_TABLE,12,FALSE)="English",mmBTU_to_GJ,1))</f>
        <v>0</v>
      </c>
      <c r="E137" s="427">
        <f>IF(E131="",,IF(VLOOKUP(E131,MASTER_PROPERTY_TABLE,12,FALSE)="English",mmBTU_to_GJ,1))</f>
        <v>0</v>
      </c>
      <c r="F137" s="425">
        <f ca="1">IF(F131="",,IF(VLOOKUP(F131,MASTER_PROPERTY_TABLE,12,FALSE)="English",mmBTU_to_GJ,1))</f>
        <v>1</v>
      </c>
      <c r="G137" s="426">
        <f ca="1">IF(G131="",,IF(VLOOKUP(G131,MASTER_PROPERTY_TABLE,12,FALSE)="English",mmBTU_to_GJ,1))</f>
        <v>1</v>
      </c>
      <c r="H137" s="426">
        <f>IF(H131="",,IF(VLOOKUP(H131,MASTER_PROPERTY_TABLE,12,FALSE)="English",mmBTU_to_GJ,1))</f>
        <v>0</v>
      </c>
      <c r="I137" s="426">
        <f>IF(I131="",,IF(VLOOKUP(I131,MASTER_PROPERTY_TABLE,12,FALSE)="English",mmBTU_to_GJ,1))</f>
        <v>0</v>
      </c>
      <c r="J137" s="427">
        <f ca="1">IF($J$131="",0,IF(VLOOKUP($J$131,MASTER_PROPERTY_TABLE,12,FALSE)="English",mmBTU_to_GJ,1))</f>
        <v>0</v>
      </c>
      <c r="K137" s="426">
        <f>IF(K131="",,IF(VLOOKUP(K131,MASTER_PROPERTY_TABLE,12,FALSE)="English",mmBTU_to_GJ,1))</f>
        <v>0</v>
      </c>
      <c r="L137" s="426">
        <f>IF(L131="",,IF(VLOOKUP(L131,MASTER_PROPERTY_TABLE,12,FALSE)="English",mmBTU_to_GJ,1))</f>
        <v>0</v>
      </c>
      <c r="M137" s="426">
        <f>IF(M131="",,IF(VLOOKUP(M131,MASTER_PROPERTY_TABLE,12,FALSE)="English",mmBTU_to_GJ,1))</f>
        <v>0</v>
      </c>
      <c r="N137" s="426">
        <f>IF(N131="",,IF(VLOOKUP(N131,MASTER_PROPERTY_TABLE,12,FALSE)="English",mmBTU_to_GJ,1))</f>
        <v>0</v>
      </c>
      <c r="O137" s="532"/>
      <c r="P137" s="530"/>
      <c r="Q137" s="530"/>
      <c r="R137" s="531"/>
      <c r="S137" s="410"/>
      <c r="T137" s="415"/>
      <c r="U137" s="415"/>
      <c r="V137" s="416"/>
    </row>
    <row r="138" spans="1:22" ht="38.25" customHeight="1" thickTop="1" x14ac:dyDescent="0.3">
      <c r="A138" s="204" t="s">
        <v>1034</v>
      </c>
      <c r="B138" s="237" t="str">
        <f t="shared" ref="B138:N138" si="49">IF(B$131="","",B$131&amp;" ($/kg of H2)")</f>
        <v>Woody Biomass ($/kg of H2)</v>
      </c>
      <c r="C138" s="237" t="str">
        <f t="shared" si="49"/>
        <v/>
      </c>
      <c r="D138" s="237" t="str">
        <f t="shared" si="49"/>
        <v/>
      </c>
      <c r="E138" s="237" t="str">
        <f t="shared" si="49"/>
        <v/>
      </c>
      <c r="F138" s="237" t="str">
        <f t="shared" si="49"/>
        <v>Industrial Electricity ($/kg of H2)</v>
      </c>
      <c r="G138" s="237" t="str">
        <f t="shared" si="49"/>
        <v>Commercial Natural Gas ($/kg of H2)</v>
      </c>
      <c r="H138" s="237" t="str">
        <f t="shared" si="49"/>
        <v/>
      </c>
      <c r="I138" s="596" t="str">
        <f t="shared" si="49"/>
        <v/>
      </c>
      <c r="J138" s="602"/>
      <c r="K138" s="600" t="str">
        <f t="shared" si="49"/>
        <v/>
      </c>
      <c r="L138" s="237" t="str">
        <f t="shared" si="49"/>
        <v/>
      </c>
      <c r="M138" s="237" t="str">
        <f t="shared" si="49"/>
        <v/>
      </c>
      <c r="N138" s="237" t="str">
        <f t="shared" si="49"/>
        <v/>
      </c>
      <c r="O138" s="237"/>
      <c r="P138" s="237" t="str">
        <f>IF(P$131="","",P$131&amp;" ($/kg of H2)")</f>
        <v>Process Water ($/kg of H2)</v>
      </c>
      <c r="Q138" s="237" t="str">
        <f>IF(Q$131="","",Q$131&amp;" ($/kg of H2)")</f>
        <v>Cooling Water ($/kg of H2)</v>
      </c>
      <c r="R138" s="237" t="str">
        <f>IF(R$131="","",R$131&amp;" ($/kg of H2)")</f>
        <v/>
      </c>
      <c r="S138" s="238"/>
      <c r="T138" s="237" t="str">
        <f>IF(T$131="","",T$131&amp;" ($/kg of H2)")</f>
        <v/>
      </c>
      <c r="U138" s="237" t="str">
        <f>IF(U$131="","",U$131&amp;" ($/kg of H2)")</f>
        <v/>
      </c>
      <c r="V138" s="237" t="str">
        <f>IF(V$131="","",V$131&amp;" ($/kg of H2)")</f>
        <v/>
      </c>
    </row>
    <row r="139" spans="1:22" ht="15" customHeight="1" x14ac:dyDescent="0.25">
      <c r="A139" s="205">
        <f t="shared" ref="A139:A182" si="50">IF(A65="","",A65)</f>
        <v>2037</v>
      </c>
      <c r="B139" s="207">
        <f ca="1">IF($A139="","",IF($B$131="","",IF($B$135="no",INFLATION_FACTOR*$B$133*$B$134,INFLATION_FACTOR*$B$133*$B$132*INDEX(FEEDPRICETABLE,MATCH($B$131,List_Energy_Feedstocks,0),MATCH($A139,Feedstock_Year,0)))))</f>
        <v>2.0396124478824151</v>
      </c>
      <c r="C139" s="207" t="str">
        <f t="shared" ref="C139:C182" si="51">IF($A139="","",IF($C$131="","",IF($C$135="no",INFLATION_FACTOR*$C$133*$C$134,INFLATION_FACTOR*$C$133*$C$132*INDEX(FEEDPRICETABLE,MATCH($C$131,List_Energy_Feedstocks,0),MATCH($A139,Feedstock_Year,0)))))</f>
        <v/>
      </c>
      <c r="D139" s="207" t="str">
        <f t="shared" ref="D139:D182" si="52">IF($A139="","",IF($D$131="","",IF($D$135="no",INFLATION_FACTOR*$D$133*$D$134,INFLATION_FACTOR*$D$133*$D$132*INDEX(FEEDPRICETABLE,MATCH($D$131,List_Energy_Feedstocks,0),MATCH($A139,Feedstock_Year,0)))))</f>
        <v/>
      </c>
      <c r="E139" s="234" t="str">
        <f t="shared" ref="E139:E182" si="53">IF($A139="","",IF($E$131="","",IF($E$135="no",INFLATION_FACTOR*$E$133*$E$134,INFLATION_FACTOR*$E$133*$E$132*INDEX(FEEDPRICETABLE,MATCH($E$131,List_Energy_Feedstocks,0),MATCH($A139,Feedstock_Year,0)))))</f>
        <v/>
      </c>
      <c r="F139" s="206">
        <f ca="1">IF($A139="","",IF($F$131="","",IF($F$135="no",INFLATION_FACTOR*$F$133*$F$134,INFLATION_FACTOR*$F$133*$F$132*INDEX(FEEDPRICETABLE,MATCH($F$131,List_Energy_Feedstocks,0),MATCH($A139,Feedstock_Year,0)))))</f>
        <v>0.11535703602551267</v>
      </c>
      <c r="G139" s="207">
        <f t="shared" ref="G139:G182" ca="1" si="54">IF($A139="","",IF($G$131="","",IF($G$135="no",INFLATION_FACTOR*$G$133*$G$134,INFLATION_FACTOR*$G$133*$G$132*INDEX(FEEDPRICETABLE,MATCH($G$131,List_Energy_Feedstocks,0),MATCH($A139,Feedstock_Year,0)))))</f>
        <v>5.2756583020695913E-2</v>
      </c>
      <c r="H139" s="207" t="str">
        <f t="shared" ref="H139:H182" si="55">IF($A139="","",IF($H$131="","",IF($H$135="no",INFLATION_FACTOR*$H$133*$H$134,INFLATION_FACTOR*$H$133*$H$132*INDEX(FEEDPRICETABLE,MATCH(H$131,List_Energy_Feedstocks,0),MATCH($A139,Feedstock_Year,0)))))</f>
        <v/>
      </c>
      <c r="I139" s="234" t="str">
        <f t="shared" ref="I139:I182" si="56">IF($A139="","",IF($I$131="","",IF($I$135="no",INFLATION_FACTOR*$I$133*$I$134,INFLATION_FACTOR*$I$133*$I$132*INDEX(FEEDPRICETABLE,MATCH($I$131,List_Energy_Feedstocks,0),MATCH($A139,Feedstock_Year,0)))))</f>
        <v/>
      </c>
      <c r="J139" s="601" t="str">
        <f t="shared" ref="J139:J182" ca="1" si="57">IF($A139="","",IF($J$131="","",IF($J$135="no",INFLATION_FACTOR*$J$133*$J$134,INFLATION_FACTOR*$J$133*$J$132*INDEX(FEEDPRICETABLE,MATCH($J$131,List_Energy_Feedstocks,0),MATCH($A139,Feedstock_Year,0)))))</f>
        <v/>
      </c>
      <c r="K139" s="232" t="str">
        <f t="shared" ref="K139:K182" si="58">IF($A139="","",IF($K$131="","",IF($K$135="no",INFLATION_FACTOR*$K$133*$K$134,INFLATION_FACTOR*$K$133*$K$132*INDEX(FEEDPRICETABLE,MATCH($K$131,List_Energy_Feedstocks,0),MATCH($A139,Feedstock_Year,0)))))</f>
        <v/>
      </c>
      <c r="L139" s="232" t="str">
        <f t="shared" ref="L139:L182" si="59">IF($A139="","",IF($L$131="","",IF($L$135="no",INFLATION_FACTOR*$L$133*$L$134,INFLATION_FACTOR*$L$133*$L$132*INDEX(FEEDPRICETABLE,MATCH($L$131,List_Energy_Feedstocks,0),MATCH($A139,Feedstock_Year,0)))))</f>
        <v/>
      </c>
      <c r="M139" s="207" t="str">
        <f t="shared" ref="M139:M182" si="60">IF($A139="","",IF(M$131="","",IF($M$135="no",INFLATION_FACTOR*$M$133*$M$134,INFLATION_FACTOR*$M$133*$M$132*INDEX(FEEDPRICETABLE,MATCH($M$131,List_Energy_Feedstocks,0),MATCH($A139,Feedstock_Year,0)))))</f>
        <v/>
      </c>
      <c r="N139" s="235" t="str">
        <f t="shared" ref="N139:N182" si="61">IF($A139="","",IF($N$131="","",IF($N$135="no",INFLATION_FACTOR*$N$133*$N$134,INFLATION_FACTOR*$N$133*$N$132*INDEX(FEEDPRICETABLE,MATCH($N$131,List_Energy_Feedstocks,0),MATCH($A139,Feedstock_Year,0)))))</f>
        <v/>
      </c>
      <c r="O139" s="239"/>
      <c r="P139" s="229">
        <f ca="1">IF(OR($A139="",$P$131=""),"",IF($P$134="No",INFLATION_FACTOR*$P$132*$P$133,INFLATION_FACTOR*$P$132*INDEX(Tbl_Other_Inputs_and_Byproducts,MATCH($P$131,Other_Inputs_List,0),MATCH($A139,Other_Inputs_years,0))))</f>
        <v>4.9287626500969335E-3</v>
      </c>
      <c r="Q139" s="229">
        <f ca="1">IF(OR($A139="",$Q$131=""),"",IF($Q$134="No",INFLATION_FACTOR*$Q$132*$Q$133,INFLATION_FACTOR*$Q$132*INDEX(Tbl_Other_Inputs_and_Byproducts,MATCH($Q$131,Other_Inputs_List,0),MATCH($A139,Other_Inputs_years,0))))</f>
        <v>1.4114183952550307E-2</v>
      </c>
      <c r="R139" s="229" t="str">
        <f t="shared" ref="R139:R182" si="62">IF(OR($A139="",$R$131=""),"",IF($R$134="No",INFLATION_FACTOR*$R$132*$R$133,INFLATION_FACTOR*$R$132*INDEX(Tbl_Other_Inputs_and_Byproducts,MATCH($R$131,Other_Inputs_List,0),MATCH($A139,Other_Inputs_years,0))))</f>
        <v/>
      </c>
      <c r="S139" s="239"/>
      <c r="T139" s="229" t="str">
        <f t="shared" ref="T139:T182" si="63">IF(OR($A139="",$T$131=""),"",IF($T$134="No",INFLATION_FACTOR*$T$132*$T$133,INFLATION_FACTOR*$T$132*INDEX(Tbl_Other_Inputs_and_Byproducts,MATCH($T$131,Other_Inputs_List,0),MATCH($A139,Other_Inputs_years,0))))</f>
        <v/>
      </c>
      <c r="U139" s="229" t="str">
        <f t="shared" ref="U139:U182" si="64">IF(OR($A139="",$U$131=""),"",IF($U$134="No",INFLATION_FACTOR*$U$132*$U$133,INFLATION_FACTOR*$U$132*INDEX(Tbl_Other_Inputs_and_Byproducts,MATCH($U$131,Other_Inputs_List,0),MATCH($A139,Other_Inputs_years,0))))</f>
        <v/>
      </c>
      <c r="V139" s="229" t="str">
        <f t="shared" ref="V139:V182" si="65">IF(OR($A139="",$V$131=""),"",IF($V$134="No",INFLATION_FACTOR*$V$132*$V$133,INFLATION_FACTOR*$V$132*INDEX(Tbl_Other_Inputs_and_Byproducts,MATCH($V$131,Other_Inputs_List,0),MATCH($A139,Other_Inputs_years,0))))</f>
        <v/>
      </c>
    </row>
    <row r="140" spans="1:22" ht="15" customHeight="1" x14ac:dyDescent="0.25">
      <c r="A140" s="205">
        <f t="shared" si="50"/>
        <v>2038</v>
      </c>
      <c r="B140" s="207">
        <f t="shared" ref="B140:B182" ca="1" si="66">IF($A140="","",IF($B$131="","",IF($B$135="no",INFLATION_FACTOR*$B$133*$B$134,INFLATION_FACTOR*$B$133*$B$132*INDEX(FEEDPRICETABLE,MATCH($B$131,List_Energy_Feedstocks,0),MATCH($A140,Feedstock_Year,0)))))</f>
        <v>2.0396124478824151</v>
      </c>
      <c r="C140" s="207" t="str">
        <f t="shared" si="51"/>
        <v/>
      </c>
      <c r="D140" s="207" t="str">
        <f t="shared" si="52"/>
        <v/>
      </c>
      <c r="E140" s="234" t="str">
        <f t="shared" si="53"/>
        <v/>
      </c>
      <c r="F140" s="206">
        <f t="shared" ref="F140:F182" ca="1" si="67">IF($A140="","",IF($F$131="","",IF($F$135="no",INFLATION_FACTOR*$F$133*$F$134,INFLATION_FACTOR*$F$133*$F$132*INDEX(FEEDPRICETABLE,MATCH($F$131,List_Energy_Feedstocks,0),MATCH($A140,Feedstock_Year,0)))))</f>
        <v>0.1153826583212044</v>
      </c>
      <c r="G140" s="207">
        <f t="shared" ca="1" si="54"/>
        <v>5.2910427346358313E-2</v>
      </c>
      <c r="H140" s="207" t="str">
        <f t="shared" si="55"/>
        <v/>
      </c>
      <c r="I140" s="234" t="str">
        <f t="shared" si="56"/>
        <v/>
      </c>
      <c r="J140" s="601" t="str">
        <f t="shared" ca="1" si="57"/>
        <v/>
      </c>
      <c r="K140" s="232" t="str">
        <f t="shared" si="58"/>
        <v/>
      </c>
      <c r="L140" s="232" t="str">
        <f t="shared" si="59"/>
        <v/>
      </c>
      <c r="M140" s="207" t="str">
        <f t="shared" si="60"/>
        <v/>
      </c>
      <c r="N140" s="235" t="str">
        <f t="shared" si="61"/>
        <v/>
      </c>
      <c r="O140" s="240"/>
      <c r="P140" s="229">
        <f t="shared" ref="P140:P182" ca="1" si="68">IF(OR($A140="",$P$131=""),"",IF($P$134="No",INFLATION_FACTOR*$P$132*$P$133,INFLATION_FACTOR*$P$132*INDEX(Tbl_Other_Inputs_and_Byproducts,MATCH($P$131,Other_Inputs_List,0),MATCH($A140,Other_Inputs_years,0))))</f>
        <v>4.9287626500969335E-3</v>
      </c>
      <c r="Q140" s="229">
        <f t="shared" ref="Q140:Q182" ca="1" si="69">IF(OR($A140="",$Q$131=""),"",IF($Q$134="No",INFLATION_FACTOR*$Q$132*$Q$133,INFLATION_FACTOR*$Q$132*INDEX(Tbl_Other_Inputs_and_Byproducts,MATCH($Q$131,Other_Inputs_List,0),MATCH($A140,Other_Inputs_years,0))))</f>
        <v>1.4114183952550307E-2</v>
      </c>
      <c r="R140" s="229" t="str">
        <f t="shared" si="62"/>
        <v/>
      </c>
      <c r="S140" s="239"/>
      <c r="T140" s="229" t="str">
        <f t="shared" si="63"/>
        <v/>
      </c>
      <c r="U140" s="229" t="str">
        <f t="shared" si="64"/>
        <v/>
      </c>
      <c r="V140" s="229" t="str">
        <f t="shared" si="65"/>
        <v/>
      </c>
    </row>
    <row r="141" spans="1:22" ht="15" customHeight="1" x14ac:dyDescent="0.25">
      <c r="A141" s="205">
        <f t="shared" si="50"/>
        <v>2039</v>
      </c>
      <c r="B141" s="207">
        <f t="shared" ca="1" si="66"/>
        <v>2.0396124478824151</v>
      </c>
      <c r="C141" s="207" t="str">
        <f t="shared" si="51"/>
        <v/>
      </c>
      <c r="D141" s="207" t="str">
        <f t="shared" si="52"/>
        <v/>
      </c>
      <c r="E141" s="234" t="str">
        <f t="shared" si="53"/>
        <v/>
      </c>
      <c r="F141" s="206">
        <f t="shared" ca="1" si="67"/>
        <v>0.11547195642884645</v>
      </c>
      <c r="G141" s="207">
        <f t="shared" ca="1" si="54"/>
        <v>5.3145978001189621E-2</v>
      </c>
      <c r="H141" s="207" t="str">
        <f t="shared" si="55"/>
        <v/>
      </c>
      <c r="I141" s="234" t="str">
        <f t="shared" si="56"/>
        <v/>
      </c>
      <c r="J141" s="601" t="str">
        <f t="shared" ca="1" si="57"/>
        <v/>
      </c>
      <c r="K141" s="232" t="str">
        <f t="shared" si="58"/>
        <v/>
      </c>
      <c r="L141" s="232" t="str">
        <f t="shared" si="59"/>
        <v/>
      </c>
      <c r="M141" s="207" t="str">
        <f t="shared" si="60"/>
        <v/>
      </c>
      <c r="N141" s="235" t="str">
        <f t="shared" si="61"/>
        <v/>
      </c>
      <c r="O141" s="240"/>
      <c r="P141" s="229">
        <f t="shared" ca="1" si="68"/>
        <v>4.9287626500969335E-3</v>
      </c>
      <c r="Q141" s="229">
        <f t="shared" ca="1" si="69"/>
        <v>1.4114183952550307E-2</v>
      </c>
      <c r="R141" s="229" t="str">
        <f t="shared" si="62"/>
        <v/>
      </c>
      <c r="S141" s="239"/>
      <c r="T141" s="229" t="str">
        <f t="shared" si="63"/>
        <v/>
      </c>
      <c r="U141" s="229" t="str">
        <f t="shared" si="64"/>
        <v/>
      </c>
      <c r="V141" s="229" t="str">
        <f t="shared" si="65"/>
        <v/>
      </c>
    </row>
    <row r="142" spans="1:22" ht="15" customHeight="1" x14ac:dyDescent="0.25">
      <c r="A142" s="205">
        <f t="shared" si="50"/>
        <v>2040</v>
      </c>
      <c r="B142" s="207">
        <f t="shared" ca="1" si="66"/>
        <v>2.0396124478824151</v>
      </c>
      <c r="C142" s="207" t="str">
        <f t="shared" si="51"/>
        <v/>
      </c>
      <c r="D142" s="207" t="str">
        <f t="shared" si="52"/>
        <v/>
      </c>
      <c r="E142" s="234" t="str">
        <f t="shared" si="53"/>
        <v/>
      </c>
      <c r="F142" s="206">
        <f t="shared" ca="1" si="67"/>
        <v>0.11520120505278265</v>
      </c>
      <c r="G142" s="207">
        <f t="shared" ca="1" si="54"/>
        <v>5.3013078310715035E-2</v>
      </c>
      <c r="H142" s="207" t="str">
        <f t="shared" si="55"/>
        <v/>
      </c>
      <c r="I142" s="234" t="str">
        <f t="shared" si="56"/>
        <v/>
      </c>
      <c r="J142" s="601" t="str">
        <f t="shared" ca="1" si="57"/>
        <v/>
      </c>
      <c r="K142" s="232" t="str">
        <f t="shared" si="58"/>
        <v/>
      </c>
      <c r="L142" s="232" t="str">
        <f t="shared" si="59"/>
        <v/>
      </c>
      <c r="M142" s="207" t="str">
        <f t="shared" si="60"/>
        <v/>
      </c>
      <c r="N142" s="235" t="str">
        <f t="shared" si="61"/>
        <v/>
      </c>
      <c r="O142" s="240"/>
      <c r="P142" s="229">
        <f t="shared" ca="1" si="68"/>
        <v>4.9287626500969335E-3</v>
      </c>
      <c r="Q142" s="229">
        <f t="shared" ca="1" si="69"/>
        <v>1.4114183952550307E-2</v>
      </c>
      <c r="R142" s="229" t="str">
        <f t="shared" si="62"/>
        <v/>
      </c>
      <c r="S142" s="239"/>
      <c r="T142" s="229" t="str">
        <f t="shared" si="63"/>
        <v/>
      </c>
      <c r="U142" s="229" t="str">
        <f t="shared" si="64"/>
        <v/>
      </c>
      <c r="V142" s="229" t="str">
        <f t="shared" si="65"/>
        <v/>
      </c>
    </row>
    <row r="143" spans="1:22" ht="15" customHeight="1" x14ac:dyDescent="0.25">
      <c r="A143" s="205">
        <f t="shared" si="50"/>
        <v>2041</v>
      </c>
      <c r="B143" s="207">
        <f t="shared" ca="1" si="66"/>
        <v>2.0396124478824151</v>
      </c>
      <c r="C143" s="207" t="str">
        <f t="shared" si="51"/>
        <v/>
      </c>
      <c r="D143" s="207" t="str">
        <f t="shared" si="52"/>
        <v/>
      </c>
      <c r="E143" s="234" t="str">
        <f t="shared" si="53"/>
        <v/>
      </c>
      <c r="F143" s="206">
        <f t="shared" ca="1" si="67"/>
        <v>0.11486240616821221</v>
      </c>
      <c r="G143" s="207">
        <f t="shared" ca="1" si="54"/>
        <v>5.315634833074144E-2</v>
      </c>
      <c r="H143" s="207" t="str">
        <f t="shared" si="55"/>
        <v/>
      </c>
      <c r="I143" s="234" t="str">
        <f t="shared" si="56"/>
        <v/>
      </c>
      <c r="J143" s="601" t="str">
        <f t="shared" ca="1" si="57"/>
        <v/>
      </c>
      <c r="K143" s="232" t="str">
        <f t="shared" si="58"/>
        <v/>
      </c>
      <c r="L143" s="232" t="str">
        <f t="shared" si="59"/>
        <v/>
      </c>
      <c r="M143" s="207" t="str">
        <f t="shared" si="60"/>
        <v/>
      </c>
      <c r="N143" s="235" t="str">
        <f t="shared" si="61"/>
        <v/>
      </c>
      <c r="O143" s="240"/>
      <c r="P143" s="229">
        <f t="shared" ca="1" si="68"/>
        <v>4.9287626500969335E-3</v>
      </c>
      <c r="Q143" s="229">
        <f t="shared" ca="1" si="69"/>
        <v>1.4114183952550307E-2</v>
      </c>
      <c r="R143" s="229" t="str">
        <f t="shared" si="62"/>
        <v/>
      </c>
      <c r="S143" s="239"/>
      <c r="T143" s="229" t="str">
        <f t="shared" si="63"/>
        <v/>
      </c>
      <c r="U143" s="229" t="str">
        <f t="shared" si="64"/>
        <v/>
      </c>
      <c r="V143" s="229" t="str">
        <f t="shared" si="65"/>
        <v/>
      </c>
    </row>
    <row r="144" spans="1:22" ht="15" customHeight="1" x14ac:dyDescent="0.25">
      <c r="A144" s="205">
        <f t="shared" si="50"/>
        <v>2042</v>
      </c>
      <c r="B144" s="207">
        <f t="shared" ca="1" si="66"/>
        <v>2.0396124478824151</v>
      </c>
      <c r="C144" s="207" t="str">
        <f t="shared" si="51"/>
        <v/>
      </c>
      <c r="D144" s="207" t="str">
        <f t="shared" si="52"/>
        <v/>
      </c>
      <c r="E144" s="234" t="str">
        <f t="shared" si="53"/>
        <v/>
      </c>
      <c r="F144" s="206">
        <f t="shared" ca="1" si="67"/>
        <v>0.11499562893499676</v>
      </c>
      <c r="G144" s="207">
        <f t="shared" ca="1" si="54"/>
        <v>5.3496543352570203E-2</v>
      </c>
      <c r="H144" s="207" t="str">
        <f t="shared" si="55"/>
        <v/>
      </c>
      <c r="I144" s="234" t="str">
        <f t="shared" si="56"/>
        <v/>
      </c>
      <c r="J144" s="601" t="str">
        <f t="shared" ca="1" si="57"/>
        <v/>
      </c>
      <c r="K144" s="232" t="str">
        <f t="shared" si="58"/>
        <v/>
      </c>
      <c r="L144" s="232" t="str">
        <f t="shared" si="59"/>
        <v/>
      </c>
      <c r="M144" s="207" t="str">
        <f t="shared" si="60"/>
        <v/>
      </c>
      <c r="N144" s="235" t="str">
        <f t="shared" si="61"/>
        <v/>
      </c>
      <c r="O144" s="240"/>
      <c r="P144" s="229">
        <f t="shared" ca="1" si="68"/>
        <v>4.9287626500969335E-3</v>
      </c>
      <c r="Q144" s="229">
        <f t="shared" ca="1" si="69"/>
        <v>1.4114183952550307E-2</v>
      </c>
      <c r="R144" s="229" t="str">
        <f t="shared" si="62"/>
        <v/>
      </c>
      <c r="S144" s="239"/>
      <c r="T144" s="229" t="str">
        <f t="shared" si="63"/>
        <v/>
      </c>
      <c r="U144" s="229" t="str">
        <f t="shared" si="64"/>
        <v/>
      </c>
      <c r="V144" s="229" t="str">
        <f t="shared" si="65"/>
        <v/>
      </c>
    </row>
    <row r="145" spans="1:22" ht="15" customHeight="1" x14ac:dyDescent="0.25">
      <c r="A145" s="205">
        <f t="shared" si="50"/>
        <v>2043</v>
      </c>
      <c r="B145" s="207">
        <f t="shared" ca="1" si="66"/>
        <v>2.0396124478824151</v>
      </c>
      <c r="C145" s="207" t="str">
        <f t="shared" si="51"/>
        <v/>
      </c>
      <c r="D145" s="207" t="str">
        <f t="shared" si="52"/>
        <v/>
      </c>
      <c r="E145" s="234" t="str">
        <f t="shared" si="53"/>
        <v/>
      </c>
      <c r="F145" s="206">
        <f t="shared" ca="1" si="67"/>
        <v>0.11534657029540214</v>
      </c>
      <c r="G145" s="207">
        <f t="shared" ca="1" si="54"/>
        <v>5.393506875442744E-2</v>
      </c>
      <c r="H145" s="207" t="str">
        <f t="shared" si="55"/>
        <v/>
      </c>
      <c r="I145" s="234" t="str">
        <f t="shared" si="56"/>
        <v/>
      </c>
      <c r="J145" s="601" t="str">
        <f t="shared" ca="1" si="57"/>
        <v/>
      </c>
      <c r="K145" s="232" t="str">
        <f t="shared" si="58"/>
        <v/>
      </c>
      <c r="L145" s="232" t="str">
        <f t="shared" si="59"/>
        <v/>
      </c>
      <c r="M145" s="207" t="str">
        <f t="shared" si="60"/>
        <v/>
      </c>
      <c r="N145" s="235" t="str">
        <f t="shared" si="61"/>
        <v/>
      </c>
      <c r="O145" s="240"/>
      <c r="P145" s="229">
        <f t="shared" ca="1" si="68"/>
        <v>4.9287626500969335E-3</v>
      </c>
      <c r="Q145" s="229">
        <f t="shared" ca="1" si="69"/>
        <v>1.4114183952550307E-2</v>
      </c>
      <c r="R145" s="229" t="str">
        <f t="shared" si="62"/>
        <v/>
      </c>
      <c r="S145" s="239"/>
      <c r="T145" s="229" t="str">
        <f t="shared" si="63"/>
        <v/>
      </c>
      <c r="U145" s="229" t="str">
        <f t="shared" si="64"/>
        <v/>
      </c>
      <c r="V145" s="229" t="str">
        <f t="shared" si="65"/>
        <v/>
      </c>
    </row>
    <row r="146" spans="1:22" ht="15" customHeight="1" x14ac:dyDescent="0.25">
      <c r="A146" s="205">
        <f t="shared" si="50"/>
        <v>2044</v>
      </c>
      <c r="B146" s="207">
        <f t="shared" ca="1" si="66"/>
        <v>2.0396124478824151</v>
      </c>
      <c r="C146" s="207" t="str">
        <f t="shared" si="51"/>
        <v/>
      </c>
      <c r="D146" s="207" t="str">
        <f t="shared" si="52"/>
        <v/>
      </c>
      <c r="E146" s="234" t="str">
        <f t="shared" si="53"/>
        <v/>
      </c>
      <c r="F146" s="206">
        <f t="shared" ca="1" si="67"/>
        <v>0.11578118177402423</v>
      </c>
      <c r="G146" s="207">
        <f t="shared" ca="1" si="54"/>
        <v>5.4362514546258366E-2</v>
      </c>
      <c r="H146" s="207" t="str">
        <f t="shared" si="55"/>
        <v/>
      </c>
      <c r="I146" s="234" t="str">
        <f t="shared" si="56"/>
        <v/>
      </c>
      <c r="J146" s="601" t="str">
        <f t="shared" ca="1" si="57"/>
        <v/>
      </c>
      <c r="K146" s="232" t="str">
        <f t="shared" si="58"/>
        <v/>
      </c>
      <c r="L146" s="232" t="str">
        <f t="shared" si="59"/>
        <v/>
      </c>
      <c r="M146" s="207" t="str">
        <f t="shared" si="60"/>
        <v/>
      </c>
      <c r="N146" s="235" t="str">
        <f t="shared" si="61"/>
        <v/>
      </c>
      <c r="O146" s="240"/>
      <c r="P146" s="229">
        <f t="shared" ca="1" si="68"/>
        <v>4.9287626500969335E-3</v>
      </c>
      <c r="Q146" s="229">
        <f t="shared" ca="1" si="69"/>
        <v>1.4114183952550307E-2</v>
      </c>
      <c r="R146" s="229" t="str">
        <f t="shared" si="62"/>
        <v/>
      </c>
      <c r="S146" s="239"/>
      <c r="T146" s="229" t="str">
        <f t="shared" si="63"/>
        <v/>
      </c>
      <c r="U146" s="229" t="str">
        <f t="shared" si="64"/>
        <v/>
      </c>
      <c r="V146" s="229" t="str">
        <f t="shared" si="65"/>
        <v/>
      </c>
    </row>
    <row r="147" spans="1:22" ht="15" customHeight="1" x14ac:dyDescent="0.25">
      <c r="A147" s="205">
        <f t="shared" si="50"/>
        <v>2045</v>
      </c>
      <c r="B147" s="207">
        <f t="shared" ca="1" si="66"/>
        <v>2.0396124478824151</v>
      </c>
      <c r="C147" s="207" t="str">
        <f t="shared" si="51"/>
        <v/>
      </c>
      <c r="D147" s="207" t="str">
        <f t="shared" si="52"/>
        <v/>
      </c>
      <c r="E147" s="234" t="str">
        <f t="shared" si="53"/>
        <v/>
      </c>
      <c r="F147" s="206">
        <f t="shared" ca="1" si="67"/>
        <v>0.11620412695233433</v>
      </c>
      <c r="G147" s="207">
        <f t="shared" ca="1" si="54"/>
        <v>5.4839711959345512E-2</v>
      </c>
      <c r="H147" s="207" t="str">
        <f t="shared" si="55"/>
        <v/>
      </c>
      <c r="I147" s="234" t="str">
        <f t="shared" si="56"/>
        <v/>
      </c>
      <c r="J147" s="601" t="str">
        <f t="shared" ca="1" si="57"/>
        <v/>
      </c>
      <c r="K147" s="232" t="str">
        <f t="shared" si="58"/>
        <v/>
      </c>
      <c r="L147" s="232" t="str">
        <f t="shared" si="59"/>
        <v/>
      </c>
      <c r="M147" s="207" t="str">
        <f t="shared" si="60"/>
        <v/>
      </c>
      <c r="N147" s="235" t="str">
        <f t="shared" si="61"/>
        <v/>
      </c>
      <c r="O147" s="240"/>
      <c r="P147" s="229">
        <f t="shared" ca="1" si="68"/>
        <v>4.9287626500969335E-3</v>
      </c>
      <c r="Q147" s="229">
        <f t="shared" ca="1" si="69"/>
        <v>1.4114183952550307E-2</v>
      </c>
      <c r="R147" s="229" t="str">
        <f t="shared" si="62"/>
        <v/>
      </c>
      <c r="S147" s="239"/>
      <c r="T147" s="229" t="str">
        <f t="shared" si="63"/>
        <v/>
      </c>
      <c r="U147" s="229" t="str">
        <f t="shared" si="64"/>
        <v/>
      </c>
      <c r="V147" s="229" t="str">
        <f t="shared" si="65"/>
        <v/>
      </c>
    </row>
    <row r="148" spans="1:22" ht="15" customHeight="1" x14ac:dyDescent="0.25">
      <c r="A148" s="205">
        <f t="shared" si="50"/>
        <v>2046</v>
      </c>
      <c r="B148" s="207">
        <f t="shared" ca="1" si="66"/>
        <v>2.0396124478824151</v>
      </c>
      <c r="C148" s="207" t="str">
        <f t="shared" si="51"/>
        <v/>
      </c>
      <c r="D148" s="207" t="str">
        <f t="shared" si="52"/>
        <v/>
      </c>
      <c r="E148" s="234" t="str">
        <f t="shared" si="53"/>
        <v/>
      </c>
      <c r="F148" s="206">
        <f t="shared" ca="1" si="67"/>
        <v>0.11663413877803269</v>
      </c>
      <c r="G148" s="207">
        <f t="shared" ca="1" si="54"/>
        <v>5.5236426899768737E-2</v>
      </c>
      <c r="H148" s="207" t="str">
        <f t="shared" si="55"/>
        <v/>
      </c>
      <c r="I148" s="234" t="str">
        <f t="shared" si="56"/>
        <v/>
      </c>
      <c r="J148" s="601" t="str">
        <f t="shared" ca="1" si="57"/>
        <v/>
      </c>
      <c r="K148" s="232" t="str">
        <f t="shared" si="58"/>
        <v/>
      </c>
      <c r="L148" s="232" t="str">
        <f t="shared" si="59"/>
        <v/>
      </c>
      <c r="M148" s="207" t="str">
        <f t="shared" si="60"/>
        <v/>
      </c>
      <c r="N148" s="235" t="str">
        <f t="shared" si="61"/>
        <v/>
      </c>
      <c r="O148" s="240"/>
      <c r="P148" s="229">
        <f t="shared" ca="1" si="68"/>
        <v>4.9287626500969335E-3</v>
      </c>
      <c r="Q148" s="229">
        <f t="shared" ca="1" si="69"/>
        <v>1.4114183952550307E-2</v>
      </c>
      <c r="R148" s="229" t="str">
        <f t="shared" si="62"/>
        <v/>
      </c>
      <c r="S148" s="239"/>
      <c r="T148" s="229" t="str">
        <f t="shared" si="63"/>
        <v/>
      </c>
      <c r="U148" s="229" t="str">
        <f t="shared" si="64"/>
        <v/>
      </c>
      <c r="V148" s="229" t="str">
        <f t="shared" si="65"/>
        <v/>
      </c>
    </row>
    <row r="149" spans="1:22" ht="15" customHeight="1" x14ac:dyDescent="0.25">
      <c r="A149" s="205">
        <f t="shared" si="50"/>
        <v>2047</v>
      </c>
      <c r="B149" s="207">
        <f t="shared" ca="1" si="66"/>
        <v>2.0396124478824151</v>
      </c>
      <c r="C149" s="207" t="str">
        <f t="shared" si="51"/>
        <v/>
      </c>
      <c r="D149" s="207" t="str">
        <f t="shared" si="52"/>
        <v/>
      </c>
      <c r="E149" s="234" t="str">
        <f t="shared" si="53"/>
        <v/>
      </c>
      <c r="F149" s="206">
        <f t="shared" ca="1" si="67"/>
        <v>0.11702001825100943</v>
      </c>
      <c r="G149" s="207">
        <f t="shared" ca="1" si="54"/>
        <v>5.5553350104722142E-2</v>
      </c>
      <c r="H149" s="207" t="str">
        <f t="shared" si="55"/>
        <v/>
      </c>
      <c r="I149" s="234" t="str">
        <f t="shared" si="56"/>
        <v/>
      </c>
      <c r="J149" s="601" t="str">
        <f t="shared" ca="1" si="57"/>
        <v/>
      </c>
      <c r="K149" s="232" t="str">
        <f t="shared" si="58"/>
        <v/>
      </c>
      <c r="L149" s="232" t="str">
        <f t="shared" si="59"/>
        <v/>
      </c>
      <c r="M149" s="207" t="str">
        <f t="shared" si="60"/>
        <v/>
      </c>
      <c r="N149" s="235" t="str">
        <f t="shared" si="61"/>
        <v/>
      </c>
      <c r="O149" s="240"/>
      <c r="P149" s="229">
        <f t="shared" ca="1" si="68"/>
        <v>4.9287626500969335E-3</v>
      </c>
      <c r="Q149" s="229">
        <f t="shared" ca="1" si="69"/>
        <v>1.4114183952550307E-2</v>
      </c>
      <c r="R149" s="229" t="str">
        <f t="shared" si="62"/>
        <v/>
      </c>
      <c r="S149" s="239"/>
      <c r="T149" s="229" t="str">
        <f t="shared" si="63"/>
        <v/>
      </c>
      <c r="U149" s="229" t="str">
        <f t="shared" si="64"/>
        <v/>
      </c>
      <c r="V149" s="229" t="str">
        <f t="shared" si="65"/>
        <v/>
      </c>
    </row>
    <row r="150" spans="1:22" ht="15" customHeight="1" x14ac:dyDescent="0.25">
      <c r="A150" s="205">
        <f t="shared" si="50"/>
        <v>2048</v>
      </c>
      <c r="B150" s="207">
        <f t="shared" ca="1" si="66"/>
        <v>2.0396124478824151</v>
      </c>
      <c r="C150" s="207" t="str">
        <f t="shared" si="51"/>
        <v/>
      </c>
      <c r="D150" s="207" t="str">
        <f t="shared" si="52"/>
        <v/>
      </c>
      <c r="E150" s="234" t="str">
        <f t="shared" si="53"/>
        <v/>
      </c>
      <c r="F150" s="206">
        <f t="shared" ca="1" si="67"/>
        <v>0.11745407756865277</v>
      </c>
      <c r="G150" s="207">
        <f t="shared" ca="1" si="54"/>
        <v>5.6079886551077082E-2</v>
      </c>
      <c r="H150" s="207" t="str">
        <f t="shared" si="55"/>
        <v/>
      </c>
      <c r="I150" s="234" t="str">
        <f t="shared" si="56"/>
        <v/>
      </c>
      <c r="J150" s="601" t="str">
        <f t="shared" ca="1" si="57"/>
        <v/>
      </c>
      <c r="K150" s="232" t="str">
        <f t="shared" si="58"/>
        <v/>
      </c>
      <c r="L150" s="232" t="str">
        <f t="shared" si="59"/>
        <v/>
      </c>
      <c r="M150" s="207" t="str">
        <f t="shared" si="60"/>
        <v/>
      </c>
      <c r="N150" s="235" t="str">
        <f t="shared" si="61"/>
        <v/>
      </c>
      <c r="O150" s="240"/>
      <c r="P150" s="229">
        <f t="shared" ca="1" si="68"/>
        <v>4.9287626500969335E-3</v>
      </c>
      <c r="Q150" s="229">
        <f t="shared" ca="1" si="69"/>
        <v>1.4114183952550307E-2</v>
      </c>
      <c r="R150" s="229" t="str">
        <f t="shared" si="62"/>
        <v/>
      </c>
      <c r="S150" s="239"/>
      <c r="T150" s="229" t="str">
        <f t="shared" si="63"/>
        <v/>
      </c>
      <c r="U150" s="229" t="str">
        <f t="shared" si="64"/>
        <v/>
      </c>
      <c r="V150" s="229" t="str">
        <f t="shared" si="65"/>
        <v/>
      </c>
    </row>
    <row r="151" spans="1:22" ht="15" customHeight="1" x14ac:dyDescent="0.25">
      <c r="A151" s="205">
        <f t="shared" si="50"/>
        <v>2049</v>
      </c>
      <c r="B151" s="207">
        <f t="shared" ca="1" si="66"/>
        <v>2.0396124478824151</v>
      </c>
      <c r="C151" s="207" t="str">
        <f t="shared" si="51"/>
        <v/>
      </c>
      <c r="D151" s="207" t="str">
        <f t="shared" si="52"/>
        <v/>
      </c>
      <c r="E151" s="234" t="str">
        <f t="shared" si="53"/>
        <v/>
      </c>
      <c r="F151" s="206">
        <f t="shared" ca="1" si="67"/>
        <v>0.11783014478643875</v>
      </c>
      <c r="G151" s="207">
        <f t="shared" ca="1" si="54"/>
        <v>5.6350734340109364E-2</v>
      </c>
      <c r="H151" s="207" t="str">
        <f t="shared" si="55"/>
        <v/>
      </c>
      <c r="I151" s="234" t="str">
        <f t="shared" si="56"/>
        <v/>
      </c>
      <c r="J151" s="601" t="str">
        <f t="shared" ca="1" si="57"/>
        <v/>
      </c>
      <c r="K151" s="232" t="str">
        <f t="shared" si="58"/>
        <v/>
      </c>
      <c r="L151" s="232" t="str">
        <f t="shared" si="59"/>
        <v/>
      </c>
      <c r="M151" s="207" t="str">
        <f t="shared" si="60"/>
        <v/>
      </c>
      <c r="N151" s="235" t="str">
        <f t="shared" si="61"/>
        <v/>
      </c>
      <c r="O151" s="240"/>
      <c r="P151" s="229">
        <f t="shared" ca="1" si="68"/>
        <v>4.9287626500969335E-3</v>
      </c>
      <c r="Q151" s="229">
        <f t="shared" ca="1" si="69"/>
        <v>1.4114183952550307E-2</v>
      </c>
      <c r="R151" s="229" t="str">
        <f t="shared" si="62"/>
        <v/>
      </c>
      <c r="S151" s="239"/>
      <c r="T151" s="229" t="str">
        <f t="shared" si="63"/>
        <v/>
      </c>
      <c r="U151" s="229" t="str">
        <f t="shared" si="64"/>
        <v/>
      </c>
      <c r="V151" s="229" t="str">
        <f t="shared" si="65"/>
        <v/>
      </c>
    </row>
    <row r="152" spans="1:22" ht="15" customHeight="1" x14ac:dyDescent="0.25">
      <c r="A152" s="205">
        <f t="shared" si="50"/>
        <v>2050</v>
      </c>
      <c r="B152" s="207">
        <f t="shared" ca="1" si="66"/>
        <v>2.0396124478824151</v>
      </c>
      <c r="C152" s="207" t="str">
        <f t="shared" si="51"/>
        <v/>
      </c>
      <c r="D152" s="207" t="str">
        <f t="shared" si="52"/>
        <v/>
      </c>
      <c r="E152" s="234" t="str">
        <f t="shared" si="53"/>
        <v/>
      </c>
      <c r="F152" s="206">
        <f t="shared" ca="1" si="67"/>
        <v>0.11819473313470363</v>
      </c>
      <c r="G152" s="207">
        <f t="shared" ca="1" si="54"/>
        <v>5.6873710476631575E-2</v>
      </c>
      <c r="H152" s="207" t="str">
        <f t="shared" si="55"/>
        <v/>
      </c>
      <c r="I152" s="234" t="str">
        <f t="shared" si="56"/>
        <v/>
      </c>
      <c r="J152" s="601" t="str">
        <f t="shared" ca="1" si="57"/>
        <v/>
      </c>
      <c r="K152" s="232" t="str">
        <f t="shared" si="58"/>
        <v/>
      </c>
      <c r="L152" s="232" t="str">
        <f t="shared" si="59"/>
        <v/>
      </c>
      <c r="M152" s="207" t="str">
        <f t="shared" si="60"/>
        <v/>
      </c>
      <c r="N152" s="235" t="str">
        <f t="shared" si="61"/>
        <v/>
      </c>
      <c r="O152" s="240"/>
      <c r="P152" s="229">
        <f t="shared" ca="1" si="68"/>
        <v>4.9287626500969335E-3</v>
      </c>
      <c r="Q152" s="229">
        <f t="shared" ca="1" si="69"/>
        <v>1.4114183952550307E-2</v>
      </c>
      <c r="R152" s="229" t="str">
        <f t="shared" si="62"/>
        <v/>
      </c>
      <c r="S152" s="239"/>
      <c r="T152" s="229" t="str">
        <f t="shared" si="63"/>
        <v/>
      </c>
      <c r="U152" s="229" t="str">
        <f t="shared" si="64"/>
        <v/>
      </c>
      <c r="V152" s="229" t="str">
        <f t="shared" si="65"/>
        <v/>
      </c>
    </row>
    <row r="153" spans="1:22" ht="15" customHeight="1" x14ac:dyDescent="0.25">
      <c r="A153" s="205">
        <f t="shared" si="50"/>
        <v>2051</v>
      </c>
      <c r="B153" s="207">
        <f t="shared" ca="1" si="66"/>
        <v>2.0480857180467007</v>
      </c>
      <c r="C153" s="207" t="str">
        <f t="shared" si="51"/>
        <v/>
      </c>
      <c r="D153" s="207" t="str">
        <f t="shared" si="52"/>
        <v/>
      </c>
      <c r="E153" s="234" t="str">
        <f t="shared" si="53"/>
        <v/>
      </c>
      <c r="F153" s="206">
        <f t="shared" ca="1" si="67"/>
        <v>0.11830193048675708</v>
      </c>
      <c r="G153" s="207">
        <f t="shared" ca="1" si="54"/>
        <v>5.7189890846406854E-2</v>
      </c>
      <c r="H153" s="207" t="str">
        <f t="shared" si="55"/>
        <v/>
      </c>
      <c r="I153" s="234" t="str">
        <f t="shared" si="56"/>
        <v/>
      </c>
      <c r="J153" s="601" t="str">
        <f t="shared" ca="1" si="57"/>
        <v/>
      </c>
      <c r="K153" s="232" t="str">
        <f t="shared" si="58"/>
        <v/>
      </c>
      <c r="L153" s="232" t="str">
        <f t="shared" si="59"/>
        <v/>
      </c>
      <c r="M153" s="207" t="str">
        <f t="shared" si="60"/>
        <v/>
      </c>
      <c r="N153" s="235" t="str">
        <f t="shared" si="61"/>
        <v/>
      </c>
      <c r="O153" s="240"/>
      <c r="P153" s="229">
        <f t="shared" ca="1" si="68"/>
        <v>4.9287626500969335E-3</v>
      </c>
      <c r="Q153" s="229">
        <f t="shared" ca="1" si="69"/>
        <v>1.4114183952550307E-2</v>
      </c>
      <c r="R153" s="229" t="str">
        <f t="shared" si="62"/>
        <v/>
      </c>
      <c r="S153" s="239"/>
      <c r="T153" s="229" t="str">
        <f t="shared" si="63"/>
        <v/>
      </c>
      <c r="U153" s="229" t="str">
        <f t="shared" si="64"/>
        <v/>
      </c>
      <c r="V153" s="229" t="str">
        <f t="shared" si="65"/>
        <v/>
      </c>
    </row>
    <row r="154" spans="1:22" ht="15" customHeight="1" x14ac:dyDescent="0.25">
      <c r="A154" s="205">
        <f t="shared" si="50"/>
        <v>2052</v>
      </c>
      <c r="B154" s="207">
        <f t="shared" ca="1" si="66"/>
        <v>2.0565941891666144</v>
      </c>
      <c r="C154" s="207" t="str">
        <f t="shared" si="51"/>
        <v/>
      </c>
      <c r="D154" s="207" t="str">
        <f t="shared" si="52"/>
        <v/>
      </c>
      <c r="E154" s="234" t="str">
        <f t="shared" si="53"/>
        <v/>
      </c>
      <c r="F154" s="206">
        <f t="shared" ca="1" si="67"/>
        <v>0.11840922506202838</v>
      </c>
      <c r="G154" s="207">
        <f t="shared" ca="1" si="54"/>
        <v>5.7507828970782514E-2</v>
      </c>
      <c r="H154" s="207" t="str">
        <f t="shared" si="55"/>
        <v/>
      </c>
      <c r="I154" s="234" t="str">
        <f t="shared" si="56"/>
        <v/>
      </c>
      <c r="J154" s="601" t="str">
        <f t="shared" ca="1" si="57"/>
        <v/>
      </c>
      <c r="K154" s="232" t="str">
        <f t="shared" si="58"/>
        <v/>
      </c>
      <c r="L154" s="232" t="str">
        <f t="shared" si="59"/>
        <v/>
      </c>
      <c r="M154" s="207" t="str">
        <f t="shared" si="60"/>
        <v/>
      </c>
      <c r="N154" s="235" t="str">
        <f t="shared" si="61"/>
        <v/>
      </c>
      <c r="O154" s="240"/>
      <c r="P154" s="229">
        <f t="shared" ca="1" si="68"/>
        <v>4.9287626500969335E-3</v>
      </c>
      <c r="Q154" s="229">
        <f t="shared" ca="1" si="69"/>
        <v>1.4114183952550307E-2</v>
      </c>
      <c r="R154" s="229" t="str">
        <f t="shared" si="62"/>
        <v/>
      </c>
      <c r="S154" s="239"/>
      <c r="T154" s="229" t="str">
        <f t="shared" si="63"/>
        <v/>
      </c>
      <c r="U154" s="229" t="str">
        <f t="shared" si="64"/>
        <v/>
      </c>
      <c r="V154" s="229" t="str">
        <f t="shared" si="65"/>
        <v/>
      </c>
    </row>
    <row r="155" spans="1:22" ht="15" customHeight="1" x14ac:dyDescent="0.25">
      <c r="A155" s="205">
        <f t="shared" si="50"/>
        <v>2053</v>
      </c>
      <c r="B155" s="207">
        <f t="shared" ca="1" si="66"/>
        <v>2.0651380074793533</v>
      </c>
      <c r="C155" s="207" t="str">
        <f t="shared" si="51"/>
        <v/>
      </c>
      <c r="D155" s="207" t="str">
        <f t="shared" si="52"/>
        <v/>
      </c>
      <c r="E155" s="234" t="str">
        <f t="shared" si="53"/>
        <v/>
      </c>
      <c r="F155" s="206">
        <f t="shared" ca="1" si="67"/>
        <v>0.11851661694869463</v>
      </c>
      <c r="G155" s="207">
        <f t="shared" ca="1" si="54"/>
        <v>5.7827534621716373E-2</v>
      </c>
      <c r="H155" s="207" t="str">
        <f t="shared" si="55"/>
        <v/>
      </c>
      <c r="I155" s="234" t="str">
        <f t="shared" si="56"/>
        <v/>
      </c>
      <c r="J155" s="601" t="str">
        <f t="shared" ca="1" si="57"/>
        <v/>
      </c>
      <c r="K155" s="232" t="str">
        <f t="shared" si="58"/>
        <v/>
      </c>
      <c r="L155" s="232" t="str">
        <f t="shared" si="59"/>
        <v/>
      </c>
      <c r="M155" s="207" t="str">
        <f t="shared" si="60"/>
        <v/>
      </c>
      <c r="N155" s="235" t="str">
        <f t="shared" si="61"/>
        <v/>
      </c>
      <c r="O155" s="240"/>
      <c r="P155" s="229">
        <f t="shared" ca="1" si="68"/>
        <v>4.9287626500969335E-3</v>
      </c>
      <c r="Q155" s="229">
        <f t="shared" ca="1" si="69"/>
        <v>1.4114183952550307E-2</v>
      </c>
      <c r="R155" s="229" t="str">
        <f t="shared" si="62"/>
        <v/>
      </c>
      <c r="S155" s="239"/>
      <c r="T155" s="229" t="str">
        <f t="shared" si="63"/>
        <v/>
      </c>
      <c r="U155" s="229" t="str">
        <f t="shared" si="64"/>
        <v/>
      </c>
      <c r="V155" s="229" t="str">
        <f t="shared" si="65"/>
        <v/>
      </c>
    </row>
    <row r="156" spans="1:22" ht="15" customHeight="1" x14ac:dyDescent="0.25">
      <c r="A156" s="205">
        <f t="shared" si="50"/>
        <v>2054</v>
      </c>
      <c r="B156" s="207">
        <f t="shared" ca="1" si="66"/>
        <v>2.073717319829635</v>
      </c>
      <c r="C156" s="207" t="str">
        <f t="shared" si="51"/>
        <v/>
      </c>
      <c r="D156" s="207" t="str">
        <f t="shared" si="52"/>
        <v/>
      </c>
      <c r="E156" s="234" t="str">
        <f t="shared" si="53"/>
        <v/>
      </c>
      <c r="F156" s="206">
        <f t="shared" ca="1" si="67"/>
        <v>0.11862410623501293</v>
      </c>
      <c r="G156" s="207">
        <f t="shared" ca="1" si="54"/>
        <v>5.8149017625491892E-2</v>
      </c>
      <c r="H156" s="207" t="str">
        <f t="shared" si="55"/>
        <v/>
      </c>
      <c r="I156" s="234" t="str">
        <f t="shared" si="56"/>
        <v/>
      </c>
      <c r="J156" s="601" t="str">
        <f t="shared" ca="1" si="57"/>
        <v/>
      </c>
      <c r="K156" s="232" t="str">
        <f t="shared" si="58"/>
        <v/>
      </c>
      <c r="L156" s="232" t="str">
        <f t="shared" si="59"/>
        <v/>
      </c>
      <c r="M156" s="207" t="str">
        <f t="shared" si="60"/>
        <v/>
      </c>
      <c r="N156" s="235" t="str">
        <f t="shared" si="61"/>
        <v/>
      </c>
      <c r="O156" s="240"/>
      <c r="P156" s="229">
        <f t="shared" ca="1" si="68"/>
        <v>4.9287626500969335E-3</v>
      </c>
      <c r="Q156" s="229">
        <f t="shared" ca="1" si="69"/>
        <v>1.4114183952550307E-2</v>
      </c>
      <c r="R156" s="229" t="str">
        <f t="shared" si="62"/>
        <v/>
      </c>
      <c r="S156" s="239"/>
      <c r="T156" s="229" t="str">
        <f t="shared" si="63"/>
        <v/>
      </c>
      <c r="U156" s="229" t="str">
        <f t="shared" si="64"/>
        <v/>
      </c>
      <c r="V156" s="229" t="str">
        <f t="shared" si="65"/>
        <v/>
      </c>
    </row>
    <row r="157" spans="1:22" ht="15" customHeight="1" x14ac:dyDescent="0.25">
      <c r="A157" s="205">
        <f t="shared" si="50"/>
        <v>2055</v>
      </c>
      <c r="B157" s="207">
        <f t="shared" ca="1" si="66"/>
        <v>2.0823322736722227</v>
      </c>
      <c r="C157" s="207" t="str">
        <f t="shared" si="51"/>
        <v/>
      </c>
      <c r="D157" s="207" t="str">
        <f t="shared" si="52"/>
        <v/>
      </c>
      <c r="E157" s="234" t="str">
        <f t="shared" si="53"/>
        <v/>
      </c>
      <c r="F157" s="206">
        <f t="shared" ca="1" si="67"/>
        <v>0.11873169300932046</v>
      </c>
      <c r="G157" s="207">
        <f t="shared" ca="1" si="54"/>
        <v>5.8472287863020202E-2</v>
      </c>
      <c r="H157" s="207" t="str">
        <f t="shared" si="55"/>
        <v/>
      </c>
      <c r="I157" s="234" t="str">
        <f t="shared" si="56"/>
        <v/>
      </c>
      <c r="J157" s="601" t="str">
        <f t="shared" ca="1" si="57"/>
        <v/>
      </c>
      <c r="K157" s="232" t="str">
        <f t="shared" si="58"/>
        <v/>
      </c>
      <c r="L157" s="232" t="str">
        <f t="shared" si="59"/>
        <v/>
      </c>
      <c r="M157" s="207" t="str">
        <f t="shared" si="60"/>
        <v/>
      </c>
      <c r="N157" s="235" t="str">
        <f t="shared" si="61"/>
        <v/>
      </c>
      <c r="O157" s="240"/>
      <c r="P157" s="229">
        <f t="shared" ca="1" si="68"/>
        <v>4.9287626500969335E-3</v>
      </c>
      <c r="Q157" s="229">
        <f t="shared" ca="1" si="69"/>
        <v>1.4114183952550307E-2</v>
      </c>
      <c r="R157" s="229" t="str">
        <f t="shared" si="62"/>
        <v/>
      </c>
      <c r="S157" s="239"/>
      <c r="T157" s="229" t="str">
        <f t="shared" si="63"/>
        <v/>
      </c>
      <c r="U157" s="229" t="str">
        <f t="shared" si="64"/>
        <v/>
      </c>
      <c r="V157" s="229" t="str">
        <f t="shared" si="65"/>
        <v/>
      </c>
    </row>
    <row r="158" spans="1:22" ht="15" customHeight="1" x14ac:dyDescent="0.25">
      <c r="A158" s="205">
        <f t="shared" si="50"/>
        <v>2056</v>
      </c>
      <c r="B158" s="207">
        <f t="shared" ca="1" si="66"/>
        <v>2.089850215662207</v>
      </c>
      <c r="C158" s="207" t="str">
        <f t="shared" si="51"/>
        <v/>
      </c>
      <c r="D158" s="207" t="str">
        <f t="shared" si="52"/>
        <v/>
      </c>
      <c r="E158" s="234" t="str">
        <f t="shared" si="53"/>
        <v/>
      </c>
      <c r="F158" s="206">
        <f t="shared" ca="1" si="67"/>
        <v>0.11884991509312098</v>
      </c>
      <c r="G158" s="207">
        <f t="shared" ca="1" si="54"/>
        <v>5.8786136442768075E-2</v>
      </c>
      <c r="H158" s="207" t="str">
        <f t="shared" si="55"/>
        <v/>
      </c>
      <c r="I158" s="234" t="str">
        <f t="shared" si="56"/>
        <v/>
      </c>
      <c r="J158" s="601" t="str">
        <f t="shared" ca="1" si="57"/>
        <v/>
      </c>
      <c r="K158" s="232" t="str">
        <f t="shared" si="58"/>
        <v/>
      </c>
      <c r="L158" s="232" t="str">
        <f t="shared" si="59"/>
        <v/>
      </c>
      <c r="M158" s="207" t="str">
        <f t="shared" si="60"/>
        <v/>
      </c>
      <c r="N158" s="235" t="str">
        <f t="shared" si="61"/>
        <v/>
      </c>
      <c r="O158" s="240"/>
      <c r="P158" s="229">
        <f t="shared" ca="1" si="68"/>
        <v>4.9287626500969335E-3</v>
      </c>
      <c r="Q158" s="229">
        <f t="shared" ca="1" si="69"/>
        <v>1.4114183952550307E-2</v>
      </c>
      <c r="R158" s="229" t="str">
        <f t="shared" si="62"/>
        <v/>
      </c>
      <c r="S158" s="239"/>
      <c r="T158" s="229" t="str">
        <f t="shared" si="63"/>
        <v/>
      </c>
      <c r="U158" s="229" t="str">
        <f t="shared" si="64"/>
        <v/>
      </c>
      <c r="V158" s="229" t="str">
        <f t="shared" si="65"/>
        <v/>
      </c>
    </row>
    <row r="159" spans="1:22" ht="15" customHeight="1" x14ac:dyDescent="0.25">
      <c r="A159" s="205">
        <f t="shared" si="50"/>
        <v>2057</v>
      </c>
      <c r="B159" s="207">
        <f t="shared" ca="1" si="66"/>
        <v>2.0973953000311858</v>
      </c>
      <c r="C159" s="207" t="str">
        <f t="shared" si="51"/>
        <v/>
      </c>
      <c r="D159" s="207" t="str">
        <f t="shared" si="52"/>
        <v/>
      </c>
      <c r="E159" s="234" t="str">
        <f t="shared" si="53"/>
        <v/>
      </c>
      <c r="F159" s="206">
        <f t="shared" ca="1" si="67"/>
        <v>0.1189682548915834</v>
      </c>
      <c r="G159" s="207">
        <f t="shared" ca="1" si="54"/>
        <v>5.9101669597117171E-2</v>
      </c>
      <c r="H159" s="207" t="str">
        <f t="shared" si="55"/>
        <v/>
      </c>
      <c r="I159" s="234" t="str">
        <f t="shared" si="56"/>
        <v/>
      </c>
      <c r="J159" s="601" t="str">
        <f t="shared" ca="1" si="57"/>
        <v/>
      </c>
      <c r="K159" s="232" t="str">
        <f t="shared" si="58"/>
        <v/>
      </c>
      <c r="L159" s="232" t="str">
        <f t="shared" si="59"/>
        <v/>
      </c>
      <c r="M159" s="207" t="str">
        <f t="shared" si="60"/>
        <v/>
      </c>
      <c r="N159" s="235" t="str">
        <f t="shared" si="61"/>
        <v/>
      </c>
      <c r="O159" s="240"/>
      <c r="P159" s="229">
        <f t="shared" ca="1" si="68"/>
        <v>4.9287626500969335E-3</v>
      </c>
      <c r="Q159" s="229">
        <f t="shared" ca="1" si="69"/>
        <v>1.4114183952550307E-2</v>
      </c>
      <c r="R159" s="229" t="str">
        <f t="shared" si="62"/>
        <v/>
      </c>
      <c r="S159" s="239"/>
      <c r="T159" s="229" t="str">
        <f t="shared" si="63"/>
        <v/>
      </c>
      <c r="U159" s="229" t="str">
        <f t="shared" si="64"/>
        <v/>
      </c>
      <c r="V159" s="229" t="str">
        <f t="shared" si="65"/>
        <v/>
      </c>
    </row>
    <row r="160" spans="1:22" ht="15" customHeight="1" x14ac:dyDescent="0.25">
      <c r="A160" s="205">
        <f t="shared" si="50"/>
        <v>2058</v>
      </c>
      <c r="B160" s="207">
        <f t="shared" ca="1" si="66"/>
        <v>2.1049676247725646</v>
      </c>
      <c r="C160" s="207" t="str">
        <f t="shared" si="51"/>
        <v/>
      </c>
      <c r="D160" s="207" t="str">
        <f t="shared" si="52"/>
        <v/>
      </c>
      <c r="E160" s="234" t="str">
        <f t="shared" si="53"/>
        <v/>
      </c>
      <c r="F160" s="206">
        <f t="shared" ca="1" si="67"/>
        <v>0.11908671252191713</v>
      </c>
      <c r="G160" s="207">
        <f t="shared" ca="1" si="54"/>
        <v>5.941889636798061E-2</v>
      </c>
      <c r="H160" s="207" t="str">
        <f t="shared" si="55"/>
        <v/>
      </c>
      <c r="I160" s="234" t="str">
        <f t="shared" si="56"/>
        <v/>
      </c>
      <c r="J160" s="601" t="str">
        <f t="shared" ca="1" si="57"/>
        <v/>
      </c>
      <c r="K160" s="232" t="str">
        <f t="shared" si="58"/>
        <v/>
      </c>
      <c r="L160" s="232" t="str">
        <f t="shared" si="59"/>
        <v/>
      </c>
      <c r="M160" s="207" t="str">
        <f t="shared" si="60"/>
        <v/>
      </c>
      <c r="N160" s="235" t="str">
        <f t="shared" si="61"/>
        <v/>
      </c>
      <c r="O160" s="240"/>
      <c r="P160" s="229">
        <f t="shared" ca="1" si="68"/>
        <v>4.9287626500969335E-3</v>
      </c>
      <c r="Q160" s="229">
        <f t="shared" ca="1" si="69"/>
        <v>1.4114183952550307E-2</v>
      </c>
      <c r="R160" s="229" t="str">
        <f t="shared" si="62"/>
        <v/>
      </c>
      <c r="S160" s="239"/>
      <c r="T160" s="229" t="str">
        <f t="shared" si="63"/>
        <v/>
      </c>
      <c r="U160" s="229" t="str">
        <f t="shared" si="64"/>
        <v/>
      </c>
      <c r="V160" s="229" t="str">
        <f t="shared" si="65"/>
        <v/>
      </c>
    </row>
    <row r="161" spans="1:22" ht="15" customHeight="1" x14ac:dyDescent="0.25">
      <c r="A161" s="205">
        <f t="shared" si="50"/>
        <v>2059</v>
      </c>
      <c r="B161" s="207">
        <f t="shared" ca="1" si="66"/>
        <v>2.1125672882335387</v>
      </c>
      <c r="C161" s="207" t="str">
        <f t="shared" si="51"/>
        <v/>
      </c>
      <c r="D161" s="207" t="str">
        <f t="shared" si="52"/>
        <v/>
      </c>
      <c r="E161" s="234" t="str">
        <f t="shared" si="53"/>
        <v/>
      </c>
      <c r="F161" s="206">
        <f t="shared" ca="1" si="67"/>
        <v>0.11920528810144827</v>
      </c>
      <c r="G161" s="207">
        <f t="shared" ca="1" si="54"/>
        <v>5.9737825845803741E-2</v>
      </c>
      <c r="H161" s="207" t="str">
        <f t="shared" si="55"/>
        <v/>
      </c>
      <c r="I161" s="234" t="str">
        <f t="shared" si="56"/>
        <v/>
      </c>
      <c r="J161" s="601" t="str">
        <f t="shared" ca="1" si="57"/>
        <v/>
      </c>
      <c r="K161" s="232" t="str">
        <f t="shared" si="58"/>
        <v/>
      </c>
      <c r="L161" s="232" t="str">
        <f t="shared" si="59"/>
        <v/>
      </c>
      <c r="M161" s="207" t="str">
        <f t="shared" si="60"/>
        <v/>
      </c>
      <c r="N161" s="235" t="str">
        <f t="shared" si="61"/>
        <v/>
      </c>
      <c r="O161" s="240"/>
      <c r="P161" s="229">
        <f t="shared" ca="1" si="68"/>
        <v>4.9287626500969335E-3</v>
      </c>
      <c r="Q161" s="229">
        <f t="shared" ca="1" si="69"/>
        <v>1.4114183952550307E-2</v>
      </c>
      <c r="R161" s="229" t="str">
        <f t="shared" si="62"/>
        <v/>
      </c>
      <c r="S161" s="239"/>
      <c r="T161" s="229" t="str">
        <f t="shared" si="63"/>
        <v/>
      </c>
      <c r="U161" s="229" t="str">
        <f t="shared" si="64"/>
        <v/>
      </c>
      <c r="V161" s="229" t="str">
        <f t="shared" si="65"/>
        <v/>
      </c>
    </row>
    <row r="162" spans="1:22" ht="15" customHeight="1" x14ac:dyDescent="0.25">
      <c r="A162" s="205">
        <f t="shared" si="50"/>
        <v>2060</v>
      </c>
      <c r="B162" s="207">
        <f t="shared" ca="1" si="66"/>
        <v>2.1201943891163721</v>
      </c>
      <c r="C162" s="207" t="str">
        <f t="shared" si="51"/>
        <v/>
      </c>
      <c r="D162" s="207" t="str">
        <f t="shared" si="52"/>
        <v/>
      </c>
      <c r="E162" s="234" t="str">
        <f t="shared" si="53"/>
        <v/>
      </c>
      <c r="F162" s="206">
        <f t="shared" ca="1" si="67"/>
        <v>0.11932398174761981</v>
      </c>
      <c r="G162" s="207">
        <f t="shared" ca="1" si="54"/>
        <v>6.0058467169824666E-2</v>
      </c>
      <c r="H162" s="207" t="str">
        <f t="shared" si="55"/>
        <v/>
      </c>
      <c r="I162" s="234" t="str">
        <f t="shared" si="56"/>
        <v/>
      </c>
      <c r="J162" s="601" t="str">
        <f t="shared" ca="1" si="57"/>
        <v/>
      </c>
      <c r="K162" s="232" t="str">
        <f t="shared" si="58"/>
        <v/>
      </c>
      <c r="L162" s="232" t="str">
        <f t="shared" si="59"/>
        <v/>
      </c>
      <c r="M162" s="207" t="str">
        <f t="shared" si="60"/>
        <v/>
      </c>
      <c r="N162" s="235" t="str">
        <f t="shared" si="61"/>
        <v/>
      </c>
      <c r="O162" s="240"/>
      <c r="P162" s="229">
        <f t="shared" ca="1" si="68"/>
        <v>4.9287626500969335E-3</v>
      </c>
      <c r="Q162" s="229">
        <f t="shared" ca="1" si="69"/>
        <v>1.4114183952550307E-2</v>
      </c>
      <c r="R162" s="229" t="str">
        <f t="shared" si="62"/>
        <v/>
      </c>
      <c r="S162" s="239"/>
      <c r="T162" s="229" t="str">
        <f t="shared" si="63"/>
        <v/>
      </c>
      <c r="U162" s="229" t="str">
        <f t="shared" si="64"/>
        <v/>
      </c>
      <c r="V162" s="229" t="str">
        <f t="shared" si="65"/>
        <v/>
      </c>
    </row>
    <row r="163" spans="1:22" ht="15" customHeight="1" x14ac:dyDescent="0.25">
      <c r="A163" s="205">
        <f t="shared" si="50"/>
        <v>2061</v>
      </c>
      <c r="B163" s="207">
        <f t="shared" ca="1" si="66"/>
        <v>2.1254815417905308</v>
      </c>
      <c r="C163" s="207" t="str">
        <f t="shared" si="51"/>
        <v/>
      </c>
      <c r="D163" s="207" t="str">
        <f t="shared" si="52"/>
        <v/>
      </c>
      <c r="E163" s="234" t="str">
        <f t="shared" si="53"/>
        <v/>
      </c>
      <c r="F163" s="206">
        <f t="shared" ca="1" si="67"/>
        <v>0.1193812528459218</v>
      </c>
      <c r="G163" s="207">
        <f t="shared" ca="1" si="54"/>
        <v>6.0341713569699931E-2</v>
      </c>
      <c r="H163" s="207" t="str">
        <f t="shared" si="55"/>
        <v/>
      </c>
      <c r="I163" s="234" t="str">
        <f t="shared" si="56"/>
        <v/>
      </c>
      <c r="J163" s="601" t="str">
        <f t="shared" ca="1" si="57"/>
        <v/>
      </c>
      <c r="K163" s="232" t="str">
        <f t="shared" si="58"/>
        <v/>
      </c>
      <c r="L163" s="232" t="str">
        <f t="shared" si="59"/>
        <v/>
      </c>
      <c r="M163" s="207" t="str">
        <f t="shared" si="60"/>
        <v/>
      </c>
      <c r="N163" s="235" t="str">
        <f t="shared" si="61"/>
        <v/>
      </c>
      <c r="O163" s="240"/>
      <c r="P163" s="229">
        <f t="shared" ca="1" si="68"/>
        <v>4.9287626500969335E-3</v>
      </c>
      <c r="Q163" s="229">
        <f t="shared" ca="1" si="69"/>
        <v>1.4114183952550307E-2</v>
      </c>
      <c r="R163" s="229" t="str">
        <f t="shared" si="62"/>
        <v/>
      </c>
      <c r="S163" s="239"/>
      <c r="T163" s="229" t="str">
        <f t="shared" si="63"/>
        <v/>
      </c>
      <c r="U163" s="229" t="str">
        <f t="shared" si="64"/>
        <v/>
      </c>
      <c r="V163" s="229" t="str">
        <f t="shared" si="65"/>
        <v/>
      </c>
    </row>
    <row r="164" spans="1:22" ht="15" customHeight="1" x14ac:dyDescent="0.25">
      <c r="A164" s="205">
        <f t="shared" si="50"/>
        <v>2062</v>
      </c>
      <c r="B164" s="207">
        <f t="shared" ca="1" si="66"/>
        <v>2.1307818790969777</v>
      </c>
      <c r="C164" s="207" t="str">
        <f t="shared" si="51"/>
        <v/>
      </c>
      <c r="D164" s="207" t="str">
        <f t="shared" si="52"/>
        <v/>
      </c>
      <c r="E164" s="234" t="str">
        <f t="shared" si="53"/>
        <v/>
      </c>
      <c r="F164" s="206">
        <f t="shared" ca="1" si="67"/>
        <v>0.11943855143223293</v>
      </c>
      <c r="G164" s="207">
        <f t="shared" ca="1" si="54"/>
        <v>6.0626295809912502E-2</v>
      </c>
      <c r="H164" s="207" t="str">
        <f t="shared" si="55"/>
        <v/>
      </c>
      <c r="I164" s="234" t="str">
        <f t="shared" si="56"/>
        <v/>
      </c>
      <c r="J164" s="601" t="str">
        <f t="shared" ca="1" si="57"/>
        <v/>
      </c>
      <c r="K164" s="232" t="str">
        <f t="shared" si="58"/>
        <v/>
      </c>
      <c r="L164" s="232" t="str">
        <f t="shared" si="59"/>
        <v/>
      </c>
      <c r="M164" s="207" t="str">
        <f t="shared" si="60"/>
        <v/>
      </c>
      <c r="N164" s="235" t="str">
        <f t="shared" si="61"/>
        <v/>
      </c>
      <c r="O164" s="240"/>
      <c r="P164" s="229">
        <f t="shared" ca="1" si="68"/>
        <v>4.9287626500969335E-3</v>
      </c>
      <c r="Q164" s="229">
        <f t="shared" ca="1" si="69"/>
        <v>1.4114183952550307E-2</v>
      </c>
      <c r="R164" s="229" t="str">
        <f t="shared" si="62"/>
        <v/>
      </c>
      <c r="S164" s="239"/>
      <c r="T164" s="229" t="str">
        <f t="shared" si="63"/>
        <v/>
      </c>
      <c r="U164" s="229" t="str">
        <f t="shared" si="64"/>
        <v/>
      </c>
      <c r="V164" s="229" t="str">
        <f t="shared" si="65"/>
        <v/>
      </c>
    </row>
    <row r="165" spans="1:22" ht="15" customHeight="1" x14ac:dyDescent="0.25">
      <c r="A165" s="205">
        <f t="shared" si="50"/>
        <v>2063</v>
      </c>
      <c r="B165" s="207">
        <f t="shared" ca="1" si="66"/>
        <v>2.1360954339143792</v>
      </c>
      <c r="C165" s="207" t="str">
        <f t="shared" si="51"/>
        <v/>
      </c>
      <c r="D165" s="207" t="str">
        <f t="shared" si="52"/>
        <v/>
      </c>
      <c r="E165" s="234" t="str">
        <f t="shared" si="53"/>
        <v/>
      </c>
      <c r="F165" s="206">
        <f t="shared" ca="1" si="67"/>
        <v>0.11949587751974641</v>
      </c>
      <c r="G165" s="207">
        <f t="shared" ca="1" si="54"/>
        <v>6.0912220190522712E-2</v>
      </c>
      <c r="H165" s="207" t="str">
        <f t="shared" si="55"/>
        <v/>
      </c>
      <c r="I165" s="234" t="str">
        <f t="shared" si="56"/>
        <v/>
      </c>
      <c r="J165" s="601" t="str">
        <f t="shared" ca="1" si="57"/>
        <v/>
      </c>
      <c r="K165" s="232" t="str">
        <f t="shared" si="58"/>
        <v/>
      </c>
      <c r="L165" s="232" t="str">
        <f t="shared" si="59"/>
        <v/>
      </c>
      <c r="M165" s="207" t="str">
        <f t="shared" si="60"/>
        <v/>
      </c>
      <c r="N165" s="235" t="str">
        <f t="shared" si="61"/>
        <v/>
      </c>
      <c r="O165" s="240"/>
      <c r="P165" s="229">
        <f t="shared" ca="1" si="68"/>
        <v>4.9287626500969335E-3</v>
      </c>
      <c r="Q165" s="229">
        <f t="shared" ca="1" si="69"/>
        <v>1.4114183952550307E-2</v>
      </c>
      <c r="R165" s="229" t="str">
        <f t="shared" si="62"/>
        <v/>
      </c>
      <c r="S165" s="239"/>
      <c r="T165" s="229" t="str">
        <f t="shared" si="63"/>
        <v/>
      </c>
      <c r="U165" s="229" t="str">
        <f t="shared" si="64"/>
        <v/>
      </c>
      <c r="V165" s="229" t="str">
        <f t="shared" si="65"/>
        <v/>
      </c>
    </row>
    <row r="166" spans="1:22" ht="15" customHeight="1" x14ac:dyDescent="0.25">
      <c r="A166" s="205">
        <f t="shared" si="50"/>
        <v>2064</v>
      </c>
      <c r="B166" s="207">
        <f t="shared" ca="1" si="66"/>
        <v>2.1414222392033908</v>
      </c>
      <c r="C166" s="207" t="str">
        <f t="shared" si="51"/>
        <v/>
      </c>
      <c r="D166" s="207" t="str">
        <f t="shared" si="52"/>
        <v/>
      </c>
      <c r="E166" s="234" t="str">
        <f t="shared" si="53"/>
        <v/>
      </c>
      <c r="F166" s="206">
        <f t="shared" ca="1" si="67"/>
        <v>0.11955323112166183</v>
      </c>
      <c r="G166" s="207">
        <f t="shared" ca="1" si="54"/>
        <v>6.1199493041303087E-2</v>
      </c>
      <c r="H166" s="207" t="str">
        <f t="shared" si="55"/>
        <v/>
      </c>
      <c r="I166" s="234" t="str">
        <f t="shared" si="56"/>
        <v/>
      </c>
      <c r="J166" s="601" t="str">
        <f t="shared" ca="1" si="57"/>
        <v/>
      </c>
      <c r="K166" s="232" t="str">
        <f t="shared" si="58"/>
        <v/>
      </c>
      <c r="L166" s="232" t="str">
        <f t="shared" si="59"/>
        <v/>
      </c>
      <c r="M166" s="207" t="str">
        <f t="shared" si="60"/>
        <v/>
      </c>
      <c r="N166" s="235" t="str">
        <f t="shared" si="61"/>
        <v/>
      </c>
      <c r="O166" s="240"/>
      <c r="P166" s="229">
        <f t="shared" ca="1" si="68"/>
        <v>4.9287626500969335E-3</v>
      </c>
      <c r="Q166" s="229">
        <f t="shared" ca="1" si="69"/>
        <v>1.4114183952550307E-2</v>
      </c>
      <c r="R166" s="229" t="str">
        <f t="shared" si="62"/>
        <v/>
      </c>
      <c r="S166" s="239"/>
      <c r="T166" s="229" t="str">
        <f t="shared" si="63"/>
        <v/>
      </c>
      <c r="U166" s="229" t="str">
        <f t="shared" si="64"/>
        <v/>
      </c>
      <c r="V166" s="229" t="str">
        <f t="shared" si="65"/>
        <v/>
      </c>
    </row>
    <row r="167" spans="1:22" ht="15" customHeight="1" x14ac:dyDescent="0.25">
      <c r="A167" s="205">
        <f t="shared" si="50"/>
        <v>2065</v>
      </c>
      <c r="B167" s="207">
        <f t="shared" ca="1" si="66"/>
        <v>2.1467623280068642</v>
      </c>
      <c r="C167" s="207" t="str">
        <f t="shared" si="51"/>
        <v/>
      </c>
      <c r="D167" s="207" t="str">
        <f t="shared" si="52"/>
        <v/>
      </c>
      <c r="E167" s="234" t="str">
        <f t="shared" si="53"/>
        <v/>
      </c>
      <c r="F167" s="206">
        <f t="shared" ca="1" si="67"/>
        <v>0.11961061225118508</v>
      </c>
      <c r="G167" s="207">
        <f t="shared" ca="1" si="54"/>
        <v>6.1488120721878481E-2</v>
      </c>
      <c r="H167" s="207" t="str">
        <f t="shared" si="55"/>
        <v/>
      </c>
      <c r="I167" s="234" t="str">
        <f t="shared" si="56"/>
        <v/>
      </c>
      <c r="J167" s="601" t="str">
        <f t="shared" ca="1" si="57"/>
        <v/>
      </c>
      <c r="K167" s="232" t="str">
        <f t="shared" si="58"/>
        <v/>
      </c>
      <c r="L167" s="232" t="str">
        <f t="shared" si="59"/>
        <v/>
      </c>
      <c r="M167" s="207" t="str">
        <f t="shared" si="60"/>
        <v/>
      </c>
      <c r="N167" s="235" t="str">
        <f t="shared" si="61"/>
        <v/>
      </c>
      <c r="O167" s="240"/>
      <c r="P167" s="229">
        <f t="shared" ca="1" si="68"/>
        <v>4.9287626500969335E-3</v>
      </c>
      <c r="Q167" s="229">
        <f t="shared" ca="1" si="69"/>
        <v>1.4114183952550307E-2</v>
      </c>
      <c r="R167" s="229" t="str">
        <f t="shared" si="62"/>
        <v/>
      </c>
      <c r="S167" s="239"/>
      <c r="T167" s="229" t="str">
        <f t="shared" si="63"/>
        <v/>
      </c>
      <c r="U167" s="229" t="str">
        <f t="shared" si="64"/>
        <v/>
      </c>
      <c r="V167" s="229" t="str">
        <f t="shared" si="65"/>
        <v/>
      </c>
    </row>
    <row r="168" spans="1:22" ht="15" customHeight="1" x14ac:dyDescent="0.25">
      <c r="A168" s="205">
        <f t="shared" si="50"/>
        <v>2066</v>
      </c>
      <c r="B168" s="207">
        <f t="shared" ca="1" si="66"/>
        <v>2.1521367510344063</v>
      </c>
      <c r="C168" s="207" t="str">
        <f t="shared" si="51"/>
        <v/>
      </c>
      <c r="D168" s="207" t="str">
        <f t="shared" si="52"/>
        <v/>
      </c>
      <c r="E168" s="234" t="str">
        <f t="shared" si="53"/>
        <v/>
      </c>
      <c r="F168" s="206">
        <f t="shared" ca="1" si="67"/>
        <v>0.11966599775752608</v>
      </c>
      <c r="G168" s="207">
        <f t="shared" ca="1" si="54"/>
        <v>6.1735265388543396E-2</v>
      </c>
      <c r="H168" s="207" t="str">
        <f t="shared" si="55"/>
        <v/>
      </c>
      <c r="I168" s="234" t="str">
        <f t="shared" si="56"/>
        <v/>
      </c>
      <c r="J168" s="601" t="str">
        <f t="shared" ca="1" si="57"/>
        <v/>
      </c>
      <c r="K168" s="232" t="str">
        <f t="shared" si="58"/>
        <v/>
      </c>
      <c r="L168" s="232" t="str">
        <f t="shared" si="59"/>
        <v/>
      </c>
      <c r="M168" s="207" t="str">
        <f t="shared" si="60"/>
        <v/>
      </c>
      <c r="N168" s="235" t="str">
        <f t="shared" si="61"/>
        <v/>
      </c>
      <c r="O168" s="240"/>
      <c r="P168" s="229">
        <f t="shared" ca="1" si="68"/>
        <v>4.9287626500969335E-3</v>
      </c>
      <c r="Q168" s="229">
        <f t="shared" ca="1" si="69"/>
        <v>1.4114183952550307E-2</v>
      </c>
      <c r="R168" s="229" t="str">
        <f t="shared" si="62"/>
        <v/>
      </c>
      <c r="S168" s="239"/>
      <c r="T168" s="229" t="str">
        <f t="shared" si="63"/>
        <v/>
      </c>
      <c r="U168" s="229" t="str">
        <f t="shared" si="64"/>
        <v/>
      </c>
      <c r="V168" s="229" t="str">
        <f t="shared" si="65"/>
        <v/>
      </c>
    </row>
    <row r="169" spans="1:22" ht="15" customHeight="1" x14ac:dyDescent="0.25">
      <c r="A169" s="205">
        <f t="shared" si="50"/>
        <v>2067</v>
      </c>
      <c r="B169" s="207">
        <f t="shared" ca="1" si="66"/>
        <v>2.1575246289388588</v>
      </c>
      <c r="C169" s="207" t="str">
        <f t="shared" si="51"/>
        <v/>
      </c>
      <c r="D169" s="207" t="str">
        <f t="shared" si="52"/>
        <v/>
      </c>
      <c r="E169" s="234" t="str">
        <f t="shared" si="53"/>
        <v/>
      </c>
      <c r="F169" s="206">
        <f t="shared" ca="1" si="67"/>
        <v>0.11972140891003891</v>
      </c>
      <c r="G169" s="207">
        <f t="shared" ca="1" si="54"/>
        <v>6.1983403425725142E-2</v>
      </c>
      <c r="H169" s="207" t="str">
        <f t="shared" si="55"/>
        <v/>
      </c>
      <c r="I169" s="234" t="str">
        <f t="shared" si="56"/>
        <v/>
      </c>
      <c r="J169" s="601" t="str">
        <f t="shared" ca="1" si="57"/>
        <v/>
      </c>
      <c r="K169" s="232" t="str">
        <f t="shared" si="58"/>
        <v/>
      </c>
      <c r="L169" s="232" t="str">
        <f t="shared" si="59"/>
        <v/>
      </c>
      <c r="M169" s="207" t="str">
        <f t="shared" si="60"/>
        <v/>
      </c>
      <c r="N169" s="235" t="str">
        <f t="shared" si="61"/>
        <v/>
      </c>
      <c r="O169" s="240"/>
      <c r="P169" s="229">
        <f t="shared" ca="1" si="68"/>
        <v>4.9287626500969335E-3</v>
      </c>
      <c r="Q169" s="229">
        <f t="shared" ca="1" si="69"/>
        <v>1.4114183952550307E-2</v>
      </c>
      <c r="R169" s="229" t="str">
        <f t="shared" si="62"/>
        <v/>
      </c>
      <c r="S169" s="239"/>
      <c r="T169" s="229" t="str">
        <f t="shared" si="63"/>
        <v/>
      </c>
      <c r="U169" s="229" t="str">
        <f t="shared" si="64"/>
        <v/>
      </c>
      <c r="V169" s="229" t="str">
        <f t="shared" si="65"/>
        <v/>
      </c>
    </row>
    <row r="170" spans="1:22" ht="15" customHeight="1" x14ac:dyDescent="0.25">
      <c r="A170" s="205">
        <f t="shared" si="50"/>
        <v>2068</v>
      </c>
      <c r="B170" s="207">
        <f t="shared" ca="1" si="66"/>
        <v>2.1629259954045286</v>
      </c>
      <c r="C170" s="207" t="str">
        <f t="shared" si="51"/>
        <v/>
      </c>
      <c r="D170" s="207" t="str">
        <f t="shared" si="52"/>
        <v/>
      </c>
      <c r="E170" s="234" t="str">
        <f t="shared" si="53"/>
        <v/>
      </c>
      <c r="F170" s="206">
        <f t="shared" ca="1" si="67"/>
        <v>0.11977684572059896</v>
      </c>
      <c r="G170" s="207">
        <f t="shared" ca="1" si="54"/>
        <v>6.2232538826166105E-2</v>
      </c>
      <c r="H170" s="207" t="str">
        <f t="shared" si="55"/>
        <v/>
      </c>
      <c r="I170" s="234" t="str">
        <f t="shared" si="56"/>
        <v/>
      </c>
      <c r="J170" s="601" t="str">
        <f t="shared" ca="1" si="57"/>
        <v/>
      </c>
      <c r="K170" s="232" t="str">
        <f t="shared" si="58"/>
        <v/>
      </c>
      <c r="L170" s="232" t="str">
        <f t="shared" si="59"/>
        <v/>
      </c>
      <c r="M170" s="207" t="str">
        <f t="shared" si="60"/>
        <v/>
      </c>
      <c r="N170" s="235" t="str">
        <f t="shared" si="61"/>
        <v/>
      </c>
      <c r="O170" s="240"/>
      <c r="P170" s="229">
        <f t="shared" ca="1" si="68"/>
        <v>4.9287626500969335E-3</v>
      </c>
      <c r="Q170" s="229">
        <f t="shared" ca="1" si="69"/>
        <v>1.4114183952550307E-2</v>
      </c>
      <c r="R170" s="229" t="str">
        <f t="shared" si="62"/>
        <v/>
      </c>
      <c r="S170" s="239"/>
      <c r="T170" s="229" t="str">
        <f t="shared" si="63"/>
        <v/>
      </c>
      <c r="U170" s="229" t="str">
        <f t="shared" si="64"/>
        <v/>
      </c>
      <c r="V170" s="229" t="str">
        <f t="shared" si="65"/>
        <v/>
      </c>
    </row>
    <row r="171" spans="1:22" ht="15" customHeight="1" x14ac:dyDescent="0.25">
      <c r="A171" s="205">
        <f t="shared" si="50"/>
        <v>2069</v>
      </c>
      <c r="B171" s="207">
        <f t="shared" ca="1" si="66"/>
        <v>2.1683408842000498</v>
      </c>
      <c r="C171" s="207" t="str">
        <f t="shared" si="51"/>
        <v/>
      </c>
      <c r="D171" s="207" t="str">
        <f t="shared" si="52"/>
        <v/>
      </c>
      <c r="E171" s="234" t="str">
        <f t="shared" si="53"/>
        <v/>
      </c>
      <c r="F171" s="206">
        <f t="shared" ca="1" si="67"/>
        <v>0.11983230820108716</v>
      </c>
      <c r="G171" s="207">
        <f t="shared" ca="1" si="54"/>
        <v>6.2482675598657049E-2</v>
      </c>
      <c r="H171" s="207" t="str">
        <f t="shared" si="55"/>
        <v/>
      </c>
      <c r="I171" s="234" t="str">
        <f t="shared" si="56"/>
        <v/>
      </c>
      <c r="J171" s="601" t="str">
        <f t="shared" ca="1" si="57"/>
        <v/>
      </c>
      <c r="K171" s="232" t="str">
        <f t="shared" si="58"/>
        <v/>
      </c>
      <c r="L171" s="232" t="str">
        <f t="shared" si="59"/>
        <v/>
      </c>
      <c r="M171" s="207" t="str">
        <f t="shared" si="60"/>
        <v/>
      </c>
      <c r="N171" s="235" t="str">
        <f t="shared" si="61"/>
        <v/>
      </c>
      <c r="O171" s="240"/>
      <c r="P171" s="229">
        <f t="shared" ca="1" si="68"/>
        <v>4.9287626500969335E-3</v>
      </c>
      <c r="Q171" s="229">
        <f t="shared" ca="1" si="69"/>
        <v>1.4114183952550307E-2</v>
      </c>
      <c r="R171" s="229" t="str">
        <f t="shared" si="62"/>
        <v/>
      </c>
      <c r="S171" s="239"/>
      <c r="T171" s="229" t="str">
        <f t="shared" si="63"/>
        <v/>
      </c>
      <c r="U171" s="229" t="str">
        <f t="shared" si="64"/>
        <v/>
      </c>
      <c r="V171" s="229" t="str">
        <f t="shared" si="65"/>
        <v/>
      </c>
    </row>
    <row r="172" spans="1:22" ht="15" customHeight="1" x14ac:dyDescent="0.25">
      <c r="A172" s="205">
        <f t="shared" si="50"/>
        <v>2070</v>
      </c>
      <c r="B172" s="207">
        <f t="shared" ca="1" si="66"/>
        <v>2.1737693291785987</v>
      </c>
      <c r="C172" s="207" t="str">
        <f t="shared" si="51"/>
        <v/>
      </c>
      <c r="D172" s="207" t="str">
        <f t="shared" si="52"/>
        <v/>
      </c>
      <c r="E172" s="234" t="str">
        <f t="shared" si="53"/>
        <v/>
      </c>
      <c r="F172" s="206">
        <f t="shared" ca="1" si="67"/>
        <v>0.11988779636338995</v>
      </c>
      <c r="G172" s="207">
        <f t="shared" ca="1" si="54"/>
        <v>6.2733817768101621E-2</v>
      </c>
      <c r="H172" s="207" t="str">
        <f t="shared" si="55"/>
        <v/>
      </c>
      <c r="I172" s="234" t="str">
        <f t="shared" si="56"/>
        <v/>
      </c>
      <c r="J172" s="601" t="str">
        <f t="shared" ca="1" si="57"/>
        <v/>
      </c>
      <c r="K172" s="232" t="str">
        <f t="shared" si="58"/>
        <v/>
      </c>
      <c r="L172" s="232" t="str">
        <f t="shared" si="59"/>
        <v/>
      </c>
      <c r="M172" s="207" t="str">
        <f t="shared" si="60"/>
        <v/>
      </c>
      <c r="N172" s="235" t="str">
        <f t="shared" si="61"/>
        <v/>
      </c>
      <c r="O172" s="240"/>
      <c r="P172" s="229">
        <f t="shared" ca="1" si="68"/>
        <v>4.9287626500969335E-3</v>
      </c>
      <c r="Q172" s="229">
        <f t="shared" ca="1" si="69"/>
        <v>1.4114183952550307E-2</v>
      </c>
      <c r="R172" s="229" t="str">
        <f t="shared" si="62"/>
        <v/>
      </c>
      <c r="S172" s="239"/>
      <c r="T172" s="229" t="str">
        <f t="shared" si="63"/>
        <v/>
      </c>
      <c r="U172" s="229" t="str">
        <f t="shared" si="64"/>
        <v/>
      </c>
      <c r="V172" s="229" t="str">
        <f t="shared" si="65"/>
        <v/>
      </c>
    </row>
    <row r="173" spans="1:22" ht="15" customHeight="1" x14ac:dyDescent="0.25">
      <c r="A173" s="205">
        <f t="shared" si="50"/>
        <v>2071</v>
      </c>
      <c r="B173" s="207">
        <f t="shared" ca="1" si="66"/>
        <v>2.1789942154656243</v>
      </c>
      <c r="C173" s="207" t="str">
        <f t="shared" si="51"/>
        <v/>
      </c>
      <c r="D173" s="207" t="str">
        <f t="shared" si="52"/>
        <v/>
      </c>
      <c r="E173" s="234" t="str">
        <f t="shared" si="53"/>
        <v/>
      </c>
      <c r="F173" s="206">
        <f t="shared" ca="1" si="67"/>
        <v>0.11992402161828777</v>
      </c>
      <c r="G173" s="207">
        <f t="shared" ca="1" si="54"/>
        <v>6.2942112489367805E-2</v>
      </c>
      <c r="H173" s="207" t="str">
        <f t="shared" si="55"/>
        <v/>
      </c>
      <c r="I173" s="234" t="str">
        <f t="shared" si="56"/>
        <v/>
      </c>
      <c r="J173" s="601" t="str">
        <f t="shared" ca="1" si="57"/>
        <v/>
      </c>
      <c r="K173" s="232" t="str">
        <f t="shared" si="58"/>
        <v/>
      </c>
      <c r="L173" s="232" t="str">
        <f t="shared" si="59"/>
        <v/>
      </c>
      <c r="M173" s="207" t="str">
        <f t="shared" si="60"/>
        <v/>
      </c>
      <c r="N173" s="235" t="str">
        <f t="shared" si="61"/>
        <v/>
      </c>
      <c r="O173" s="240"/>
      <c r="P173" s="229">
        <f t="shared" ca="1" si="68"/>
        <v>4.9287626500969335E-3</v>
      </c>
      <c r="Q173" s="229">
        <f t="shared" ca="1" si="69"/>
        <v>1.4114183952550307E-2</v>
      </c>
      <c r="R173" s="229" t="str">
        <f t="shared" si="62"/>
        <v/>
      </c>
      <c r="S173" s="239"/>
      <c r="T173" s="229" t="str">
        <f t="shared" si="63"/>
        <v/>
      </c>
      <c r="U173" s="229" t="str">
        <f t="shared" si="64"/>
        <v/>
      </c>
      <c r="V173" s="229" t="str">
        <f t="shared" si="65"/>
        <v/>
      </c>
    </row>
    <row r="174" spans="1:22" ht="15" customHeight="1" x14ac:dyDescent="0.25">
      <c r="A174" s="205">
        <f t="shared" si="50"/>
        <v>2072</v>
      </c>
      <c r="B174" s="207">
        <f t="shared" ca="1" si="66"/>
        <v>2.1842316603237673</v>
      </c>
      <c r="C174" s="207" t="str">
        <f t="shared" si="51"/>
        <v/>
      </c>
      <c r="D174" s="207" t="str">
        <f t="shared" si="52"/>
        <v/>
      </c>
      <c r="E174" s="234" t="str">
        <f t="shared" si="53"/>
        <v/>
      </c>
      <c r="F174" s="206">
        <f t="shared" ca="1" si="67"/>
        <v>0.11996025781899604</v>
      </c>
      <c r="G174" s="207">
        <f t="shared" ca="1" si="54"/>
        <v>6.315109881035566E-2</v>
      </c>
      <c r="H174" s="207" t="str">
        <f t="shared" si="55"/>
        <v/>
      </c>
      <c r="I174" s="234" t="str">
        <f t="shared" si="56"/>
        <v/>
      </c>
      <c r="J174" s="601" t="str">
        <f t="shared" ca="1" si="57"/>
        <v/>
      </c>
      <c r="K174" s="232" t="str">
        <f t="shared" si="58"/>
        <v/>
      </c>
      <c r="L174" s="232" t="str">
        <f t="shared" si="59"/>
        <v/>
      </c>
      <c r="M174" s="207" t="str">
        <f t="shared" si="60"/>
        <v/>
      </c>
      <c r="N174" s="235" t="str">
        <f t="shared" si="61"/>
        <v/>
      </c>
      <c r="O174" s="240"/>
      <c r="P174" s="229">
        <f t="shared" ca="1" si="68"/>
        <v>4.9287626500969335E-3</v>
      </c>
      <c r="Q174" s="229">
        <f t="shared" ca="1" si="69"/>
        <v>1.4114183952550307E-2</v>
      </c>
      <c r="R174" s="229" t="str">
        <f t="shared" si="62"/>
        <v/>
      </c>
      <c r="S174" s="239"/>
      <c r="T174" s="229" t="str">
        <f t="shared" si="63"/>
        <v/>
      </c>
      <c r="U174" s="229" t="str">
        <f t="shared" si="64"/>
        <v/>
      </c>
      <c r="V174" s="229" t="str">
        <f t="shared" si="65"/>
        <v/>
      </c>
    </row>
    <row r="175" spans="1:22" ht="15" customHeight="1" x14ac:dyDescent="0.25">
      <c r="A175" s="205">
        <f t="shared" si="50"/>
        <v>2073</v>
      </c>
      <c r="B175" s="207">
        <f t="shared" ca="1" si="66"/>
        <v>2.1894816939388915</v>
      </c>
      <c r="C175" s="207" t="str">
        <f t="shared" si="51"/>
        <v/>
      </c>
      <c r="D175" s="207" t="str">
        <f t="shared" si="52"/>
        <v/>
      </c>
      <c r="E175" s="234" t="str">
        <f t="shared" si="53"/>
        <v/>
      </c>
      <c r="F175" s="206">
        <f t="shared" ca="1" si="67"/>
        <v>0.11999650496882212</v>
      </c>
      <c r="G175" s="207">
        <f t="shared" ca="1" si="54"/>
        <v>6.3360779027379605E-2</v>
      </c>
      <c r="H175" s="207" t="str">
        <f t="shared" si="55"/>
        <v/>
      </c>
      <c r="I175" s="234" t="str">
        <f t="shared" si="56"/>
        <v/>
      </c>
      <c r="J175" s="601" t="str">
        <f t="shared" ca="1" si="57"/>
        <v/>
      </c>
      <c r="K175" s="232" t="str">
        <f t="shared" si="58"/>
        <v/>
      </c>
      <c r="L175" s="232" t="str">
        <f t="shared" si="59"/>
        <v/>
      </c>
      <c r="M175" s="207" t="str">
        <f t="shared" si="60"/>
        <v/>
      </c>
      <c r="N175" s="235" t="str">
        <f t="shared" si="61"/>
        <v/>
      </c>
      <c r="O175" s="240"/>
      <c r="P175" s="229">
        <f t="shared" ca="1" si="68"/>
        <v>4.9287626500969335E-3</v>
      </c>
      <c r="Q175" s="229">
        <f t="shared" ca="1" si="69"/>
        <v>1.4114183952550307E-2</v>
      </c>
      <c r="R175" s="229" t="str">
        <f t="shared" si="62"/>
        <v/>
      </c>
      <c r="S175" s="239"/>
      <c r="T175" s="229" t="str">
        <f t="shared" si="63"/>
        <v/>
      </c>
      <c r="U175" s="229" t="str">
        <f t="shared" si="64"/>
        <v/>
      </c>
      <c r="V175" s="229" t="str">
        <f t="shared" si="65"/>
        <v/>
      </c>
    </row>
    <row r="176" spans="1:22" ht="15" customHeight="1" x14ac:dyDescent="0.25">
      <c r="A176" s="205">
        <f t="shared" si="50"/>
        <v>2074</v>
      </c>
      <c r="B176" s="207">
        <f t="shared" ca="1" si="66"/>
        <v>2.1947443465694159</v>
      </c>
      <c r="C176" s="207" t="str">
        <f t="shared" si="51"/>
        <v/>
      </c>
      <c r="D176" s="207" t="str">
        <f t="shared" si="52"/>
        <v/>
      </c>
      <c r="E176" s="234" t="str">
        <f t="shared" si="53"/>
        <v/>
      </c>
      <c r="F176" s="206">
        <f t="shared" ca="1" si="67"/>
        <v>0.12003276307107441</v>
      </c>
      <c r="G176" s="207">
        <f t="shared" ca="1" si="54"/>
        <v>6.3571155444378524E-2</v>
      </c>
      <c r="H176" s="207" t="str">
        <f t="shared" si="55"/>
        <v/>
      </c>
      <c r="I176" s="234" t="str">
        <f t="shared" si="56"/>
        <v/>
      </c>
      <c r="J176" s="601" t="str">
        <f t="shared" ca="1" si="57"/>
        <v/>
      </c>
      <c r="K176" s="232" t="str">
        <f t="shared" si="58"/>
        <v/>
      </c>
      <c r="L176" s="232" t="str">
        <f t="shared" si="59"/>
        <v/>
      </c>
      <c r="M176" s="207" t="str">
        <f t="shared" si="60"/>
        <v/>
      </c>
      <c r="N176" s="235" t="str">
        <f t="shared" si="61"/>
        <v/>
      </c>
      <c r="O176" s="240"/>
      <c r="P176" s="229">
        <f t="shared" ca="1" si="68"/>
        <v>4.9287626500969335E-3</v>
      </c>
      <c r="Q176" s="229">
        <f t="shared" ca="1" si="69"/>
        <v>1.4114183952550307E-2</v>
      </c>
      <c r="R176" s="229" t="str">
        <f t="shared" si="62"/>
        <v/>
      </c>
      <c r="S176" s="239"/>
      <c r="T176" s="229" t="str">
        <f t="shared" si="63"/>
        <v/>
      </c>
      <c r="U176" s="229" t="str">
        <f t="shared" si="64"/>
        <v/>
      </c>
      <c r="V176" s="229" t="str">
        <f t="shared" si="65"/>
        <v/>
      </c>
    </row>
    <row r="177" spans="1:22" ht="15" customHeight="1" x14ac:dyDescent="0.25">
      <c r="A177" s="205">
        <f t="shared" si="50"/>
        <v>2075</v>
      </c>
      <c r="B177" s="207">
        <f t="shared" ca="1" si="66"/>
        <v>2.20001964854649</v>
      </c>
      <c r="C177" s="207" t="str">
        <f t="shared" si="51"/>
        <v/>
      </c>
      <c r="D177" s="207" t="str">
        <f t="shared" si="52"/>
        <v/>
      </c>
      <c r="E177" s="234" t="str">
        <f t="shared" si="53"/>
        <v/>
      </c>
      <c r="F177" s="206">
        <f t="shared" ca="1" si="67"/>
        <v>0.12006903212906227</v>
      </c>
      <c r="G177" s="207">
        <f t="shared" ca="1" si="54"/>
        <v>6.3782230372941062E-2</v>
      </c>
      <c r="H177" s="207" t="str">
        <f t="shared" si="55"/>
        <v/>
      </c>
      <c r="I177" s="234" t="str">
        <f t="shared" si="56"/>
        <v/>
      </c>
      <c r="J177" s="601" t="str">
        <f t="shared" ca="1" si="57"/>
        <v/>
      </c>
      <c r="K177" s="232" t="str">
        <f t="shared" si="58"/>
        <v/>
      </c>
      <c r="L177" s="232" t="str">
        <f t="shared" si="59"/>
        <v/>
      </c>
      <c r="M177" s="207" t="str">
        <f t="shared" si="60"/>
        <v/>
      </c>
      <c r="N177" s="235" t="str">
        <f t="shared" si="61"/>
        <v/>
      </c>
      <c r="O177" s="240"/>
      <c r="P177" s="229">
        <f t="shared" ca="1" si="68"/>
        <v>4.9287626500969335E-3</v>
      </c>
      <c r="Q177" s="229">
        <f t="shared" ca="1" si="69"/>
        <v>1.4114183952550307E-2</v>
      </c>
      <c r="R177" s="229" t="str">
        <f t="shared" si="62"/>
        <v/>
      </c>
      <c r="S177" s="239"/>
      <c r="T177" s="229" t="str">
        <f t="shared" si="63"/>
        <v/>
      </c>
      <c r="U177" s="229" t="str">
        <f t="shared" si="64"/>
        <v/>
      </c>
      <c r="V177" s="229" t="str">
        <f t="shared" si="65"/>
        <v/>
      </c>
    </row>
    <row r="178" spans="1:22" ht="15" customHeight="1" x14ac:dyDescent="0.25">
      <c r="A178" s="205">
        <f t="shared" si="50"/>
        <v>2076</v>
      </c>
      <c r="B178" s="207">
        <f t="shared" ca="1" si="66"/>
        <v>2.2046374673347429</v>
      </c>
      <c r="C178" s="207" t="str">
        <f t="shared" si="51"/>
        <v/>
      </c>
      <c r="D178" s="207" t="str">
        <f t="shared" si="52"/>
        <v/>
      </c>
      <c r="E178" s="234" t="str">
        <f t="shared" si="53"/>
        <v/>
      </c>
      <c r="F178" s="206">
        <f t="shared" ca="1" si="67"/>
        <v>0.12005545324420512</v>
      </c>
      <c r="G178" s="207">
        <f t="shared" ca="1" si="54"/>
        <v>6.3918337075596174E-2</v>
      </c>
      <c r="H178" s="207" t="str">
        <f t="shared" si="55"/>
        <v/>
      </c>
      <c r="I178" s="234" t="str">
        <f t="shared" si="56"/>
        <v/>
      </c>
      <c r="J178" s="601" t="str">
        <f t="shared" ca="1" si="57"/>
        <v/>
      </c>
      <c r="K178" s="232" t="str">
        <f t="shared" si="58"/>
        <v/>
      </c>
      <c r="L178" s="232" t="str">
        <f t="shared" si="59"/>
        <v/>
      </c>
      <c r="M178" s="207" t="str">
        <f t="shared" si="60"/>
        <v/>
      </c>
      <c r="N178" s="235" t="str">
        <f t="shared" si="61"/>
        <v/>
      </c>
      <c r="O178" s="240"/>
      <c r="P178" s="229">
        <f t="shared" ca="1" si="68"/>
        <v>4.9287626500969335E-3</v>
      </c>
      <c r="Q178" s="229">
        <f t="shared" ca="1" si="69"/>
        <v>1.4114183952550307E-2</v>
      </c>
      <c r="R178" s="229" t="str">
        <f t="shared" si="62"/>
        <v/>
      </c>
      <c r="S178" s="239"/>
      <c r="T178" s="229" t="str">
        <f t="shared" si="63"/>
        <v/>
      </c>
      <c r="U178" s="229" t="str">
        <f t="shared" si="64"/>
        <v/>
      </c>
      <c r="V178" s="229" t="str">
        <f t="shared" si="65"/>
        <v/>
      </c>
    </row>
    <row r="179" spans="1:22" ht="15" customHeight="1" x14ac:dyDescent="0.25">
      <c r="A179" s="205">
        <f t="shared" si="50"/>
        <v>2077</v>
      </c>
      <c r="B179" s="207">
        <f t="shared" ca="1" si="66"/>
        <v>2.209264978877501</v>
      </c>
      <c r="C179" s="207" t="str">
        <f t="shared" si="51"/>
        <v/>
      </c>
      <c r="D179" s="207" t="str">
        <f t="shared" si="52"/>
        <v/>
      </c>
      <c r="E179" s="234" t="str">
        <f t="shared" si="53"/>
        <v/>
      </c>
      <c r="F179" s="206">
        <f t="shared" ca="1" si="67"/>
        <v>0.1200418758950155</v>
      </c>
      <c r="G179" s="207">
        <f t="shared" ca="1" si="54"/>
        <v>6.4054734220187856E-2</v>
      </c>
      <c r="H179" s="207" t="str">
        <f t="shared" si="55"/>
        <v/>
      </c>
      <c r="I179" s="234" t="str">
        <f t="shared" si="56"/>
        <v/>
      </c>
      <c r="J179" s="601" t="str">
        <f t="shared" ca="1" si="57"/>
        <v/>
      </c>
      <c r="K179" s="232" t="str">
        <f t="shared" si="58"/>
        <v/>
      </c>
      <c r="L179" s="232" t="str">
        <f t="shared" si="59"/>
        <v/>
      </c>
      <c r="M179" s="207" t="str">
        <f t="shared" si="60"/>
        <v/>
      </c>
      <c r="N179" s="235" t="str">
        <f t="shared" si="61"/>
        <v/>
      </c>
      <c r="O179" s="240"/>
      <c r="P179" s="229">
        <f t="shared" ca="1" si="68"/>
        <v>4.9287626500969335E-3</v>
      </c>
      <c r="Q179" s="229">
        <f t="shared" ca="1" si="69"/>
        <v>1.4114183952550307E-2</v>
      </c>
      <c r="R179" s="229" t="str">
        <f t="shared" si="62"/>
        <v/>
      </c>
      <c r="S179" s="239"/>
      <c r="T179" s="229" t="str">
        <f t="shared" si="63"/>
        <v/>
      </c>
      <c r="U179" s="229" t="str">
        <f t="shared" si="64"/>
        <v/>
      </c>
      <c r="V179" s="229" t="str">
        <f t="shared" si="65"/>
        <v/>
      </c>
    </row>
    <row r="180" spans="1:22" ht="15" customHeight="1" x14ac:dyDescent="0.25">
      <c r="A180" s="205">
        <f t="shared" si="50"/>
        <v>2078</v>
      </c>
      <c r="B180" s="207">
        <f t="shared" ca="1" si="66"/>
        <v>2.2139022035197584</v>
      </c>
      <c r="C180" s="207" t="str">
        <f t="shared" si="51"/>
        <v/>
      </c>
      <c r="D180" s="207" t="str">
        <f t="shared" si="52"/>
        <v/>
      </c>
      <c r="E180" s="234" t="str">
        <f t="shared" si="53"/>
        <v/>
      </c>
      <c r="F180" s="206">
        <f t="shared" ca="1" si="67"/>
        <v>0.12002830008131972</v>
      </c>
      <c r="G180" s="207">
        <f t="shared" ca="1" si="54"/>
        <v>6.4191422426498335E-2</v>
      </c>
      <c r="H180" s="207" t="str">
        <f t="shared" si="55"/>
        <v/>
      </c>
      <c r="I180" s="234" t="str">
        <f t="shared" si="56"/>
        <v/>
      </c>
      <c r="J180" s="601" t="str">
        <f t="shared" ca="1" si="57"/>
        <v/>
      </c>
      <c r="K180" s="232" t="str">
        <f t="shared" si="58"/>
        <v/>
      </c>
      <c r="L180" s="232" t="str">
        <f t="shared" si="59"/>
        <v/>
      </c>
      <c r="M180" s="207" t="str">
        <f t="shared" si="60"/>
        <v/>
      </c>
      <c r="N180" s="235" t="str">
        <f t="shared" si="61"/>
        <v/>
      </c>
      <c r="O180" s="240"/>
      <c r="P180" s="229">
        <f t="shared" ca="1" si="68"/>
        <v>4.9287626500969335E-3</v>
      </c>
      <c r="Q180" s="229">
        <f t="shared" ca="1" si="69"/>
        <v>1.4114183952550307E-2</v>
      </c>
      <c r="R180" s="229" t="str">
        <f t="shared" si="62"/>
        <v/>
      </c>
      <c r="S180" s="239"/>
      <c r="T180" s="229" t="str">
        <f t="shared" si="63"/>
        <v/>
      </c>
      <c r="U180" s="229" t="str">
        <f t="shared" si="64"/>
        <v/>
      </c>
      <c r="V180" s="229" t="str">
        <f t="shared" si="65"/>
        <v/>
      </c>
    </row>
    <row r="181" spans="1:22" ht="15" customHeight="1" x14ac:dyDescent="0.25">
      <c r="A181" s="205">
        <f t="shared" si="50"/>
        <v>2079</v>
      </c>
      <c r="B181" s="207">
        <f t="shared" ca="1" si="66"/>
        <v>2.2185491616492103</v>
      </c>
      <c r="C181" s="207" t="str">
        <f t="shared" si="51"/>
        <v/>
      </c>
      <c r="D181" s="207" t="str">
        <f t="shared" si="52"/>
        <v/>
      </c>
      <c r="E181" s="234" t="str">
        <f t="shared" si="53"/>
        <v/>
      </c>
      <c r="F181" s="206">
        <f t="shared" ca="1" si="67"/>
        <v>0.12001472580294416</v>
      </c>
      <c r="G181" s="207">
        <f t="shared" ca="1" si="54"/>
        <v>6.4328402315632457E-2</v>
      </c>
      <c r="H181" s="207" t="str">
        <f t="shared" si="55"/>
        <v/>
      </c>
      <c r="I181" s="234" t="str">
        <f t="shared" si="56"/>
        <v/>
      </c>
      <c r="J181" s="601" t="str">
        <f t="shared" ca="1" si="57"/>
        <v/>
      </c>
      <c r="K181" s="232" t="str">
        <f t="shared" si="58"/>
        <v/>
      </c>
      <c r="L181" s="232" t="str">
        <f t="shared" si="59"/>
        <v/>
      </c>
      <c r="M181" s="207" t="str">
        <f t="shared" si="60"/>
        <v/>
      </c>
      <c r="N181" s="235" t="str">
        <f t="shared" si="61"/>
        <v/>
      </c>
      <c r="O181" s="240"/>
      <c r="P181" s="229">
        <f t="shared" ca="1" si="68"/>
        <v>4.9287626500969335E-3</v>
      </c>
      <c r="Q181" s="229">
        <f t="shared" ca="1" si="69"/>
        <v>1.4114183952550307E-2</v>
      </c>
      <c r="R181" s="229" t="str">
        <f t="shared" si="62"/>
        <v/>
      </c>
      <c r="S181" s="239"/>
      <c r="T181" s="229" t="str">
        <f t="shared" si="63"/>
        <v/>
      </c>
      <c r="U181" s="229" t="str">
        <f t="shared" si="64"/>
        <v/>
      </c>
      <c r="V181" s="229" t="str">
        <f t="shared" si="65"/>
        <v/>
      </c>
    </row>
    <row r="182" spans="1:22" ht="15" customHeight="1" thickBot="1" x14ac:dyDescent="0.3">
      <c r="A182" s="208" t="str">
        <f t="shared" si="50"/>
        <v/>
      </c>
      <c r="B182" s="207" t="str">
        <f t="shared" si="66"/>
        <v/>
      </c>
      <c r="C182" s="207" t="str">
        <f t="shared" si="51"/>
        <v/>
      </c>
      <c r="D182" s="207" t="str">
        <f t="shared" si="52"/>
        <v/>
      </c>
      <c r="E182" s="234" t="str">
        <f t="shared" si="53"/>
        <v/>
      </c>
      <c r="F182" s="206" t="str">
        <f t="shared" si="67"/>
        <v/>
      </c>
      <c r="G182" s="207" t="str">
        <f t="shared" si="54"/>
        <v/>
      </c>
      <c r="H182" s="207" t="str">
        <f t="shared" si="55"/>
        <v/>
      </c>
      <c r="I182" s="234" t="str">
        <f t="shared" si="56"/>
        <v/>
      </c>
      <c r="J182" s="601" t="str">
        <f t="shared" si="57"/>
        <v/>
      </c>
      <c r="K182" s="232" t="str">
        <f t="shared" si="58"/>
        <v/>
      </c>
      <c r="L182" s="232" t="str">
        <f t="shared" si="59"/>
        <v/>
      </c>
      <c r="M182" s="207" t="str">
        <f t="shared" si="60"/>
        <v/>
      </c>
      <c r="N182" s="235" t="str">
        <f t="shared" si="61"/>
        <v/>
      </c>
      <c r="O182" s="241"/>
      <c r="P182" s="229" t="str">
        <f t="shared" si="68"/>
        <v/>
      </c>
      <c r="Q182" s="229" t="str">
        <f t="shared" si="69"/>
        <v/>
      </c>
      <c r="R182" s="229" t="str">
        <f t="shared" si="62"/>
        <v/>
      </c>
      <c r="S182" s="239"/>
      <c r="T182" s="229" t="str">
        <f t="shared" si="63"/>
        <v/>
      </c>
      <c r="U182" s="229" t="str">
        <f t="shared" si="64"/>
        <v/>
      </c>
      <c r="V182" s="229" t="str">
        <f t="shared" si="65"/>
        <v/>
      </c>
    </row>
    <row r="184" spans="1:22" ht="13" thickBot="1" x14ac:dyDescent="0.3">
      <c r="A184" s="1082" t="s">
        <v>1188</v>
      </c>
    </row>
    <row r="185" spans="1:22" ht="26.5" thickTop="1" x14ac:dyDescent="0.3">
      <c r="A185" s="204" t="s">
        <v>1034</v>
      </c>
      <c r="B185" s="237" t="str">
        <f>IF(B$131="","",B$131&amp;" ($/year)")</f>
        <v>Woody Biomass ($/year)</v>
      </c>
      <c r="C185" s="237" t="str">
        <f t="shared" ref="C185:N185" si="70">IF(C$131="","",C$131&amp;" ($/year)")</f>
        <v/>
      </c>
      <c r="D185" s="237" t="str">
        <f t="shared" si="70"/>
        <v/>
      </c>
      <c r="E185" s="237" t="str">
        <f t="shared" si="70"/>
        <v/>
      </c>
      <c r="F185" s="237" t="str">
        <f t="shared" si="70"/>
        <v>Industrial Electricity ($/year)</v>
      </c>
      <c r="G185" s="237" t="str">
        <f t="shared" si="70"/>
        <v>Commercial Natural Gas ($/year)</v>
      </c>
      <c r="H185" s="237" t="str">
        <f t="shared" si="70"/>
        <v/>
      </c>
      <c r="I185" s="596" t="str">
        <f t="shared" si="70"/>
        <v/>
      </c>
      <c r="J185" s="237" t="str">
        <f t="shared" ca="1" si="70"/>
        <v/>
      </c>
      <c r="K185" s="237" t="str">
        <f t="shared" si="70"/>
        <v/>
      </c>
      <c r="L185" s="237" t="str">
        <f t="shared" si="70"/>
        <v/>
      </c>
      <c r="M185" s="237" t="str">
        <f t="shared" si="70"/>
        <v/>
      </c>
      <c r="N185" s="237" t="str">
        <f t="shared" si="70"/>
        <v/>
      </c>
    </row>
    <row r="186" spans="1:22" x14ac:dyDescent="0.25">
      <c r="A186" s="205">
        <f>+A139</f>
        <v>2037</v>
      </c>
      <c r="B186" s="207">
        <f>IF($C65="","",IF($C65&lt;0,0,IF(AND($C65=1,start_time&lt;1),-(SUM(B139)*output_kgyear*$E65*percnt_var*start_time+SUM(B139)*output_kgyear*$E65*(1-start_time)),IF($C65&lt;=start_time,-SUM(B139)*output_kgyear*$E65*percnt_var,-SUM(B139)*output_kgyear*$E65))))</f>
        <v>0</v>
      </c>
      <c r="C186" s="207">
        <f t="shared" ref="C186:N186" si="71">IF($C65="","",IF($C65&lt;0,0,IF(AND($C65=1,start_time&lt;1),-(SUM(C139)*output_kgyear*$E65*percnt_var*start_time+SUM(C139)*output_kgyear*$E65*(1-start_time)),IF($C65&lt;=start_time,-SUM(C139)*output_kgyear*$E65*percnt_var,-SUM(C139)*output_kgyear*$E65))))</f>
        <v>0</v>
      </c>
      <c r="D186" s="207">
        <f t="shared" si="71"/>
        <v>0</v>
      </c>
      <c r="E186" s="234">
        <f t="shared" si="71"/>
        <v>0</v>
      </c>
      <c r="F186" s="206">
        <f t="shared" si="71"/>
        <v>0</v>
      </c>
      <c r="G186" s="207">
        <f t="shared" si="71"/>
        <v>0</v>
      </c>
      <c r="H186" s="207">
        <f t="shared" si="71"/>
        <v>0</v>
      </c>
      <c r="I186" s="234">
        <f t="shared" si="71"/>
        <v>0</v>
      </c>
      <c r="J186" s="601">
        <f t="shared" si="71"/>
        <v>0</v>
      </c>
      <c r="K186" s="232">
        <f t="shared" si="71"/>
        <v>0</v>
      </c>
      <c r="L186" s="232">
        <f t="shared" si="71"/>
        <v>0</v>
      </c>
      <c r="M186" s="207">
        <f t="shared" si="71"/>
        <v>0</v>
      </c>
      <c r="N186" s="235">
        <f t="shared" si="71"/>
        <v>0</v>
      </c>
    </row>
    <row r="187" spans="1:22" x14ac:dyDescent="0.25">
      <c r="A187" s="205">
        <f t="shared" ref="A187:A229" si="72">+A140</f>
        <v>2038</v>
      </c>
      <c r="B187" s="207">
        <f t="shared" ref="B187:N187" si="73">IF($C66="","",IF($C66&lt;0,0,IF(AND($C66=1,start_time&lt;1),-(SUM(B140)*output_kgyear*$E66*percnt_var*start_time+SUM(B140)*output_kgyear*$E66*(1-start_time)),IF($C66&lt;=start_time,-SUM(B140)*output_kgyear*$E66*percnt_var,-SUM(B140)*output_kgyear*$E66))))</f>
        <v>0</v>
      </c>
      <c r="C187" s="207">
        <f t="shared" si="73"/>
        <v>0</v>
      </c>
      <c r="D187" s="207">
        <f t="shared" si="73"/>
        <v>0</v>
      </c>
      <c r="E187" s="234">
        <f t="shared" si="73"/>
        <v>0</v>
      </c>
      <c r="F187" s="206">
        <f t="shared" si="73"/>
        <v>0</v>
      </c>
      <c r="G187" s="207">
        <f t="shared" si="73"/>
        <v>0</v>
      </c>
      <c r="H187" s="207">
        <f t="shared" si="73"/>
        <v>0</v>
      </c>
      <c r="I187" s="234">
        <f t="shared" si="73"/>
        <v>0</v>
      </c>
      <c r="J187" s="601">
        <f t="shared" si="73"/>
        <v>0</v>
      </c>
      <c r="K187" s="232">
        <f t="shared" si="73"/>
        <v>0</v>
      </c>
      <c r="L187" s="232">
        <f t="shared" si="73"/>
        <v>0</v>
      </c>
      <c r="M187" s="207">
        <f t="shared" si="73"/>
        <v>0</v>
      </c>
      <c r="N187" s="235">
        <f t="shared" si="73"/>
        <v>0</v>
      </c>
    </row>
    <row r="188" spans="1:22" x14ac:dyDescent="0.25">
      <c r="A188" s="205">
        <f t="shared" si="72"/>
        <v>2039</v>
      </c>
      <c r="B188" s="207">
        <f t="shared" ref="B188:N188" si="74">IF($C67="","",IF($C67&lt;0,0,IF(AND($C67=1,start_time&lt;1),-(SUM(B141)*output_kgyear*$E67*percnt_var*start_time+SUM(B141)*output_kgyear*$E67*(1-start_time)),IF($C67&lt;=start_time,-SUM(B141)*output_kgyear*$E67*percnt_var,-SUM(B141)*output_kgyear*$E67))))</f>
        <v>0</v>
      </c>
      <c r="C188" s="207">
        <f t="shared" si="74"/>
        <v>0</v>
      </c>
      <c r="D188" s="207">
        <f t="shared" si="74"/>
        <v>0</v>
      </c>
      <c r="E188" s="234">
        <f t="shared" si="74"/>
        <v>0</v>
      </c>
      <c r="F188" s="206">
        <f t="shared" si="74"/>
        <v>0</v>
      </c>
      <c r="G188" s="207">
        <f t="shared" si="74"/>
        <v>0</v>
      </c>
      <c r="H188" s="207">
        <f t="shared" si="74"/>
        <v>0</v>
      </c>
      <c r="I188" s="234">
        <f t="shared" si="74"/>
        <v>0</v>
      </c>
      <c r="J188" s="601">
        <f t="shared" si="74"/>
        <v>0</v>
      </c>
      <c r="K188" s="232">
        <f t="shared" si="74"/>
        <v>0</v>
      </c>
      <c r="L188" s="232">
        <f t="shared" si="74"/>
        <v>0</v>
      </c>
      <c r="M188" s="207">
        <f t="shared" si="74"/>
        <v>0</v>
      </c>
      <c r="N188" s="235">
        <f t="shared" si="74"/>
        <v>0</v>
      </c>
    </row>
    <row r="189" spans="1:22" x14ac:dyDescent="0.25">
      <c r="A189" s="205">
        <f t="shared" si="72"/>
        <v>2040</v>
      </c>
      <c r="B189" s="207">
        <f t="shared" ref="B189:N189" ca="1" si="75">IF($C68="","",IF($C68&lt;0,0,IF(AND($C68=1,start_time&lt;1),-(SUM(B142)*output_kgyear*$E68*percnt_var*start_time+SUM(B142)*output_kgyear*$E68*(1-start_time)),IF($C68&lt;=start_time,-SUM(B142)*output_kgyear*$E68*percnt_var,-SUM(B142)*output_kgyear*$E68))))</f>
        <v>-77767400.228181481</v>
      </c>
      <c r="C189" s="207">
        <f t="shared" ca="1" si="75"/>
        <v>0</v>
      </c>
      <c r="D189" s="207">
        <f t="shared" ca="1" si="75"/>
        <v>0</v>
      </c>
      <c r="E189" s="234">
        <f t="shared" ca="1" si="75"/>
        <v>0</v>
      </c>
      <c r="F189" s="206">
        <f ca="1">IF($C68="","",IF($C68&lt;0,0,IF(AND($C68=1,start_time&lt;1),-(SUM(F142)*output_kgyear*$E68*percnt_var*start_time+SUM(F142)*output_kgyear*$E68*(1-start_time)),IF($C68&lt;=start_time,-SUM(F142)*output_kgyear*$E68*percnt_var,-SUM(F142)*output_kgyear*$E68))))</f>
        <v>-4392451.2371994685</v>
      </c>
      <c r="G189" s="207">
        <f t="shared" ca="1" si="75"/>
        <v>-2021310.1183009541</v>
      </c>
      <c r="H189" s="207">
        <f t="shared" ca="1" si="75"/>
        <v>0</v>
      </c>
      <c r="I189" s="234">
        <f t="shared" ca="1" si="75"/>
        <v>0</v>
      </c>
      <c r="J189" s="601">
        <f t="shared" ca="1" si="75"/>
        <v>0</v>
      </c>
      <c r="K189" s="232">
        <f t="shared" ca="1" si="75"/>
        <v>0</v>
      </c>
      <c r="L189" s="232">
        <f t="shared" ca="1" si="75"/>
        <v>0</v>
      </c>
      <c r="M189" s="207">
        <f t="shared" ca="1" si="75"/>
        <v>0</v>
      </c>
      <c r="N189" s="235">
        <f t="shared" ca="1" si="75"/>
        <v>0</v>
      </c>
    </row>
    <row r="190" spans="1:22" x14ac:dyDescent="0.25">
      <c r="A190" s="205">
        <f t="shared" si="72"/>
        <v>2041</v>
      </c>
      <c r="B190" s="207">
        <f t="shared" ref="B190:N190" ca="1" si="76">IF($C69="","",IF($C69&lt;0,0,IF(AND($C69=1,start_time&lt;1),-(SUM(B143)*output_kgyear*$E69*percnt_var*start_time+SUM(B143)*output_kgyear*$E69*(1-start_time)),IF($C69&lt;=start_time,-SUM(B143)*output_kgyear*$E69*percnt_var,-SUM(B143)*output_kgyear*$E69))))</f>
        <v>-105659974.4433559</v>
      </c>
      <c r="C190" s="207">
        <f t="shared" ca="1" si="76"/>
        <v>0</v>
      </c>
      <c r="D190" s="207">
        <f t="shared" ca="1" si="76"/>
        <v>0</v>
      </c>
      <c r="E190" s="234">
        <f t="shared" ca="1" si="76"/>
        <v>0</v>
      </c>
      <c r="F190" s="206">
        <f t="shared" ca="1" si="76"/>
        <v>-5950325.9615992177</v>
      </c>
      <c r="G190" s="207">
        <f t="shared" ca="1" si="76"/>
        <v>-2753708.6332060173</v>
      </c>
      <c r="H190" s="207">
        <f t="shared" ca="1" si="76"/>
        <v>0</v>
      </c>
      <c r="I190" s="234">
        <f t="shared" ca="1" si="76"/>
        <v>0</v>
      </c>
      <c r="J190" s="601">
        <f t="shared" ca="1" si="76"/>
        <v>0</v>
      </c>
      <c r="K190" s="232">
        <f t="shared" ca="1" si="76"/>
        <v>0</v>
      </c>
      <c r="L190" s="232">
        <f t="shared" ca="1" si="76"/>
        <v>0</v>
      </c>
      <c r="M190" s="207">
        <f t="shared" ca="1" si="76"/>
        <v>0</v>
      </c>
      <c r="N190" s="235">
        <f t="shared" ca="1" si="76"/>
        <v>0</v>
      </c>
    </row>
    <row r="191" spans="1:22" x14ac:dyDescent="0.25">
      <c r="A191" s="205">
        <f t="shared" si="72"/>
        <v>2042</v>
      </c>
      <c r="B191" s="207">
        <f t="shared" ref="B191:N191" ca="1" si="77">IF($C70="","",IF($C70&lt;0,0,IF(AND($C70=1,start_time&lt;1),-(SUM(B144)*output_kgyear*$E70*percnt_var*start_time+SUM(B144)*output_kgyear*$E70*(1-start_time)),IF($C70&lt;=start_time,-SUM(B144)*output_kgyear*$E70*percnt_var,-SUM(B144)*output_kgyear*$E70))))</f>
        <v>-107667513.95777966</v>
      </c>
      <c r="C191" s="207">
        <f t="shared" ca="1" si="77"/>
        <v>0</v>
      </c>
      <c r="D191" s="207">
        <f t="shared" ca="1" si="77"/>
        <v>0</v>
      </c>
      <c r="E191" s="234">
        <f t="shared" ca="1" si="77"/>
        <v>0</v>
      </c>
      <c r="F191" s="206">
        <f t="shared" ca="1" si="77"/>
        <v>-6070414.7478100713</v>
      </c>
      <c r="G191" s="207">
        <f t="shared" ca="1" si="77"/>
        <v>-2823987.387449929</v>
      </c>
      <c r="H191" s="207">
        <f t="shared" ca="1" si="77"/>
        <v>0</v>
      </c>
      <c r="I191" s="234">
        <f t="shared" ca="1" si="77"/>
        <v>0</v>
      </c>
      <c r="J191" s="601">
        <f t="shared" ca="1" si="77"/>
        <v>0</v>
      </c>
      <c r="K191" s="232">
        <f t="shared" ca="1" si="77"/>
        <v>0</v>
      </c>
      <c r="L191" s="232">
        <f t="shared" ca="1" si="77"/>
        <v>0</v>
      </c>
      <c r="M191" s="207">
        <f t="shared" ca="1" si="77"/>
        <v>0</v>
      </c>
      <c r="N191" s="235">
        <f t="shared" ca="1" si="77"/>
        <v>0</v>
      </c>
    </row>
    <row r="192" spans="1:22" x14ac:dyDescent="0.25">
      <c r="A192" s="205">
        <f t="shared" si="72"/>
        <v>2043</v>
      </c>
      <c r="B192" s="207">
        <f t="shared" ref="B192:N192" ca="1" si="78">IF($C71="","",IF($C71&lt;0,0,IF(AND($C71=1,start_time&lt;1),-(SUM(B145)*output_kgyear*$E71*percnt_var*start_time+SUM(B145)*output_kgyear*$E71*(1-start_time)),IF($C71&lt;=start_time,-SUM(B145)*output_kgyear*$E71*percnt_var,-SUM(B145)*output_kgyear*$E71))))</f>
        <v>-109713196.72297746</v>
      </c>
      <c r="C192" s="207">
        <f t="shared" ca="1" si="78"/>
        <v>0</v>
      </c>
      <c r="D192" s="207">
        <f t="shared" ca="1" si="78"/>
        <v>0</v>
      </c>
      <c r="E192" s="234">
        <f t="shared" ca="1" si="78"/>
        <v>0</v>
      </c>
      <c r="F192" s="206">
        <f t="shared" ca="1" si="78"/>
        <v>-6204630.1841700543</v>
      </c>
      <c r="G192" s="207">
        <f t="shared" ca="1" si="78"/>
        <v>-2901231.9544653776</v>
      </c>
      <c r="H192" s="207">
        <f t="shared" ca="1" si="78"/>
        <v>0</v>
      </c>
      <c r="I192" s="234">
        <f t="shared" ca="1" si="78"/>
        <v>0</v>
      </c>
      <c r="J192" s="601">
        <f t="shared" ca="1" si="78"/>
        <v>0</v>
      </c>
      <c r="K192" s="232">
        <f t="shared" ca="1" si="78"/>
        <v>0</v>
      </c>
      <c r="L192" s="232">
        <f t="shared" ca="1" si="78"/>
        <v>0</v>
      </c>
      <c r="M192" s="207">
        <f t="shared" ca="1" si="78"/>
        <v>0</v>
      </c>
      <c r="N192" s="235">
        <f t="shared" ca="1" si="78"/>
        <v>0</v>
      </c>
    </row>
    <row r="193" spans="1:14" x14ac:dyDescent="0.25">
      <c r="A193" s="205">
        <f t="shared" si="72"/>
        <v>2044</v>
      </c>
      <c r="B193" s="207">
        <f t="shared" ref="B193:N193" ca="1" si="79">IF($C72="","",IF($C72&lt;0,0,IF(AND($C72=1,start_time&lt;1),-(SUM(B146)*output_kgyear*$E72*percnt_var*start_time+SUM(B146)*output_kgyear*$E72*(1-start_time)),IF($C72&lt;=start_time,-SUM(B146)*output_kgyear*$E72*percnt_var,-SUM(B146)*output_kgyear*$E72))))</f>
        <v>-111797747.46071404</v>
      </c>
      <c r="C193" s="207">
        <f t="shared" ca="1" si="79"/>
        <v>0</v>
      </c>
      <c r="D193" s="207">
        <f t="shared" ca="1" si="79"/>
        <v>0</v>
      </c>
      <c r="E193" s="234">
        <f t="shared" ca="1" si="79"/>
        <v>0</v>
      </c>
      <c r="F193" s="206">
        <f t="shared" ca="1" si="79"/>
        <v>-6346340.6168727316</v>
      </c>
      <c r="G193" s="207">
        <f t="shared" ca="1" si="79"/>
        <v>-2979785.0463611037</v>
      </c>
      <c r="H193" s="207">
        <f t="shared" ca="1" si="79"/>
        <v>0</v>
      </c>
      <c r="I193" s="234">
        <f t="shared" ca="1" si="79"/>
        <v>0</v>
      </c>
      <c r="J193" s="601">
        <f t="shared" ca="1" si="79"/>
        <v>0</v>
      </c>
      <c r="K193" s="232">
        <f t="shared" ca="1" si="79"/>
        <v>0</v>
      </c>
      <c r="L193" s="232">
        <f t="shared" ca="1" si="79"/>
        <v>0</v>
      </c>
      <c r="M193" s="207">
        <f t="shared" ca="1" si="79"/>
        <v>0</v>
      </c>
      <c r="N193" s="235">
        <f t="shared" ca="1" si="79"/>
        <v>0</v>
      </c>
    </row>
    <row r="194" spans="1:14" x14ac:dyDescent="0.25">
      <c r="A194" s="205">
        <f t="shared" si="72"/>
        <v>2045</v>
      </c>
      <c r="B194" s="207">
        <f t="shared" ref="B194:N194" ca="1" si="80">IF($C73="","",IF($C73&lt;0,0,IF(AND($C73=1,start_time&lt;1),-(SUM(B147)*output_kgyear*$E73*percnt_var*start_time+SUM(B147)*output_kgyear*$E73*(1-start_time)),IF($C73&lt;=start_time,-SUM(B147)*output_kgyear*$E73*percnt_var,-SUM(B147)*output_kgyear*$E73))))</f>
        <v>-113921904.66246758</v>
      </c>
      <c r="C194" s="207">
        <f t="shared" ca="1" si="80"/>
        <v>0</v>
      </c>
      <c r="D194" s="207">
        <f t="shared" ca="1" si="80"/>
        <v>0</v>
      </c>
      <c r="E194" s="234">
        <f t="shared" ca="1" si="80"/>
        <v>0</v>
      </c>
      <c r="F194" s="206">
        <f t="shared" ca="1" si="80"/>
        <v>-6490544.5570276789</v>
      </c>
      <c r="G194" s="207">
        <f t="shared" ca="1" si="80"/>
        <v>-3063054.6719971341</v>
      </c>
      <c r="H194" s="207">
        <f t="shared" ca="1" si="80"/>
        <v>0</v>
      </c>
      <c r="I194" s="234">
        <f t="shared" ca="1" si="80"/>
        <v>0</v>
      </c>
      <c r="J194" s="601">
        <f t="shared" ca="1" si="80"/>
        <v>0</v>
      </c>
      <c r="K194" s="232">
        <f t="shared" ca="1" si="80"/>
        <v>0</v>
      </c>
      <c r="L194" s="232">
        <f t="shared" ca="1" si="80"/>
        <v>0</v>
      </c>
      <c r="M194" s="207">
        <f t="shared" ca="1" si="80"/>
        <v>0</v>
      </c>
      <c r="N194" s="235">
        <f t="shared" ca="1" si="80"/>
        <v>0</v>
      </c>
    </row>
    <row r="195" spans="1:14" x14ac:dyDescent="0.25">
      <c r="A195" s="205">
        <f t="shared" si="72"/>
        <v>2046</v>
      </c>
      <c r="B195" s="207">
        <f t="shared" ref="B195:N195" ca="1" si="81">IF($C74="","",IF($C74&lt;0,0,IF(AND($C74=1,start_time&lt;1),-(SUM(B148)*output_kgyear*$E74*percnt_var*start_time+SUM(B148)*output_kgyear*$E74*(1-start_time)),IF($C74&lt;=start_time,-SUM(B148)*output_kgyear*$E74*percnt_var,-SUM(B148)*output_kgyear*$E74))))</f>
        <v>-116086420.85105447</v>
      </c>
      <c r="C195" s="207">
        <f t="shared" ca="1" si="81"/>
        <v>0</v>
      </c>
      <c r="D195" s="207">
        <f t="shared" ca="1" si="81"/>
        <v>0</v>
      </c>
      <c r="E195" s="234">
        <f t="shared" ca="1" si="81"/>
        <v>0</v>
      </c>
      <c r="F195" s="206">
        <f t="shared" ca="1" si="81"/>
        <v>-6638339.4226899548</v>
      </c>
      <c r="G195" s="207">
        <f t="shared" ca="1" si="81"/>
        <v>-3143832.1069536475</v>
      </c>
      <c r="H195" s="207">
        <f t="shared" ca="1" si="81"/>
        <v>0</v>
      </c>
      <c r="I195" s="234">
        <f t="shared" ca="1" si="81"/>
        <v>0</v>
      </c>
      <c r="J195" s="601">
        <f t="shared" ca="1" si="81"/>
        <v>0</v>
      </c>
      <c r="K195" s="232">
        <f t="shared" ca="1" si="81"/>
        <v>0</v>
      </c>
      <c r="L195" s="232">
        <f t="shared" ca="1" si="81"/>
        <v>0</v>
      </c>
      <c r="M195" s="207">
        <f t="shared" ca="1" si="81"/>
        <v>0</v>
      </c>
      <c r="N195" s="235">
        <f t="shared" ca="1" si="81"/>
        <v>0</v>
      </c>
    </row>
    <row r="196" spans="1:14" x14ac:dyDescent="0.25">
      <c r="A196" s="205">
        <f t="shared" si="72"/>
        <v>2047</v>
      </c>
      <c r="B196" s="207">
        <f t="shared" ref="B196:N196" ca="1" si="82">IF($C75="","",IF($C75&lt;0,0,IF(AND($C75=1,start_time&lt;1),-(SUM(B149)*output_kgyear*$E75*percnt_var*start_time+SUM(B149)*output_kgyear*$E75*(1-start_time)),IF($C75&lt;=start_time,-SUM(B149)*output_kgyear*$E75*percnt_var,-SUM(B149)*output_kgyear*$E75))))</f>
        <v>-118292062.84722452</v>
      </c>
      <c r="C196" s="207">
        <f t="shared" ca="1" si="82"/>
        <v>0</v>
      </c>
      <c r="D196" s="207">
        <f t="shared" ca="1" si="82"/>
        <v>0</v>
      </c>
      <c r="E196" s="234">
        <f t="shared" ca="1" si="82"/>
        <v>0</v>
      </c>
      <c r="F196" s="206">
        <f t="shared" ca="1" si="82"/>
        <v>-6786847.8483270155</v>
      </c>
      <c r="G196" s="207">
        <f t="shared" ca="1" si="82"/>
        <v>-3221945.6146114431</v>
      </c>
      <c r="H196" s="207">
        <f t="shared" ca="1" si="82"/>
        <v>0</v>
      </c>
      <c r="I196" s="234">
        <f t="shared" ca="1" si="82"/>
        <v>0</v>
      </c>
      <c r="J196" s="601">
        <f t="shared" ca="1" si="82"/>
        <v>0</v>
      </c>
      <c r="K196" s="232">
        <f t="shared" ca="1" si="82"/>
        <v>0</v>
      </c>
      <c r="L196" s="232">
        <f t="shared" ca="1" si="82"/>
        <v>0</v>
      </c>
      <c r="M196" s="207">
        <f t="shared" ca="1" si="82"/>
        <v>0</v>
      </c>
      <c r="N196" s="235">
        <f t="shared" ca="1" si="82"/>
        <v>0</v>
      </c>
    </row>
    <row r="197" spans="1:14" x14ac:dyDescent="0.25">
      <c r="A197" s="205">
        <f t="shared" si="72"/>
        <v>2048</v>
      </c>
      <c r="B197" s="207">
        <f t="shared" ref="B197:N197" ca="1" si="83">IF($C76="","",IF($C76&lt;0,0,IF(AND($C76=1,start_time&lt;1),-(SUM(B150)*output_kgyear*$E76*percnt_var*start_time+SUM(B150)*output_kgyear*$E76*(1-start_time)),IF($C76&lt;=start_time,-SUM(B150)*output_kgyear*$E76*percnt_var,-SUM(B150)*output_kgyear*$E76))))</f>
        <v>-120539612.04132177</v>
      </c>
      <c r="C197" s="207">
        <f t="shared" ca="1" si="83"/>
        <v>0</v>
      </c>
      <c r="D197" s="207">
        <f t="shared" ca="1" si="83"/>
        <v>0</v>
      </c>
      <c r="E197" s="234">
        <f t="shared" ca="1" si="83"/>
        <v>0</v>
      </c>
      <c r="F197" s="206">
        <f t="shared" ca="1" si="83"/>
        <v>-6941450.5473801307</v>
      </c>
      <c r="G197" s="207">
        <f t="shared" ca="1" si="83"/>
        <v>-3314280.5022622999</v>
      </c>
      <c r="H197" s="207">
        <f t="shared" ca="1" si="83"/>
        <v>0</v>
      </c>
      <c r="I197" s="234">
        <f t="shared" ca="1" si="83"/>
        <v>0</v>
      </c>
      <c r="J197" s="601">
        <f t="shared" ca="1" si="83"/>
        <v>0</v>
      </c>
      <c r="K197" s="232">
        <f t="shared" ca="1" si="83"/>
        <v>0</v>
      </c>
      <c r="L197" s="232">
        <f t="shared" ca="1" si="83"/>
        <v>0</v>
      </c>
      <c r="M197" s="207">
        <f t="shared" ca="1" si="83"/>
        <v>0</v>
      </c>
      <c r="N197" s="235">
        <f t="shared" ca="1" si="83"/>
        <v>0</v>
      </c>
    </row>
    <row r="198" spans="1:14" x14ac:dyDescent="0.25">
      <c r="A198" s="205">
        <f t="shared" si="72"/>
        <v>2049</v>
      </c>
      <c r="B198" s="207">
        <f t="shared" ref="B198:N198" ca="1" si="84">IF($C77="","",IF($C77&lt;0,0,IF(AND($C77=1,start_time&lt;1),-(SUM(B151)*output_kgyear*$E77*percnt_var*start_time+SUM(B151)*output_kgyear*$E77*(1-start_time)),IF($C77&lt;=start_time,-SUM(B151)*output_kgyear*$E77*percnt_var,-SUM(B151)*output_kgyear*$E77))))</f>
        <v>-122829864.67010687</v>
      </c>
      <c r="C198" s="207">
        <f t="shared" ca="1" si="84"/>
        <v>0</v>
      </c>
      <c r="D198" s="207">
        <f t="shared" ca="1" si="84"/>
        <v>0</v>
      </c>
      <c r="E198" s="234">
        <f t="shared" ca="1" si="84"/>
        <v>0</v>
      </c>
      <c r="F198" s="206">
        <f t="shared" ca="1" si="84"/>
        <v>-7095985.6874788748</v>
      </c>
      <c r="G198" s="207">
        <f t="shared" ca="1" si="84"/>
        <v>-3393562.8703594813</v>
      </c>
      <c r="H198" s="207">
        <f t="shared" ca="1" si="84"/>
        <v>0</v>
      </c>
      <c r="I198" s="234">
        <f t="shared" ca="1" si="84"/>
        <v>0</v>
      </c>
      <c r="J198" s="601">
        <f t="shared" ca="1" si="84"/>
        <v>0</v>
      </c>
      <c r="K198" s="232">
        <f t="shared" ca="1" si="84"/>
        <v>0</v>
      </c>
      <c r="L198" s="232">
        <f t="shared" ca="1" si="84"/>
        <v>0</v>
      </c>
      <c r="M198" s="207">
        <f t="shared" ca="1" si="84"/>
        <v>0</v>
      </c>
      <c r="N198" s="235">
        <f t="shared" ca="1" si="84"/>
        <v>0</v>
      </c>
    </row>
    <row r="199" spans="1:14" x14ac:dyDescent="0.25">
      <c r="A199" s="205">
        <f t="shared" si="72"/>
        <v>2050</v>
      </c>
      <c r="B199" s="207">
        <f t="shared" ref="B199:N199" ca="1" si="85">IF($C78="","",IF($C78&lt;0,0,IF(AND($C78=1,start_time&lt;1),-(SUM(B152)*output_kgyear*$E78*percnt_var*start_time+SUM(B152)*output_kgyear*$E78*(1-start_time)),IF($C78&lt;=start_time,-SUM(B152)*output_kgyear*$E78*percnt_var,-SUM(B152)*output_kgyear*$E78))))</f>
        <v>-125163632.0988389</v>
      </c>
      <c r="C199" s="207">
        <f t="shared" ca="1" si="85"/>
        <v>0</v>
      </c>
      <c r="D199" s="207">
        <f t="shared" ca="1" si="85"/>
        <v>0</v>
      </c>
      <c r="E199" s="234">
        <f t="shared" ca="1" si="85"/>
        <v>0</v>
      </c>
      <c r="F199" s="206">
        <f t="shared" ca="1" si="85"/>
        <v>-7253182.8825871889</v>
      </c>
      <c r="G199" s="207">
        <f t="shared" ca="1" si="85"/>
        <v>-3490133.7171106446</v>
      </c>
      <c r="H199" s="207">
        <f t="shared" ca="1" si="85"/>
        <v>0</v>
      </c>
      <c r="I199" s="234">
        <f t="shared" ca="1" si="85"/>
        <v>0</v>
      </c>
      <c r="J199" s="601">
        <f t="shared" ca="1" si="85"/>
        <v>0</v>
      </c>
      <c r="K199" s="232">
        <f t="shared" ca="1" si="85"/>
        <v>0</v>
      </c>
      <c r="L199" s="232">
        <f t="shared" ca="1" si="85"/>
        <v>0</v>
      </c>
      <c r="M199" s="207">
        <f t="shared" ca="1" si="85"/>
        <v>0</v>
      </c>
      <c r="N199" s="235">
        <f t="shared" ca="1" si="85"/>
        <v>0</v>
      </c>
    </row>
    <row r="200" spans="1:14" x14ac:dyDescent="0.25">
      <c r="A200" s="205">
        <f t="shared" si="72"/>
        <v>2051</v>
      </c>
      <c r="B200" s="207">
        <f t="shared" ref="B200:N200" ca="1" si="86">IF($C79="","",IF($C79&lt;0,0,IF(AND($C79=1,start_time&lt;1),-(SUM(B153)*output_kgyear*$E79*percnt_var*start_time+SUM(B153)*output_kgyear*$E79*(1-start_time)),IF($C79&lt;=start_time,-SUM(B153)*output_kgyear*$E79*percnt_var,-SUM(B153)*output_kgyear*$E79))))</f>
        <v>-128071594.52805614</v>
      </c>
      <c r="C200" s="207">
        <f t="shared" ca="1" si="86"/>
        <v>0</v>
      </c>
      <c r="D200" s="207">
        <f t="shared" ca="1" si="86"/>
        <v>0</v>
      </c>
      <c r="E200" s="234">
        <f t="shared" ca="1" si="86"/>
        <v>0</v>
      </c>
      <c r="F200" s="206">
        <f t="shared" ca="1" si="86"/>
        <v>-7397696.6587297684</v>
      </c>
      <c r="G200" s="207">
        <f t="shared" ca="1" si="86"/>
        <v>-3576217.7564375731</v>
      </c>
      <c r="H200" s="207">
        <f t="shared" ca="1" si="86"/>
        <v>0</v>
      </c>
      <c r="I200" s="234">
        <f t="shared" ca="1" si="86"/>
        <v>0</v>
      </c>
      <c r="J200" s="601">
        <f t="shared" ca="1" si="86"/>
        <v>0</v>
      </c>
      <c r="K200" s="232">
        <f t="shared" ca="1" si="86"/>
        <v>0</v>
      </c>
      <c r="L200" s="232">
        <f t="shared" ca="1" si="86"/>
        <v>0</v>
      </c>
      <c r="M200" s="207">
        <f t="shared" ca="1" si="86"/>
        <v>0</v>
      </c>
      <c r="N200" s="235">
        <f t="shared" ca="1" si="86"/>
        <v>0</v>
      </c>
    </row>
    <row r="201" spans="1:14" x14ac:dyDescent="0.25">
      <c r="A201" s="205">
        <f t="shared" si="72"/>
        <v>2052</v>
      </c>
      <c r="B201" s="207">
        <f t="shared" ref="B201:N201" ca="1" si="87">IF($C80="","",IF($C80&lt;0,0,IF(AND($C80=1,start_time&lt;1),-(SUM(B154)*output_kgyear*$E80*percnt_var*start_time+SUM(B154)*output_kgyear*$E80*(1-start_time)),IF($C80&lt;=start_time,-SUM(B154)*output_kgyear*$E80*percnt_var,-SUM(B154)*output_kgyear*$E80))))</f>
        <v>-131047118.47932206</v>
      </c>
      <c r="C201" s="207">
        <f t="shared" ca="1" si="87"/>
        <v>0</v>
      </c>
      <c r="D201" s="207">
        <f t="shared" ca="1" si="87"/>
        <v>0</v>
      </c>
      <c r="E201" s="234">
        <f t="shared" ca="1" si="87"/>
        <v>0</v>
      </c>
      <c r="F201" s="206">
        <f t="shared" ca="1" si="87"/>
        <v>-7545089.7544528767</v>
      </c>
      <c r="G201" s="207">
        <f t="shared" ca="1" si="87"/>
        <v>-3664425.0559108136</v>
      </c>
      <c r="H201" s="207">
        <f t="shared" ca="1" si="87"/>
        <v>0</v>
      </c>
      <c r="I201" s="234">
        <f t="shared" ca="1" si="87"/>
        <v>0</v>
      </c>
      <c r="J201" s="601">
        <f t="shared" ca="1" si="87"/>
        <v>0</v>
      </c>
      <c r="K201" s="232">
        <f t="shared" ca="1" si="87"/>
        <v>0</v>
      </c>
      <c r="L201" s="232">
        <f t="shared" ca="1" si="87"/>
        <v>0</v>
      </c>
      <c r="M201" s="207">
        <f t="shared" ca="1" si="87"/>
        <v>0</v>
      </c>
      <c r="N201" s="235">
        <f t="shared" ca="1" si="87"/>
        <v>0</v>
      </c>
    </row>
    <row r="202" spans="1:14" x14ac:dyDescent="0.25">
      <c r="A202" s="205">
        <f t="shared" si="72"/>
        <v>2053</v>
      </c>
      <c r="B202" s="207">
        <f t="shared" ref="B202:N202" ca="1" si="88">IF($C81="","",IF($C81&lt;0,0,IF(AND($C81=1,start_time&lt;1),-(SUM(B155)*output_kgyear*$E81*percnt_var*start_time+SUM(B155)*output_kgyear*$E81*(1-start_time)),IF($C81&lt;=start_time,-SUM(B155)*output_kgyear*$E81*percnt_var,-SUM(B155)*output_kgyear*$E81))))</f>
        <v>-134091773.62878363</v>
      </c>
      <c r="C202" s="207">
        <f t="shared" ca="1" si="88"/>
        <v>0</v>
      </c>
      <c r="D202" s="207">
        <f t="shared" ca="1" si="88"/>
        <v>0</v>
      </c>
      <c r="E202" s="234">
        <f t="shared" ca="1" si="88"/>
        <v>0</v>
      </c>
      <c r="F202" s="206">
        <f t="shared" ca="1" si="88"/>
        <v>-7695419.537859872</v>
      </c>
      <c r="G202" s="207">
        <f t="shared" ca="1" si="88"/>
        <v>-3754807.9856756814</v>
      </c>
      <c r="H202" s="207">
        <f t="shared" ca="1" si="88"/>
        <v>0</v>
      </c>
      <c r="I202" s="234">
        <f t="shared" ca="1" si="88"/>
        <v>0</v>
      </c>
      <c r="J202" s="601">
        <f t="shared" ca="1" si="88"/>
        <v>0</v>
      </c>
      <c r="K202" s="232">
        <f t="shared" ca="1" si="88"/>
        <v>0</v>
      </c>
      <c r="L202" s="232">
        <f t="shared" ca="1" si="88"/>
        <v>0</v>
      </c>
      <c r="M202" s="207">
        <f t="shared" ca="1" si="88"/>
        <v>0</v>
      </c>
      <c r="N202" s="235">
        <f t="shared" ca="1" si="88"/>
        <v>0</v>
      </c>
    </row>
    <row r="203" spans="1:14" x14ac:dyDescent="0.25">
      <c r="A203" s="205">
        <f t="shared" si="72"/>
        <v>2054</v>
      </c>
      <c r="B203" s="207">
        <f t="shared" ref="B203:N203" ca="1" si="89">IF($C82="","",IF($C82&lt;0,0,IF(AND($C82=1,start_time&lt;1),-(SUM(B156)*output_kgyear*$E82*percnt_var*start_time+SUM(B156)*output_kgyear*$E82*(1-start_time)),IF($C82&lt;=start_time,-SUM(B156)*output_kgyear*$E82*percnt_var,-SUM(B156)*output_kgyear*$E82))))</f>
        <v>-137207166.12132242</v>
      </c>
      <c r="C203" s="207">
        <f t="shared" ca="1" si="89"/>
        <v>0</v>
      </c>
      <c r="D203" s="207">
        <f t="shared" ca="1" si="89"/>
        <v>0</v>
      </c>
      <c r="E203" s="234">
        <f t="shared" ca="1" si="89"/>
        <v>0</v>
      </c>
      <c r="F203" s="206">
        <f t="shared" ca="1" si="89"/>
        <v>-7848744.5200669719</v>
      </c>
      <c r="G203" s="207">
        <f t="shared" ca="1" si="89"/>
        <v>-3847420.2075854954</v>
      </c>
      <c r="H203" s="207">
        <f t="shared" ca="1" si="89"/>
        <v>0</v>
      </c>
      <c r="I203" s="234">
        <f t="shared" ca="1" si="89"/>
        <v>0</v>
      </c>
      <c r="J203" s="601">
        <f t="shared" ca="1" si="89"/>
        <v>0</v>
      </c>
      <c r="K203" s="232">
        <f t="shared" ca="1" si="89"/>
        <v>0</v>
      </c>
      <c r="L203" s="232">
        <f t="shared" ca="1" si="89"/>
        <v>0</v>
      </c>
      <c r="M203" s="207">
        <f t="shared" ca="1" si="89"/>
        <v>0</v>
      </c>
      <c r="N203" s="235">
        <f t="shared" ca="1" si="89"/>
        <v>0</v>
      </c>
    </row>
    <row r="204" spans="1:14" x14ac:dyDescent="0.25">
      <c r="A204" s="205">
        <f t="shared" si="72"/>
        <v>2055</v>
      </c>
      <c r="B204" s="207">
        <f t="shared" ref="B204:N204" ca="1" si="90">IF($C83="","",IF($C83&lt;0,0,IF(AND($C83=1,start_time&lt;1),-(SUM(B157)*output_kgyear*$E83*percnt_var*start_time+SUM(B157)*output_kgyear*$E83*(1-start_time)),IF($C83&lt;=start_time,-SUM(B157)*output_kgyear*$E83*percnt_var,-SUM(B157)*output_kgyear*$E83))))</f>
        <v>-140394939.41784275</v>
      </c>
      <c r="C204" s="207">
        <f t="shared" ca="1" si="90"/>
        <v>0</v>
      </c>
      <c r="D204" s="207">
        <f t="shared" ca="1" si="90"/>
        <v>0</v>
      </c>
      <c r="E204" s="234">
        <f t="shared" ca="1" si="90"/>
        <v>0</v>
      </c>
      <c r="F204" s="206">
        <f t="shared" ca="1" si="90"/>
        <v>-8005124.3779768385</v>
      </c>
      <c r="G204" s="207">
        <f t="shared" ca="1" si="90"/>
        <v>-3942316.7070615087</v>
      </c>
      <c r="H204" s="207">
        <f t="shared" ca="1" si="90"/>
        <v>0</v>
      </c>
      <c r="I204" s="234">
        <f t="shared" ca="1" si="90"/>
        <v>0</v>
      </c>
      <c r="J204" s="601">
        <f t="shared" ca="1" si="90"/>
        <v>0</v>
      </c>
      <c r="K204" s="232">
        <f t="shared" ca="1" si="90"/>
        <v>0</v>
      </c>
      <c r="L204" s="232">
        <f t="shared" ca="1" si="90"/>
        <v>0</v>
      </c>
      <c r="M204" s="207">
        <f t="shared" ca="1" si="90"/>
        <v>0</v>
      </c>
      <c r="N204" s="235">
        <f t="shared" ca="1" si="90"/>
        <v>0</v>
      </c>
    </row>
    <row r="205" spans="1:14" x14ac:dyDescent="0.25">
      <c r="A205" s="205">
        <f t="shared" si="72"/>
        <v>2056</v>
      </c>
      <c r="B205" s="207">
        <f t="shared" ref="B205:N205" ca="1" si="91">IF($C84="","",IF($C84&lt;0,0,IF(AND($C84=1,start_time&lt;1),-(SUM(B158)*output_kgyear*$E84*percnt_var*start_time+SUM(B158)*output_kgyear*$E84*(1-start_time)),IF($C84&lt;=start_time,-SUM(B158)*output_kgyear*$E84*percnt_var,-SUM(B158)*output_kgyear*$E84))))</f>
        <v>-143578948.32364684</v>
      </c>
      <c r="C205" s="207">
        <f t="shared" ca="1" si="91"/>
        <v>0</v>
      </c>
      <c r="D205" s="207">
        <f t="shared" ca="1" si="91"/>
        <v>0</v>
      </c>
      <c r="E205" s="234">
        <f t="shared" ca="1" si="91"/>
        <v>0</v>
      </c>
      <c r="F205" s="206">
        <f t="shared" ca="1" si="91"/>
        <v>-8165343.9512256552</v>
      </c>
      <c r="G205" s="207">
        <f t="shared" ca="1" si="91"/>
        <v>-4038783.0588081349</v>
      </c>
      <c r="H205" s="207">
        <f t="shared" ca="1" si="91"/>
        <v>0</v>
      </c>
      <c r="I205" s="234">
        <f t="shared" ca="1" si="91"/>
        <v>0</v>
      </c>
      <c r="J205" s="601">
        <f t="shared" ca="1" si="91"/>
        <v>0</v>
      </c>
      <c r="K205" s="232">
        <f t="shared" ca="1" si="91"/>
        <v>0</v>
      </c>
      <c r="L205" s="232">
        <f t="shared" ca="1" si="91"/>
        <v>0</v>
      </c>
      <c r="M205" s="207">
        <f t="shared" ca="1" si="91"/>
        <v>0</v>
      </c>
      <c r="N205" s="235">
        <f t="shared" ca="1" si="91"/>
        <v>0</v>
      </c>
    </row>
    <row r="206" spans="1:14" x14ac:dyDescent="0.25">
      <c r="A206" s="205">
        <f t="shared" si="72"/>
        <v>2057</v>
      </c>
      <c r="B206" s="207">
        <f t="shared" ref="B206:N206" ca="1" si="92">IF($C85="","",IF($C85&lt;0,0,IF(AND($C85=1,start_time&lt;1),-(SUM(B159)*output_kgyear*$E85*percnt_var*start_time+SUM(B159)*output_kgyear*$E85*(1-start_time)),IF($C85&lt;=start_time,-SUM(B159)*output_kgyear*$E85*percnt_var,-SUM(B159)*output_kgyear*$E85))))</f>
        <v>-146835167.18768927</v>
      </c>
      <c r="C206" s="207">
        <f t="shared" ca="1" si="92"/>
        <v>0</v>
      </c>
      <c r="D206" s="207">
        <f t="shared" ca="1" si="92"/>
        <v>0</v>
      </c>
      <c r="E206" s="234">
        <f t="shared" ca="1" si="92"/>
        <v>0</v>
      </c>
      <c r="F206" s="206">
        <f t="shared" ca="1" si="92"/>
        <v>-8328770.2593657672</v>
      </c>
      <c r="G206" s="207">
        <f t="shared" ca="1" si="92"/>
        <v>-4137609.889864461</v>
      </c>
      <c r="H206" s="207">
        <f t="shared" ca="1" si="92"/>
        <v>0</v>
      </c>
      <c r="I206" s="234">
        <f t="shared" ca="1" si="92"/>
        <v>0</v>
      </c>
      <c r="J206" s="601">
        <f t="shared" ca="1" si="92"/>
        <v>0</v>
      </c>
      <c r="K206" s="232">
        <f t="shared" ca="1" si="92"/>
        <v>0</v>
      </c>
      <c r="L206" s="232">
        <f t="shared" ca="1" si="92"/>
        <v>0</v>
      </c>
      <c r="M206" s="207">
        <f t="shared" ca="1" si="92"/>
        <v>0</v>
      </c>
      <c r="N206" s="235">
        <f t="shared" ca="1" si="92"/>
        <v>0</v>
      </c>
    </row>
    <row r="207" spans="1:14" x14ac:dyDescent="0.25">
      <c r="A207" s="205">
        <f t="shared" si="72"/>
        <v>2058</v>
      </c>
      <c r="B207" s="207">
        <f t="shared" ref="B207:N207" ca="1" si="93">IF($C86="","",IF($C86&lt;0,0,IF(AND($C86=1,start_time&lt;1),-(SUM(B160)*output_kgyear*$E86*percnt_var*start_time+SUM(B160)*output_kgyear*$E86*(1-start_time)),IF($C86&lt;=start_time,-SUM(B160)*output_kgyear*$E86*percnt_var,-SUM(B160)*output_kgyear*$E86))))</f>
        <v>-150165233.65553674</v>
      </c>
      <c r="C207" s="207">
        <f t="shared" ca="1" si="93"/>
        <v>0</v>
      </c>
      <c r="D207" s="207">
        <f t="shared" ca="1" si="93"/>
        <v>0</v>
      </c>
      <c r="E207" s="234">
        <f t="shared" ca="1" si="93"/>
        <v>0</v>
      </c>
      <c r="F207" s="206">
        <f t="shared" ca="1" si="93"/>
        <v>-8495467.483997805</v>
      </c>
      <c r="G207" s="207">
        <f t="shared" ca="1" si="93"/>
        <v>-4238854.9598790128</v>
      </c>
      <c r="H207" s="207">
        <f t="shared" ca="1" si="93"/>
        <v>0</v>
      </c>
      <c r="I207" s="234">
        <f t="shared" ca="1" si="93"/>
        <v>0</v>
      </c>
      <c r="J207" s="601">
        <f t="shared" ca="1" si="93"/>
        <v>0</v>
      </c>
      <c r="K207" s="232">
        <f t="shared" ca="1" si="93"/>
        <v>0</v>
      </c>
      <c r="L207" s="232">
        <f t="shared" ca="1" si="93"/>
        <v>0</v>
      </c>
      <c r="M207" s="207">
        <f t="shared" ca="1" si="93"/>
        <v>0</v>
      </c>
      <c r="N207" s="235">
        <f t="shared" ca="1" si="93"/>
        <v>0</v>
      </c>
    </row>
    <row r="208" spans="1:14" x14ac:dyDescent="0.25">
      <c r="A208" s="205">
        <f t="shared" si="72"/>
        <v>2059</v>
      </c>
      <c r="B208" s="207">
        <f t="shared" ref="B208:N208" ca="1" si="94">IF($C87="","",IF($C87&lt;0,0,IF(AND($C87=1,start_time&lt;1),-(SUM(B161)*output_kgyear*$E87*percnt_var*start_time+SUM(B161)*output_kgyear*$E87*(1-start_time)),IF($C87&lt;=start_time,-SUM(B161)*output_kgyear*$E87*percnt_var,-SUM(B161)*output_kgyear*$E87))))</f>
        <v>-153570822.51282722</v>
      </c>
      <c r="C208" s="207">
        <f t="shared" ca="1" si="94"/>
        <v>0</v>
      </c>
      <c r="D208" s="207">
        <f t="shared" ca="1" si="94"/>
        <v>0</v>
      </c>
      <c r="E208" s="234">
        <f t="shared" ca="1" si="94"/>
        <v>0</v>
      </c>
      <c r="F208" s="206">
        <f t="shared" ca="1" si="94"/>
        <v>-8665501.0912931524</v>
      </c>
      <c r="G208" s="207">
        <f t="shared" ca="1" si="94"/>
        <v>-4342577.4418475945</v>
      </c>
      <c r="H208" s="207">
        <f t="shared" ca="1" si="94"/>
        <v>0</v>
      </c>
      <c r="I208" s="234">
        <f t="shared" ca="1" si="94"/>
        <v>0</v>
      </c>
      <c r="J208" s="601">
        <f t="shared" ca="1" si="94"/>
        <v>0</v>
      </c>
      <c r="K208" s="232">
        <f t="shared" ca="1" si="94"/>
        <v>0</v>
      </c>
      <c r="L208" s="232">
        <f t="shared" ca="1" si="94"/>
        <v>0</v>
      </c>
      <c r="M208" s="207">
        <f t="shared" ca="1" si="94"/>
        <v>0</v>
      </c>
      <c r="N208" s="235">
        <f t="shared" ca="1" si="94"/>
        <v>0</v>
      </c>
    </row>
    <row r="209" spans="1:14" x14ac:dyDescent="0.25">
      <c r="A209" s="205">
        <f t="shared" si="72"/>
        <v>2060</v>
      </c>
      <c r="B209" s="207">
        <f t="shared" ref="B209:N209" ca="1" si="95">IF($C88="","",IF($C88&lt;0,0,IF(AND($C88=1,start_time&lt;1),-(SUM(B162)*output_kgyear*$E88*percnt_var*start_time+SUM(B162)*output_kgyear*$E88*(1-start_time)),IF($C88&lt;=start_time,-SUM(B162)*output_kgyear*$E88*percnt_var,-SUM(B162)*output_kgyear*$E88))))</f>
        <v>-157053646.52756771</v>
      </c>
      <c r="C209" s="207">
        <f t="shared" ca="1" si="95"/>
        <v>0</v>
      </c>
      <c r="D209" s="207">
        <f t="shared" ca="1" si="95"/>
        <v>0</v>
      </c>
      <c r="E209" s="234">
        <f t="shared" ca="1" si="95"/>
        <v>0</v>
      </c>
      <c r="F209" s="206">
        <f t="shared" ca="1" si="95"/>
        <v>-8838937.8577041477</v>
      </c>
      <c r="G209" s="207">
        <f t="shared" ca="1" si="95"/>
        <v>-4448837.9566971166</v>
      </c>
      <c r="H209" s="207">
        <f t="shared" ca="1" si="95"/>
        <v>0</v>
      </c>
      <c r="I209" s="234">
        <f t="shared" ca="1" si="95"/>
        <v>0</v>
      </c>
      <c r="J209" s="601">
        <f t="shared" ca="1" si="95"/>
        <v>0</v>
      </c>
      <c r="K209" s="232">
        <f t="shared" ca="1" si="95"/>
        <v>0</v>
      </c>
      <c r="L209" s="232">
        <f t="shared" ca="1" si="95"/>
        <v>0</v>
      </c>
      <c r="M209" s="207">
        <f t="shared" ca="1" si="95"/>
        <v>0</v>
      </c>
      <c r="N209" s="235">
        <f t="shared" ca="1" si="95"/>
        <v>0</v>
      </c>
    </row>
    <row r="210" spans="1:14" x14ac:dyDescent="0.25">
      <c r="A210" s="205">
        <f t="shared" si="72"/>
        <v>2061</v>
      </c>
      <c r="B210" s="207">
        <f t="shared" ref="B210:N210" ca="1" si="96">IF($C89="","",IF($C89&lt;0,0,IF(AND($C89=1,start_time&lt;1),-(SUM(B163)*output_kgyear*$E89*percnt_var*start_time+SUM(B163)*output_kgyear*$E89*(1-start_time)),IF($C89&lt;=start_time,-SUM(B163)*output_kgyear*$E89*percnt_var,-SUM(B163)*output_kgyear*$E89))))</f>
        <v>-160436753.54482263</v>
      </c>
      <c r="C210" s="207">
        <f t="shared" ca="1" si="96"/>
        <v>0</v>
      </c>
      <c r="D210" s="207">
        <f t="shared" ca="1" si="96"/>
        <v>0</v>
      </c>
      <c r="E210" s="234">
        <f t="shared" ca="1" si="96"/>
        <v>0</v>
      </c>
      <c r="F210" s="206">
        <f t="shared" ca="1" si="96"/>
        <v>-9011200.6451857872</v>
      </c>
      <c r="G210" s="207">
        <f t="shared" ca="1" si="96"/>
        <v>-4554746.0366552118</v>
      </c>
      <c r="H210" s="207">
        <f t="shared" ca="1" si="96"/>
        <v>0</v>
      </c>
      <c r="I210" s="234">
        <f t="shared" ca="1" si="96"/>
        <v>0</v>
      </c>
      <c r="J210" s="601">
        <f t="shared" ca="1" si="96"/>
        <v>0</v>
      </c>
      <c r="K210" s="232">
        <f t="shared" ca="1" si="96"/>
        <v>0</v>
      </c>
      <c r="L210" s="232">
        <f t="shared" ca="1" si="96"/>
        <v>0</v>
      </c>
      <c r="M210" s="207">
        <f t="shared" ca="1" si="96"/>
        <v>0</v>
      </c>
      <c r="N210" s="235">
        <f t="shared" ca="1" si="96"/>
        <v>0</v>
      </c>
    </row>
    <row r="211" spans="1:14" x14ac:dyDescent="0.25">
      <c r="A211" s="205">
        <f t="shared" si="72"/>
        <v>2062</v>
      </c>
      <c r="B211" s="207">
        <f t="shared" ref="B211:N211" ca="1" si="97">IF($C90="","",IF($C90&lt;0,0,IF(AND($C90=1,start_time&lt;1),-(SUM(B164)*output_kgyear*$E90*percnt_var*start_time+SUM(B164)*output_kgyear*$E90*(1-start_time)),IF($C90&lt;=start_time,-SUM(B164)*output_kgyear*$E90*percnt_var,-SUM(B164)*output_kgyear*$E90))))</f>
        <v>-163892736.38090292</v>
      </c>
      <c r="C211" s="207">
        <f t="shared" ca="1" si="97"/>
        <v>0</v>
      </c>
      <c r="D211" s="207">
        <f t="shared" ca="1" si="97"/>
        <v>0</v>
      </c>
      <c r="E211" s="234">
        <f t="shared" ca="1" si="97"/>
        <v>0</v>
      </c>
      <c r="F211" s="206">
        <f t="shared" ca="1" si="97"/>
        <v>-9186820.6763123833</v>
      </c>
      <c r="G211" s="207">
        <f t="shared" ca="1" si="97"/>
        <v>-4663175.3415960064</v>
      </c>
      <c r="H211" s="207">
        <f t="shared" ca="1" si="97"/>
        <v>0</v>
      </c>
      <c r="I211" s="234">
        <f t="shared" ca="1" si="97"/>
        <v>0</v>
      </c>
      <c r="J211" s="601">
        <f t="shared" ca="1" si="97"/>
        <v>0</v>
      </c>
      <c r="K211" s="232">
        <f t="shared" ca="1" si="97"/>
        <v>0</v>
      </c>
      <c r="L211" s="232">
        <f t="shared" ca="1" si="97"/>
        <v>0</v>
      </c>
      <c r="M211" s="207">
        <f t="shared" ca="1" si="97"/>
        <v>0</v>
      </c>
      <c r="N211" s="235">
        <f t="shared" ca="1" si="97"/>
        <v>0</v>
      </c>
    </row>
    <row r="212" spans="1:14" x14ac:dyDescent="0.25">
      <c r="A212" s="205">
        <f t="shared" si="72"/>
        <v>2063</v>
      </c>
      <c r="B212" s="207">
        <f t="shared" ref="B212:N212" ca="1" si="98">IF($C91="","",IF($C91&lt;0,0,IF(AND($C91=1,start_time&lt;1),-(SUM(B165)*output_kgyear*$E91*percnt_var*start_time+SUM(B165)*output_kgyear*$E91*(1-start_time)),IF($C91&lt;=start_time,-SUM(B165)*output_kgyear*$E91*percnt_var,-SUM(B165)*output_kgyear*$E91))))</f>
        <v>-167423164.86051178</v>
      </c>
      <c r="C212" s="207">
        <f t="shared" ca="1" si="98"/>
        <v>0</v>
      </c>
      <c r="D212" s="207">
        <f t="shared" ca="1" si="98"/>
        <v>0</v>
      </c>
      <c r="E212" s="234">
        <f t="shared" ca="1" si="98"/>
        <v>0</v>
      </c>
      <c r="F212" s="206">
        <f t="shared" ca="1" si="98"/>
        <v>-9365863.3806816805</v>
      </c>
      <c r="G212" s="207">
        <f t="shared" ca="1" si="98"/>
        <v>-4774185.8912594104</v>
      </c>
      <c r="H212" s="207">
        <f t="shared" ca="1" si="98"/>
        <v>0</v>
      </c>
      <c r="I212" s="234">
        <f t="shared" ca="1" si="98"/>
        <v>0</v>
      </c>
      <c r="J212" s="601">
        <f t="shared" ca="1" si="98"/>
        <v>0</v>
      </c>
      <c r="K212" s="232">
        <f t="shared" ca="1" si="98"/>
        <v>0</v>
      </c>
      <c r="L212" s="232">
        <f t="shared" ca="1" si="98"/>
        <v>0</v>
      </c>
      <c r="M212" s="207">
        <f t="shared" ca="1" si="98"/>
        <v>0</v>
      </c>
      <c r="N212" s="235">
        <f t="shared" ca="1" si="98"/>
        <v>0</v>
      </c>
    </row>
    <row r="213" spans="1:14" x14ac:dyDescent="0.25">
      <c r="A213" s="205">
        <f t="shared" si="72"/>
        <v>2064</v>
      </c>
      <c r="B213" s="207">
        <f t="shared" ref="B213:N213" ca="1" si="99">IF($C92="","",IF($C92&lt;0,0,IF(AND($C92=1,start_time&lt;1),-(SUM(B166)*output_kgyear*$E92*percnt_var*start_time+SUM(B166)*output_kgyear*$E92*(1-start_time)),IF($C92&lt;=start_time,-SUM(B166)*output_kgyear*$E92*percnt_var,-SUM(B166)*output_kgyear*$E92))))</f>
        <v>-171029642.62409049</v>
      </c>
      <c r="C213" s="207">
        <f t="shared" ca="1" si="99"/>
        <v>0</v>
      </c>
      <c r="D213" s="207">
        <f t="shared" ca="1" si="99"/>
        <v>0</v>
      </c>
      <c r="E213" s="234">
        <f t="shared" ca="1" si="99"/>
        <v>0</v>
      </c>
      <c r="F213" s="206">
        <f t="shared" ca="1" si="99"/>
        <v>-9548395.4630542453</v>
      </c>
      <c r="G213" s="207">
        <f t="shared" ca="1" si="99"/>
        <v>-4887839.1342023602</v>
      </c>
      <c r="H213" s="207">
        <f t="shared" ca="1" si="99"/>
        <v>0</v>
      </c>
      <c r="I213" s="234">
        <f t="shared" ca="1" si="99"/>
        <v>0</v>
      </c>
      <c r="J213" s="601">
        <f t="shared" ca="1" si="99"/>
        <v>0</v>
      </c>
      <c r="K213" s="232">
        <f t="shared" ca="1" si="99"/>
        <v>0</v>
      </c>
      <c r="L213" s="232">
        <f t="shared" ca="1" si="99"/>
        <v>0</v>
      </c>
      <c r="M213" s="207">
        <f t="shared" ca="1" si="99"/>
        <v>0</v>
      </c>
      <c r="N213" s="235">
        <f t="shared" ca="1" si="99"/>
        <v>0</v>
      </c>
    </row>
    <row r="214" spans="1:14" x14ac:dyDescent="0.25">
      <c r="A214" s="205">
        <f t="shared" si="72"/>
        <v>2065</v>
      </c>
      <c r="B214" s="207">
        <f t="shared" ref="B214:N214" ca="1" si="100">IF($C93="","",IF($C93&lt;0,0,IF(AND($C93=1,start_time&lt;1),-(SUM(B167)*output_kgyear*$E93*percnt_var*start_time+SUM(B167)*output_kgyear*$E93*(1-start_time)),IF($C93&lt;=start_time,-SUM(B167)*output_kgyear*$E93*percnt_var,-SUM(B167)*output_kgyear*$E93))))</f>
        <v>-174713807.85624638</v>
      </c>
      <c r="C214" s="207">
        <f t="shared" ca="1" si="100"/>
        <v>0</v>
      </c>
      <c r="D214" s="207">
        <f t="shared" ca="1" si="100"/>
        <v>0</v>
      </c>
      <c r="E214" s="234">
        <f t="shared" ca="1" si="100"/>
        <v>0</v>
      </c>
      <c r="F214" s="206">
        <f t="shared" ca="1" si="100"/>
        <v>-9734484.9282052051</v>
      </c>
      <c r="G214" s="207">
        <f t="shared" ca="1" si="100"/>
        <v>-5004197.9818129214</v>
      </c>
      <c r="H214" s="207">
        <f t="shared" ca="1" si="100"/>
        <v>0</v>
      </c>
      <c r="I214" s="234">
        <f t="shared" ca="1" si="100"/>
        <v>0</v>
      </c>
      <c r="J214" s="601">
        <f t="shared" ca="1" si="100"/>
        <v>0</v>
      </c>
      <c r="K214" s="232">
        <f t="shared" ca="1" si="100"/>
        <v>0</v>
      </c>
      <c r="L214" s="232">
        <f t="shared" ca="1" si="100"/>
        <v>0</v>
      </c>
      <c r="M214" s="207">
        <f t="shared" ca="1" si="100"/>
        <v>0</v>
      </c>
      <c r="N214" s="235">
        <f t="shared" ca="1" si="100"/>
        <v>0</v>
      </c>
    </row>
    <row r="215" spans="1:14" x14ac:dyDescent="0.25">
      <c r="A215" s="205">
        <f t="shared" si="72"/>
        <v>2066</v>
      </c>
      <c r="B215" s="207">
        <f t="shared" ref="B215:N215" ca="1" si="101">IF($C94="","",IF($C94&lt;0,0,IF(AND($C94=1,start_time&lt;1),-(SUM(B168)*output_kgyear*$E94*percnt_var*start_time+SUM(B168)*output_kgyear*$E94*(1-start_time)),IF($C94&lt;=start_time,-SUM(B168)*output_kgyear*$E94*percnt_var,-SUM(B168)*output_kgyear*$E94))))</f>
        <v>-178479077.04134899</v>
      </c>
      <c r="C215" s="207">
        <f t="shared" ca="1" si="101"/>
        <v>0</v>
      </c>
      <c r="D215" s="207">
        <f t="shared" ca="1" si="101"/>
        <v>0</v>
      </c>
      <c r="E215" s="234">
        <f t="shared" ca="1" si="101"/>
        <v>0</v>
      </c>
      <c r="F215" s="206">
        <f t="shared" ca="1" si="101"/>
        <v>-9924033.3230357748</v>
      </c>
      <c r="G215" s="207">
        <f t="shared" ca="1" si="101"/>
        <v>-5119773.7235582443</v>
      </c>
      <c r="H215" s="207">
        <f t="shared" ca="1" si="101"/>
        <v>0</v>
      </c>
      <c r="I215" s="234">
        <f t="shared" ca="1" si="101"/>
        <v>0</v>
      </c>
      <c r="J215" s="601">
        <f t="shared" ca="1" si="101"/>
        <v>0</v>
      </c>
      <c r="K215" s="232">
        <f t="shared" ca="1" si="101"/>
        <v>0</v>
      </c>
      <c r="L215" s="232">
        <f t="shared" ca="1" si="101"/>
        <v>0</v>
      </c>
      <c r="M215" s="207">
        <f t="shared" ca="1" si="101"/>
        <v>0</v>
      </c>
      <c r="N215" s="235">
        <f t="shared" ca="1" si="101"/>
        <v>0</v>
      </c>
    </row>
    <row r="216" spans="1:14" x14ac:dyDescent="0.25">
      <c r="A216" s="205">
        <f t="shared" si="72"/>
        <v>2067</v>
      </c>
      <c r="B216" s="207">
        <f t="shared" ref="B216:N216" ca="1" si="102">IF($C95="","",IF($C95&lt;0,0,IF(AND($C95=1,start_time&lt;1),-(SUM(B169)*output_kgyear*$E95*percnt_var*start_time+SUM(B169)*output_kgyear*$E95*(1-start_time)),IF($C95&lt;=start_time,-SUM(B169)*output_kgyear*$E95*percnt_var,-SUM(B169)*output_kgyear*$E95))))</f>
        <v>-182325491.79937595</v>
      </c>
      <c r="C216" s="207">
        <f t="shared" ca="1" si="102"/>
        <v>0</v>
      </c>
      <c r="D216" s="207">
        <f t="shared" ca="1" si="102"/>
        <v>0</v>
      </c>
      <c r="E216" s="234">
        <f t="shared" ca="1" si="102"/>
        <v>0</v>
      </c>
      <c r="F216" s="206">
        <f t="shared" ca="1" si="102"/>
        <v>-10117272.575086612</v>
      </c>
      <c r="G216" s="207">
        <f t="shared" ca="1" si="102"/>
        <v>-5238018.7745772051</v>
      </c>
      <c r="H216" s="207">
        <f t="shared" ca="1" si="102"/>
        <v>0</v>
      </c>
      <c r="I216" s="234">
        <f t="shared" ca="1" si="102"/>
        <v>0</v>
      </c>
      <c r="J216" s="601">
        <f t="shared" ca="1" si="102"/>
        <v>0</v>
      </c>
      <c r="K216" s="232">
        <f t="shared" ca="1" si="102"/>
        <v>0</v>
      </c>
      <c r="L216" s="232">
        <f t="shared" ca="1" si="102"/>
        <v>0</v>
      </c>
      <c r="M216" s="207">
        <f t="shared" ca="1" si="102"/>
        <v>0</v>
      </c>
      <c r="N216" s="235">
        <f t="shared" ca="1" si="102"/>
        <v>0</v>
      </c>
    </row>
    <row r="217" spans="1:14" x14ac:dyDescent="0.25">
      <c r="A217" s="205">
        <f t="shared" si="72"/>
        <v>2068</v>
      </c>
      <c r="B217" s="207">
        <f t="shared" ref="B217:N217" ca="1" si="103">IF($C96="","",IF($C96&lt;0,0,IF(AND($C96=1,start_time&lt;1),-(SUM(B170)*output_kgyear*$E96*percnt_var*start_time+SUM(B170)*output_kgyear*$E96*(1-start_time)),IF($C96&lt;=start_time,-SUM(B170)*output_kgyear*$E96*percnt_var,-SUM(B170)*output_kgyear*$E96))))</f>
        <v>-186254800.90410182</v>
      </c>
      <c r="C217" s="207">
        <f t="shared" ca="1" si="103"/>
        <v>0</v>
      </c>
      <c r="D217" s="207">
        <f t="shared" ca="1" si="103"/>
        <v>0</v>
      </c>
      <c r="E217" s="234">
        <f t="shared" ca="1" si="103"/>
        <v>0</v>
      </c>
      <c r="F217" s="206">
        <f t="shared" ca="1" si="103"/>
        <v>-10314274.552162409</v>
      </c>
      <c r="G217" s="207">
        <f t="shared" ca="1" si="103"/>
        <v>-5358994.7845887756</v>
      </c>
      <c r="H217" s="207">
        <f t="shared" ca="1" si="103"/>
        <v>0</v>
      </c>
      <c r="I217" s="234">
        <f t="shared" ca="1" si="103"/>
        <v>0</v>
      </c>
      <c r="J217" s="601">
        <f t="shared" ca="1" si="103"/>
        <v>0</v>
      </c>
      <c r="K217" s="232">
        <f t="shared" ca="1" si="103"/>
        <v>0</v>
      </c>
      <c r="L217" s="232">
        <f t="shared" ca="1" si="103"/>
        <v>0</v>
      </c>
      <c r="M217" s="207">
        <f t="shared" ca="1" si="103"/>
        <v>0</v>
      </c>
      <c r="N217" s="235">
        <f t="shared" ca="1" si="103"/>
        <v>0</v>
      </c>
    </row>
    <row r="218" spans="1:14" x14ac:dyDescent="0.25">
      <c r="A218" s="205">
        <f t="shared" si="72"/>
        <v>2069</v>
      </c>
      <c r="B218" s="207">
        <f t="shared" ref="B218:N218" ca="1" si="104">IF($C97="","",IF($C97&lt;0,0,IF(AND($C97=1,start_time&lt;1),-(SUM(B171)*output_kgyear*$E97*percnt_var*start_time+SUM(B171)*output_kgyear*$E97*(1-start_time)),IF($C97&lt;=start_time,-SUM(B171)*output_kgyear*$E97*percnt_var,-SUM(B171)*output_kgyear*$E97))))</f>
        <v>-190268790.81724399</v>
      </c>
      <c r="C218" s="207">
        <f t="shared" ca="1" si="104"/>
        <v>0</v>
      </c>
      <c r="D218" s="207">
        <f t="shared" ca="1" si="104"/>
        <v>0</v>
      </c>
      <c r="E218" s="234">
        <f t="shared" ca="1" si="104"/>
        <v>0</v>
      </c>
      <c r="F218" s="206">
        <f t="shared" ca="1" si="104"/>
        <v>-10515112.521466721</v>
      </c>
      <c r="G218" s="207">
        <f t="shared" ca="1" si="104"/>
        <v>-5482764.8271588683</v>
      </c>
      <c r="H218" s="207">
        <f t="shared" ca="1" si="104"/>
        <v>0</v>
      </c>
      <c r="I218" s="234">
        <f t="shared" ca="1" si="104"/>
        <v>0</v>
      </c>
      <c r="J218" s="601">
        <f t="shared" ca="1" si="104"/>
        <v>0</v>
      </c>
      <c r="K218" s="232">
        <f t="shared" ca="1" si="104"/>
        <v>0</v>
      </c>
      <c r="L218" s="232">
        <f t="shared" ca="1" si="104"/>
        <v>0</v>
      </c>
      <c r="M218" s="207">
        <f t="shared" ca="1" si="104"/>
        <v>0</v>
      </c>
      <c r="N218" s="235">
        <f t="shared" ca="1" si="104"/>
        <v>0</v>
      </c>
    </row>
    <row r="219" spans="1:14" x14ac:dyDescent="0.25">
      <c r="A219" s="205">
        <f t="shared" si="72"/>
        <v>2070</v>
      </c>
      <c r="B219" s="207">
        <f t="shared" ref="B219:N219" ca="1" si="105">IF($C98="","",IF($C98&lt;0,0,IF(AND($C98=1,start_time&lt;1),-(SUM(B172)*output_kgyear*$E98*percnt_var*start_time+SUM(B172)*output_kgyear*$E98*(1-start_time)),IF($C98&lt;=start_time,-SUM(B172)*output_kgyear*$E98*percnt_var,-SUM(B172)*output_kgyear*$E98))))</f>
        <v>-194369286.50067836</v>
      </c>
      <c r="C219" s="207">
        <f t="shared" ca="1" si="105"/>
        <v>0</v>
      </c>
      <c r="D219" s="207">
        <f t="shared" ca="1" si="105"/>
        <v>0</v>
      </c>
      <c r="E219" s="234">
        <f t="shared" ca="1" si="105"/>
        <v>0</v>
      </c>
      <c r="F219" s="206">
        <f t="shared" ca="1" si="105"/>
        <v>-10719861.176850827</v>
      </c>
      <c r="G219" s="207">
        <f t="shared" ca="1" si="105"/>
        <v>-5609393.4325851649</v>
      </c>
      <c r="H219" s="207">
        <f t="shared" ca="1" si="105"/>
        <v>0</v>
      </c>
      <c r="I219" s="234">
        <f t="shared" ca="1" si="105"/>
        <v>0</v>
      </c>
      <c r="J219" s="601">
        <f t="shared" ca="1" si="105"/>
        <v>0</v>
      </c>
      <c r="K219" s="232">
        <f t="shared" ca="1" si="105"/>
        <v>0</v>
      </c>
      <c r="L219" s="232">
        <f t="shared" ca="1" si="105"/>
        <v>0</v>
      </c>
      <c r="M219" s="207">
        <f t="shared" ca="1" si="105"/>
        <v>0</v>
      </c>
      <c r="N219" s="235">
        <f t="shared" ca="1" si="105"/>
        <v>0</v>
      </c>
    </row>
    <row r="220" spans="1:14" x14ac:dyDescent="0.25">
      <c r="A220" s="205">
        <f t="shared" si="72"/>
        <v>2071</v>
      </c>
      <c r="B220" s="207">
        <f t="shared" ref="B220:N220" ca="1" si="106">IF($C99="","",IF($C99&lt;0,0,IF(AND($C99=1,start_time&lt;1),-(SUM(B173)*output_kgyear*$E99*percnt_var*start_time+SUM(B173)*output_kgyear*$E99*(1-start_time)),IF($C99&lt;=start_time,-SUM(B173)*output_kgyear*$E99*percnt_var,-SUM(B173)*output_kgyear*$E99))))</f>
        <v>-198538366.80098549</v>
      </c>
      <c r="C220" s="207">
        <f t="shared" ca="1" si="106"/>
        <v>0</v>
      </c>
      <c r="D220" s="207">
        <f t="shared" ca="1" si="106"/>
        <v>0</v>
      </c>
      <c r="E220" s="234">
        <f t="shared" ca="1" si="106"/>
        <v>0</v>
      </c>
      <c r="F220" s="206">
        <f t="shared" ca="1" si="106"/>
        <v>-10926839.191820953</v>
      </c>
      <c r="G220" s="207">
        <f t="shared" ca="1" si="106"/>
        <v>-5734950.6152647873</v>
      </c>
      <c r="H220" s="207">
        <f t="shared" ca="1" si="106"/>
        <v>0</v>
      </c>
      <c r="I220" s="234">
        <f t="shared" ca="1" si="106"/>
        <v>0</v>
      </c>
      <c r="J220" s="601">
        <f t="shared" ca="1" si="106"/>
        <v>0</v>
      </c>
      <c r="K220" s="232">
        <f t="shared" ca="1" si="106"/>
        <v>0</v>
      </c>
      <c r="L220" s="232">
        <f t="shared" ca="1" si="106"/>
        <v>0</v>
      </c>
      <c r="M220" s="207">
        <f t="shared" ca="1" si="106"/>
        <v>0</v>
      </c>
      <c r="N220" s="235">
        <f t="shared" ca="1" si="106"/>
        <v>0</v>
      </c>
    </row>
    <row r="221" spans="1:14" x14ac:dyDescent="0.25">
      <c r="A221" s="205">
        <f t="shared" si="72"/>
        <v>2072</v>
      </c>
      <c r="B221" s="207">
        <f t="shared" ref="B221:N221" ca="1" si="107">IF($C100="","",IF($C100&lt;0,0,IF(AND($C100=1,start_time&lt;1),-(SUM(B174)*output_kgyear*$E100*percnt_var*start_time+SUM(B174)*output_kgyear*$E100*(1-start_time)),IF($C100&lt;=start_time,-SUM(B174)*output_kgyear*$E100*percnt_var,-SUM(B174)*output_kgyear*$E100))))</f>
        <v>-202796870.85163578</v>
      </c>
      <c r="C221" s="207">
        <f t="shared" ca="1" si="107"/>
        <v>0</v>
      </c>
      <c r="D221" s="207">
        <f t="shared" ca="1" si="107"/>
        <v>0</v>
      </c>
      <c r="E221" s="234">
        <f t="shared" ca="1" si="107"/>
        <v>0</v>
      </c>
      <c r="F221" s="206">
        <f t="shared" ca="1" si="107"/>
        <v>-11137813.517748302</v>
      </c>
      <c r="G221" s="207">
        <f t="shared" ca="1" si="107"/>
        <v>-5863318.1920292452</v>
      </c>
      <c r="H221" s="207">
        <f t="shared" ca="1" si="107"/>
        <v>0</v>
      </c>
      <c r="I221" s="234">
        <f t="shared" ca="1" si="107"/>
        <v>0</v>
      </c>
      <c r="J221" s="601">
        <f t="shared" ca="1" si="107"/>
        <v>0</v>
      </c>
      <c r="K221" s="232">
        <f t="shared" ca="1" si="107"/>
        <v>0</v>
      </c>
      <c r="L221" s="232">
        <f t="shared" ca="1" si="107"/>
        <v>0</v>
      </c>
      <c r="M221" s="207">
        <f t="shared" ca="1" si="107"/>
        <v>0</v>
      </c>
      <c r="N221" s="235">
        <f t="shared" ca="1" si="107"/>
        <v>0</v>
      </c>
    </row>
    <row r="222" spans="1:14" x14ac:dyDescent="0.25">
      <c r="A222" s="205">
        <f t="shared" si="72"/>
        <v>2073</v>
      </c>
      <c r="B222" s="207">
        <f t="shared" ref="B222:N222" ca="1" si="108">IF($C101="","",IF($C101&lt;0,0,IF(AND($C101=1,start_time&lt;1),-(SUM(B175)*output_kgyear*$E101*percnt_var*start_time+SUM(B175)*output_kgyear*$E101*(1-start_time)),IF($C101&lt;=start_time,-SUM(B175)*output_kgyear*$E101*percnt_var,-SUM(B175)*output_kgyear*$E101))))</f>
        <v>-207146716.72725224</v>
      </c>
      <c r="C222" s="207">
        <f t="shared" ca="1" si="108"/>
        <v>0</v>
      </c>
      <c r="D222" s="207">
        <f t="shared" ca="1" si="108"/>
        <v>0</v>
      </c>
      <c r="E222" s="234">
        <f t="shared" ca="1" si="108"/>
        <v>0</v>
      </c>
      <c r="F222" s="206">
        <f t="shared" ca="1" si="108"/>
        <v>-11352861.315007947</v>
      </c>
      <c r="G222" s="207">
        <f t="shared" ca="1" si="108"/>
        <v>-5994559.0689962385</v>
      </c>
      <c r="H222" s="207">
        <f t="shared" ca="1" si="108"/>
        <v>0</v>
      </c>
      <c r="I222" s="234">
        <f t="shared" ca="1" si="108"/>
        <v>0</v>
      </c>
      <c r="J222" s="601">
        <f t="shared" ca="1" si="108"/>
        <v>0</v>
      </c>
      <c r="K222" s="232">
        <f t="shared" ca="1" si="108"/>
        <v>0</v>
      </c>
      <c r="L222" s="232">
        <f t="shared" ca="1" si="108"/>
        <v>0</v>
      </c>
      <c r="M222" s="207">
        <f t="shared" ca="1" si="108"/>
        <v>0</v>
      </c>
      <c r="N222" s="235">
        <f t="shared" ca="1" si="108"/>
        <v>0</v>
      </c>
    </row>
    <row r="223" spans="1:14" x14ac:dyDescent="0.25">
      <c r="A223" s="205">
        <f t="shared" si="72"/>
        <v>2074</v>
      </c>
      <c r="B223" s="207">
        <f t="shared" ref="B223:N223" ca="1" si="109">IF($C102="","",IF($C102&lt;0,0,IF(AND($C102=1,start_time&lt;1),-(SUM(B176)*output_kgyear*$E102*percnt_var*start_time+SUM(B176)*output_kgyear*$E102*(1-start_time)),IF($C102&lt;=start_time,-SUM(B176)*output_kgyear*$E102*percnt_var,-SUM(B176)*output_kgyear*$E102))))</f>
        <v>-211589863.64376816</v>
      </c>
      <c r="C223" s="207">
        <f t="shared" ca="1" si="109"/>
        <v>0</v>
      </c>
      <c r="D223" s="207">
        <f t="shared" ca="1" si="109"/>
        <v>0</v>
      </c>
      <c r="E223" s="234">
        <f t="shared" ca="1" si="109"/>
        <v>0</v>
      </c>
      <c r="F223" s="206">
        <f t="shared" ca="1" si="109"/>
        <v>-11572061.233779823</v>
      </c>
      <c r="G223" s="207">
        <f t="shared" ca="1" si="109"/>
        <v>-6128737.5603349851</v>
      </c>
      <c r="H223" s="207">
        <f t="shared" ca="1" si="109"/>
        <v>0</v>
      </c>
      <c r="I223" s="234">
        <f t="shared" ca="1" si="109"/>
        <v>0</v>
      </c>
      <c r="J223" s="601">
        <f t="shared" ca="1" si="109"/>
        <v>0</v>
      </c>
      <c r="K223" s="232">
        <f t="shared" ca="1" si="109"/>
        <v>0</v>
      </c>
      <c r="L223" s="232">
        <f t="shared" ca="1" si="109"/>
        <v>0</v>
      </c>
      <c r="M223" s="207">
        <f t="shared" ca="1" si="109"/>
        <v>0</v>
      </c>
      <c r="N223" s="235">
        <f t="shared" ca="1" si="109"/>
        <v>0</v>
      </c>
    </row>
    <row r="224" spans="1:14" x14ac:dyDescent="0.25">
      <c r="A224" s="205">
        <f t="shared" si="72"/>
        <v>2075</v>
      </c>
      <c r="B224" s="207">
        <f t="shared" ref="B224:N224" ca="1" si="110">IF($C103="","",IF($C103&lt;0,0,IF(AND($C103=1,start_time&lt;1),-(SUM(B177)*output_kgyear*$E103*percnt_var*start_time+SUM(B177)*output_kgyear*$E103*(1-start_time)),IF($C103&lt;=start_time,-SUM(B177)*output_kgyear*$E103*percnt_var,-SUM(B177)*output_kgyear*$E103))))</f>
        <v>-216128312.84087855</v>
      </c>
      <c r="C224" s="207">
        <f t="shared" ca="1" si="110"/>
        <v>0</v>
      </c>
      <c r="D224" s="207">
        <f t="shared" ca="1" si="110"/>
        <v>0</v>
      </c>
      <c r="E224" s="234">
        <f t="shared" ca="1" si="110"/>
        <v>0</v>
      </c>
      <c r="F224" s="206">
        <f t="shared" ca="1" si="110"/>
        <v>-11795493.442813721</v>
      </c>
      <c r="G224" s="207">
        <f t="shared" ca="1" si="110"/>
        <v>-6265919.4197831675</v>
      </c>
      <c r="H224" s="207">
        <f t="shared" ca="1" si="110"/>
        <v>0</v>
      </c>
      <c r="I224" s="234">
        <f t="shared" ca="1" si="110"/>
        <v>0</v>
      </c>
      <c r="J224" s="601">
        <f t="shared" ca="1" si="110"/>
        <v>0</v>
      </c>
      <c r="K224" s="232">
        <f t="shared" ca="1" si="110"/>
        <v>0</v>
      </c>
      <c r="L224" s="232">
        <f t="shared" ca="1" si="110"/>
        <v>0</v>
      </c>
      <c r="M224" s="207">
        <f t="shared" ca="1" si="110"/>
        <v>0</v>
      </c>
      <c r="N224" s="235">
        <f t="shared" ca="1" si="110"/>
        <v>0</v>
      </c>
    </row>
    <row r="225" spans="1:14" x14ac:dyDescent="0.25">
      <c r="A225" s="205">
        <f t="shared" si="72"/>
        <v>2076</v>
      </c>
      <c r="B225" s="207">
        <f t="shared" ref="B225:N225" ca="1" si="111">IF($C104="","",IF($C104&lt;0,0,IF(AND($C104=1,start_time&lt;1),-(SUM(B178)*output_kgyear*$E104*percnt_var*start_time+SUM(B178)*output_kgyear*$E104*(1-start_time)),IF($C104&lt;=start_time,-SUM(B178)*output_kgyear*$E104*percnt_var,-SUM(B178)*output_kgyear*$E104))))</f>
        <v>-220697021.27897215</v>
      </c>
      <c r="C225" s="207">
        <f t="shared" ca="1" si="111"/>
        <v>0</v>
      </c>
      <c r="D225" s="207">
        <f t="shared" ca="1" si="111"/>
        <v>0</v>
      </c>
      <c r="E225" s="234">
        <f t="shared" ca="1" si="111"/>
        <v>0</v>
      </c>
      <c r="F225" s="206">
        <f t="shared" ca="1" si="111"/>
        <v>-12018248.492948234</v>
      </c>
      <c r="G225" s="207">
        <f t="shared" ca="1" si="111"/>
        <v>-6398596.9605892934</v>
      </c>
      <c r="H225" s="207">
        <f t="shared" ca="1" si="111"/>
        <v>0</v>
      </c>
      <c r="I225" s="234">
        <f t="shared" ca="1" si="111"/>
        <v>0</v>
      </c>
      <c r="J225" s="601">
        <f t="shared" ca="1" si="111"/>
        <v>0</v>
      </c>
      <c r="K225" s="232">
        <f t="shared" ca="1" si="111"/>
        <v>0</v>
      </c>
      <c r="L225" s="232">
        <f t="shared" ca="1" si="111"/>
        <v>0</v>
      </c>
      <c r="M225" s="207">
        <f t="shared" ca="1" si="111"/>
        <v>0</v>
      </c>
      <c r="N225" s="235">
        <f t="shared" ca="1" si="111"/>
        <v>0</v>
      </c>
    </row>
    <row r="226" spans="1:14" x14ac:dyDescent="0.25">
      <c r="A226" s="205">
        <f t="shared" si="72"/>
        <v>2077</v>
      </c>
      <c r="B226" s="207">
        <f t="shared" ref="B226:N226" ca="1" si="112">IF($C105="","",IF($C105&lt;0,0,IF(AND($C105=1,start_time&lt;1),-(SUM(B179)*output_kgyear*$E105*percnt_var*start_time+SUM(B179)*output_kgyear*$E105*(1-start_time)),IF($C105&lt;=start_time,-SUM(B179)*output_kgyear*$E105*percnt_var,-SUM(B179)*output_kgyear*$E105))))</f>
        <v>-225362307.05354664</v>
      </c>
      <c r="C226" s="207">
        <f t="shared" ca="1" si="112"/>
        <v>0</v>
      </c>
      <c r="D226" s="207">
        <f t="shared" ca="1" si="112"/>
        <v>0</v>
      </c>
      <c r="E226" s="234">
        <f t="shared" ca="1" si="112"/>
        <v>0</v>
      </c>
      <c r="F226" s="206">
        <f t="shared" ca="1" si="112"/>
        <v>-12245210.218505098</v>
      </c>
      <c r="G226" s="207">
        <f t="shared" ca="1" si="112"/>
        <v>-6534083.8783846563</v>
      </c>
      <c r="H226" s="207">
        <f t="shared" ca="1" si="112"/>
        <v>0</v>
      </c>
      <c r="I226" s="234">
        <f t="shared" ca="1" si="112"/>
        <v>0</v>
      </c>
      <c r="J226" s="601">
        <f t="shared" ca="1" si="112"/>
        <v>0</v>
      </c>
      <c r="K226" s="232">
        <f t="shared" ca="1" si="112"/>
        <v>0</v>
      </c>
      <c r="L226" s="232">
        <f t="shared" ca="1" si="112"/>
        <v>0</v>
      </c>
      <c r="M226" s="207">
        <f t="shared" ca="1" si="112"/>
        <v>0</v>
      </c>
      <c r="N226" s="235">
        <f t="shared" ca="1" si="112"/>
        <v>0</v>
      </c>
    </row>
    <row r="227" spans="1:14" x14ac:dyDescent="0.25">
      <c r="A227" s="205">
        <f t="shared" si="72"/>
        <v>2078</v>
      </c>
      <c r="B227" s="207">
        <f t="shared" ref="B227:N227" ca="1" si="113">IF($C106="","",IF($C106&lt;0,0,IF(AND($C106=1,start_time&lt;1),-(SUM(B180)*output_kgyear*$E106*percnt_var*start_time+SUM(B180)*output_kgyear*$E106*(1-start_time)),IF($C106&lt;=start_time,-SUM(B180)*output_kgyear*$E106*percnt_var,-SUM(B180)*output_kgyear*$E106))))</f>
        <v>-230126211.70042109</v>
      </c>
      <c r="C227" s="207">
        <f t="shared" ca="1" si="113"/>
        <v>0</v>
      </c>
      <c r="D227" s="207">
        <f t="shared" ca="1" si="113"/>
        <v>0</v>
      </c>
      <c r="E227" s="234">
        <f t="shared" ca="1" si="113"/>
        <v>0</v>
      </c>
      <c r="F227" s="206">
        <f t="shared" ca="1" si="113"/>
        <v>-12476458.061535571</v>
      </c>
      <c r="G227" s="207">
        <f t="shared" ca="1" si="113"/>
        <v>-6672439.6602461208</v>
      </c>
      <c r="H227" s="207">
        <f t="shared" ca="1" si="113"/>
        <v>0</v>
      </c>
      <c r="I227" s="234">
        <f t="shared" ca="1" si="113"/>
        <v>0</v>
      </c>
      <c r="J227" s="601">
        <f t="shared" ca="1" si="113"/>
        <v>0</v>
      </c>
      <c r="K227" s="232">
        <f t="shared" ca="1" si="113"/>
        <v>0</v>
      </c>
      <c r="L227" s="232">
        <f t="shared" ca="1" si="113"/>
        <v>0</v>
      </c>
      <c r="M227" s="207">
        <f t="shared" ca="1" si="113"/>
        <v>0</v>
      </c>
      <c r="N227" s="235">
        <f t="shared" ca="1" si="113"/>
        <v>0</v>
      </c>
    </row>
    <row r="228" spans="1:14" x14ac:dyDescent="0.25">
      <c r="A228" s="205">
        <f t="shared" si="72"/>
        <v>2079</v>
      </c>
      <c r="B228" s="207">
        <f t="shared" ref="B228:N228" ca="1" si="114">IF($C107="","",IF($C107&lt;0,0,IF(AND($C107=1,start_time&lt;1),-(SUM(B181)*output_kgyear*$E107*percnt_var*start_time+SUM(B181)*output_kgyear*$E107*(1-start_time)),IF($C107&lt;=start_time,-SUM(B181)*output_kgyear*$E107*percnt_var,-SUM(B181)*output_kgyear*$E107))))</f>
        <v>-234990819.91117546</v>
      </c>
      <c r="C228" s="207">
        <f t="shared" ca="1" si="114"/>
        <v>0</v>
      </c>
      <c r="D228" s="207">
        <f t="shared" ca="1" si="114"/>
        <v>0</v>
      </c>
      <c r="E228" s="234">
        <f t="shared" ca="1" si="114"/>
        <v>0</v>
      </c>
      <c r="F228" s="206">
        <f t="shared" ca="1" si="114"/>
        <v>-12712072.964334887</v>
      </c>
      <c r="G228" s="207">
        <f t="shared" ca="1" si="114"/>
        <v>-6813725.0528580407</v>
      </c>
      <c r="H228" s="207">
        <f t="shared" ca="1" si="114"/>
        <v>0</v>
      </c>
      <c r="I228" s="234">
        <f t="shared" ca="1" si="114"/>
        <v>0</v>
      </c>
      <c r="J228" s="601">
        <f t="shared" ca="1" si="114"/>
        <v>0</v>
      </c>
      <c r="K228" s="232">
        <f t="shared" ca="1" si="114"/>
        <v>0</v>
      </c>
      <c r="L228" s="232">
        <f t="shared" ca="1" si="114"/>
        <v>0</v>
      </c>
      <c r="M228" s="207">
        <f t="shared" ca="1" si="114"/>
        <v>0</v>
      </c>
      <c r="N228" s="235">
        <f t="shared" ca="1" si="114"/>
        <v>0</v>
      </c>
    </row>
    <row r="229" spans="1:14" x14ac:dyDescent="0.25">
      <c r="A229" s="205" t="str">
        <f t="shared" si="72"/>
        <v/>
      </c>
      <c r="B229" s="207" t="str">
        <f t="shared" ref="B229:N229" si="115">IF($C108="","",IF($C108&lt;0,0,IF(AND($C108=1,start_time&lt;1),-(SUM(B182)*output_kgyear*$E108*percnt_var*start_time+SUM(B182)*output_kgyear*$E108*(1-start_time)),IF($C108&lt;=start_time,-SUM(B182)*output_kgyear*$E108*percnt_var,-SUM(B182)*output_kgyear*$E108))))</f>
        <v/>
      </c>
      <c r="C229" s="207" t="str">
        <f t="shared" si="115"/>
        <v/>
      </c>
      <c r="D229" s="207" t="str">
        <f t="shared" si="115"/>
        <v/>
      </c>
      <c r="E229" s="234" t="str">
        <f t="shared" si="115"/>
        <v/>
      </c>
      <c r="F229" s="206" t="str">
        <f t="shared" si="115"/>
        <v/>
      </c>
      <c r="G229" s="207" t="str">
        <f t="shared" si="115"/>
        <v/>
      </c>
      <c r="H229" s="207" t="str">
        <f t="shared" si="115"/>
        <v/>
      </c>
      <c r="I229" s="234" t="str">
        <f t="shared" si="115"/>
        <v/>
      </c>
      <c r="J229" s="601" t="str">
        <f t="shared" si="115"/>
        <v/>
      </c>
      <c r="K229" s="232" t="str">
        <f t="shared" si="115"/>
        <v/>
      </c>
      <c r="L229" s="232" t="str">
        <f t="shared" si="115"/>
        <v/>
      </c>
      <c r="M229" s="207" t="str">
        <f t="shared" si="115"/>
        <v/>
      </c>
      <c r="N229" s="235" t="str">
        <f t="shared" si="115"/>
        <v/>
      </c>
    </row>
    <row r="231" spans="1:14" x14ac:dyDescent="0.25">
      <c r="A231" s="207" t="s">
        <v>1190</v>
      </c>
      <c r="B231" s="207">
        <f ca="1">+B186+NPV($X$59,B187:B228)</f>
        <v>-996784744.57916105</v>
      </c>
      <c r="C231" s="207">
        <f t="shared" ref="C231:N231" ca="1" si="116">+C186+NPV($X$59,C187:C228)</f>
        <v>0</v>
      </c>
      <c r="D231" s="207">
        <f t="shared" ca="1" si="116"/>
        <v>0</v>
      </c>
      <c r="E231" s="207">
        <f t="shared" ca="1" si="116"/>
        <v>0</v>
      </c>
      <c r="F231" s="207">
        <f t="shared" ca="1" si="116"/>
        <v>-56515104.399283305</v>
      </c>
      <c r="G231" s="207">
        <f t="shared" ca="1" si="116"/>
        <v>-27327223.032711808</v>
      </c>
      <c r="H231" s="207">
        <f t="shared" ca="1" si="116"/>
        <v>0</v>
      </c>
      <c r="I231" s="207">
        <f t="shared" ca="1" si="116"/>
        <v>0</v>
      </c>
      <c r="J231" s="207">
        <f t="shared" ca="1" si="116"/>
        <v>0</v>
      </c>
      <c r="K231" s="207">
        <f t="shared" ca="1" si="116"/>
        <v>0</v>
      </c>
      <c r="L231" s="207">
        <f t="shared" ca="1" si="116"/>
        <v>0</v>
      </c>
      <c r="M231" s="207">
        <f t="shared" ca="1" si="116"/>
        <v>0</v>
      </c>
      <c r="N231" s="207">
        <f t="shared" ca="1" si="116"/>
        <v>0</v>
      </c>
    </row>
    <row r="232" spans="1:14" x14ac:dyDescent="0.25">
      <c r="A232" s="207" t="s">
        <v>1189</v>
      </c>
      <c r="B232" s="207">
        <f ca="1">-B231/$AE$116*(1+inflation_rate)^construct/INFLATION_FACTOR</f>
        <v>1.3438636580768006</v>
      </c>
      <c r="C232" s="207">
        <f t="shared" ref="C232:N232" ca="1" si="117">-C231/$AE$116*(1+inflation_rate)^construct/INFLATION_FACTOR</f>
        <v>0</v>
      </c>
      <c r="D232" s="207">
        <f t="shared" ca="1" si="117"/>
        <v>0</v>
      </c>
      <c r="E232" s="207">
        <f t="shared" ca="1" si="117"/>
        <v>0</v>
      </c>
      <c r="F232" s="207">
        <f ca="1">-F231/$AE$116*(1+inflation_rate)^construct/INFLATION_FACTOR</f>
        <v>7.619357674527652E-2</v>
      </c>
      <c r="G232" s="207">
        <f t="shared" ca="1" si="117"/>
        <v>3.684252002203893E-2</v>
      </c>
      <c r="H232" s="207">
        <f t="shared" ca="1" si="117"/>
        <v>0</v>
      </c>
      <c r="I232" s="207">
        <f t="shared" ca="1" si="117"/>
        <v>0</v>
      </c>
      <c r="J232" s="207">
        <f t="shared" ca="1" si="117"/>
        <v>0</v>
      </c>
      <c r="K232" s="207">
        <f t="shared" ca="1" si="117"/>
        <v>0</v>
      </c>
      <c r="L232" s="207">
        <f t="shared" ca="1" si="117"/>
        <v>0</v>
      </c>
      <c r="M232" s="207">
        <f t="shared" ca="1" si="117"/>
        <v>0</v>
      </c>
      <c r="N232" s="207">
        <f t="shared" ca="1" si="117"/>
        <v>0</v>
      </c>
    </row>
    <row r="233" spans="1:14" x14ac:dyDescent="0.25">
      <c r="A233" s="207" t="s">
        <v>1191</v>
      </c>
      <c r="B233" s="207">
        <f ca="1">IF(B132&gt;0,B232/B133*(1+inflation_rate)^construct,"")</f>
        <v>0.10913834006896371</v>
      </c>
      <c r="C233" s="207" t="str">
        <f t="shared" ref="C233:N233" si="118">IF(C132&gt;0,C232/C133*(1+inflation_rate)^construct,"")</f>
        <v/>
      </c>
      <c r="D233" s="207" t="str">
        <f t="shared" si="118"/>
        <v/>
      </c>
      <c r="E233" s="207" t="str">
        <f t="shared" si="118"/>
        <v/>
      </c>
      <c r="F233" s="207">
        <f t="shared" ca="1" si="118"/>
        <v>8.5311799867846885E-2</v>
      </c>
      <c r="G233" s="207">
        <f t="shared" ca="1" si="118"/>
        <v>13.209995532132783</v>
      </c>
      <c r="H233" s="207" t="str">
        <f t="shared" si="118"/>
        <v/>
      </c>
      <c r="I233" s="207" t="str">
        <f t="shared" si="118"/>
        <v/>
      </c>
      <c r="J233" s="207" t="str">
        <f t="shared" ca="1" si="118"/>
        <v/>
      </c>
      <c r="K233" s="207" t="str">
        <f t="shared" si="118"/>
        <v/>
      </c>
      <c r="L233" s="207" t="str">
        <f t="shared" si="118"/>
        <v/>
      </c>
      <c r="M233" s="207" t="str">
        <f t="shared" si="118"/>
        <v/>
      </c>
      <c r="N233" s="207" t="str">
        <f t="shared" si="118"/>
        <v/>
      </c>
    </row>
    <row r="279" spans="1:5" x14ac:dyDescent="0.25">
      <c r="A279" s="53" t="s">
        <v>193</v>
      </c>
    </row>
    <row r="280" spans="1:5" x14ac:dyDescent="0.25">
      <c r="A280" s="53" t="s">
        <v>1052</v>
      </c>
      <c r="B280" s="53" t="s">
        <v>637</v>
      </c>
      <c r="C280" s="53" t="s">
        <v>194</v>
      </c>
      <c r="D280" s="53" t="s">
        <v>195</v>
      </c>
      <c r="E280" s="53" t="s">
        <v>196</v>
      </c>
    </row>
    <row r="281" spans="1:5" x14ac:dyDescent="0.25">
      <c r="A281" s="53" t="str">
        <f>'HyARC Physical Property Data'!A76</f>
        <v>Commercial Electricity</v>
      </c>
      <c r="B281" s="53">
        <f ca="1">VLOOKUP(A281,MASTER_PROPERTY_TABLE,9,FALSE)</f>
        <v>3.5999999999999995E-3</v>
      </c>
      <c r="C281" s="53">
        <f ca="1">MATCH(startup_year,Feedstock_Year,0)</f>
        <v>44</v>
      </c>
      <c r="D281" s="53">
        <f ca="1">VLOOKUP(A281,FEEDPRICETABLE,C281,FALSE)</f>
        <v>31.985796962436115</v>
      </c>
      <c r="E281" s="53">
        <f ca="1">B281*D281</f>
        <v>0.11514886906477</v>
      </c>
    </row>
    <row r="282" spans="1:5" x14ac:dyDescent="0.25">
      <c r="A282" s="53" t="str">
        <f>'HyARC Physical Property Data'!A77</f>
        <v>Industrial Electricity</v>
      </c>
      <c r="B282" s="53">
        <f ca="1">VLOOKUP(A282,MASTER_PROPERTY_TABLE,9,FALSE)</f>
        <v>3.5999999999999995E-3</v>
      </c>
      <c r="C282" s="53">
        <f ca="1">MATCH(startup_year,Feedstock_Year,0)+2</f>
        <v>46</v>
      </c>
      <c r="D282" s="53">
        <f ca="1">VLOOKUP(A282,FEEDPRICETABLE,C282,FALSE)</f>
        <v>21.516251270074765</v>
      </c>
      <c r="E282" s="53">
        <f ca="1">B282*D282</f>
        <v>7.7458504572269146E-2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09"/>
  <sheetViews>
    <sheetView zoomScale="55" zoomScaleNormal="55" workbookViewId="0">
      <pane xSplit="1" ySplit="6" topLeftCell="B7" activePane="bottomRight" state="frozen"/>
      <selection pane="topRight" activeCell="B1" sqref="B1"/>
      <selection pane="bottomLeft" activeCell="A7" sqref="A7"/>
      <selection pane="bottomRight" activeCell="A142" sqref="A142:AF161"/>
    </sheetView>
  </sheetViews>
  <sheetFormatPr defaultRowHeight="12.5" x14ac:dyDescent="0.25"/>
  <cols>
    <col min="1" max="1" width="30.26953125" customWidth="1"/>
    <col min="2" max="2" width="18.81640625" customWidth="1"/>
    <col min="3" max="3" width="11.26953125" customWidth="1"/>
    <col min="5" max="5" width="12.7265625" customWidth="1"/>
    <col min="6" max="6" width="12.453125" customWidth="1"/>
    <col min="7" max="7" width="11.7265625" customWidth="1"/>
  </cols>
  <sheetData>
    <row r="3" spans="1:104" ht="13.5" thickBot="1" x14ac:dyDescent="0.35">
      <c r="BW3" s="1399" t="s">
        <v>1293</v>
      </c>
      <c r="BX3" s="1399"/>
      <c r="BY3" s="1399"/>
      <c r="BZ3" s="1399"/>
      <c r="CA3" s="1399"/>
      <c r="CB3" s="1399"/>
      <c r="CC3" s="1399"/>
      <c r="CD3" s="1399"/>
    </row>
    <row r="4" spans="1:104" ht="13.5" thickTop="1" x14ac:dyDescent="0.3">
      <c r="A4" s="867" t="s">
        <v>1117</v>
      </c>
      <c r="B4" s="868" t="str">
        <f>"Prices are in $(" &amp; ref_year&amp;")/GJ LHV"</f>
        <v>Prices are in $(2016)/GJ LHV</v>
      </c>
      <c r="C4" s="869"/>
      <c r="D4" s="869"/>
      <c r="E4" s="869"/>
      <c r="F4" s="869"/>
      <c r="G4" s="869"/>
      <c r="H4" s="869"/>
      <c r="I4" s="869"/>
      <c r="J4" s="869"/>
      <c r="K4" s="869"/>
      <c r="L4" s="869"/>
      <c r="M4" s="869"/>
      <c r="N4" s="869"/>
      <c r="O4" s="869"/>
      <c r="P4" s="869"/>
      <c r="Q4" s="869"/>
      <c r="R4" s="869"/>
      <c r="S4" s="869"/>
      <c r="T4" s="869"/>
      <c r="U4" s="869"/>
      <c r="V4" s="869"/>
      <c r="W4" s="869"/>
      <c r="X4" s="869"/>
      <c r="Y4" s="869"/>
      <c r="Z4" s="869"/>
      <c r="AA4" s="869"/>
      <c r="AB4" s="869"/>
      <c r="AC4" s="869"/>
      <c r="AD4" s="869"/>
      <c r="AE4" s="869"/>
      <c r="AF4" s="869"/>
      <c r="AG4" s="869"/>
      <c r="AH4" s="882" t="s">
        <v>772</v>
      </c>
      <c r="AI4" s="883"/>
      <c r="AJ4" s="883"/>
      <c r="AK4" s="883"/>
      <c r="AL4" s="883"/>
      <c r="AM4" s="883"/>
      <c r="AN4" s="883"/>
      <c r="AO4" s="883"/>
      <c r="AP4" s="883"/>
      <c r="AQ4" s="883"/>
      <c r="AR4" s="883"/>
      <c r="AS4" s="883"/>
      <c r="AT4" s="883"/>
      <c r="AU4" s="883"/>
      <c r="AV4" s="883"/>
      <c r="AW4" s="883"/>
      <c r="AX4" s="883"/>
      <c r="AY4" s="883"/>
      <c r="AZ4" s="883"/>
      <c r="BA4" s="883"/>
      <c r="BB4" s="883"/>
      <c r="BC4" s="883"/>
      <c r="BD4" s="883"/>
      <c r="BE4" s="883"/>
      <c r="BF4" s="883"/>
      <c r="BG4" s="883"/>
      <c r="BH4" s="883"/>
      <c r="BI4" s="883"/>
      <c r="BJ4" s="883"/>
      <c r="BK4" s="883"/>
      <c r="BL4" s="883"/>
      <c r="BM4" s="883"/>
      <c r="BN4" s="883"/>
      <c r="BO4" s="883"/>
      <c r="BP4" s="883"/>
      <c r="BQ4" s="883"/>
      <c r="BR4" s="883"/>
      <c r="BS4" s="883"/>
      <c r="BT4" s="883"/>
      <c r="BU4" s="883"/>
      <c r="BV4" s="884"/>
    </row>
    <row r="5" spans="1:104" ht="39.5" thickBot="1" x14ac:dyDescent="0.35">
      <c r="A5" s="887" t="s">
        <v>1084</v>
      </c>
      <c r="B5" s="888" t="s">
        <v>678</v>
      </c>
      <c r="C5" s="888" t="s">
        <v>679</v>
      </c>
      <c r="D5" s="888" t="s">
        <v>690</v>
      </c>
      <c r="E5" s="888" t="s">
        <v>691</v>
      </c>
      <c r="F5" s="889" t="s">
        <v>680</v>
      </c>
      <c r="G5" s="889" t="s">
        <v>692</v>
      </c>
      <c r="H5" s="889">
        <v>2004</v>
      </c>
      <c r="I5" s="889">
        <v>2005</v>
      </c>
      <c r="J5" s="889">
        <v>2006</v>
      </c>
      <c r="K5" s="889">
        <v>2007</v>
      </c>
      <c r="L5" s="889">
        <v>2008</v>
      </c>
      <c r="M5" s="889">
        <v>2009</v>
      </c>
      <c r="N5" s="889">
        <v>2010</v>
      </c>
      <c r="O5" s="889">
        <v>2011</v>
      </c>
      <c r="P5" s="889">
        <v>2012</v>
      </c>
      <c r="Q5" s="889">
        <v>2013</v>
      </c>
      <c r="R5" s="889">
        <v>2014</v>
      </c>
      <c r="S5" s="889">
        <v>2015</v>
      </c>
      <c r="T5" s="889">
        <v>2016</v>
      </c>
      <c r="U5" s="889">
        <v>2017</v>
      </c>
      <c r="V5" s="889">
        <v>2018</v>
      </c>
      <c r="W5" s="889">
        <v>2019</v>
      </c>
      <c r="X5" s="889">
        <v>2020</v>
      </c>
      <c r="Y5" s="889">
        <v>2021</v>
      </c>
      <c r="Z5" s="889">
        <v>2022</v>
      </c>
      <c r="AA5" s="889">
        <v>2023</v>
      </c>
      <c r="AB5" s="889">
        <v>2024</v>
      </c>
      <c r="AC5" s="889">
        <v>2025</v>
      </c>
      <c r="AD5" s="889">
        <v>2026</v>
      </c>
      <c r="AE5" s="889">
        <v>2027</v>
      </c>
      <c r="AF5" s="889">
        <v>2028</v>
      </c>
      <c r="AG5" s="889">
        <v>2029</v>
      </c>
      <c r="AH5" s="889">
        <v>2030</v>
      </c>
      <c r="AI5" s="889">
        <v>2031</v>
      </c>
      <c r="AJ5" s="889">
        <v>2032</v>
      </c>
      <c r="AK5" s="889">
        <v>2033</v>
      </c>
      <c r="AL5" s="889">
        <v>2034</v>
      </c>
      <c r="AM5" s="889">
        <v>2035</v>
      </c>
      <c r="AN5" s="889">
        <v>2036</v>
      </c>
      <c r="AO5" s="889">
        <v>2037</v>
      </c>
      <c r="AP5" s="889">
        <v>2038</v>
      </c>
      <c r="AQ5" s="889">
        <v>2039</v>
      </c>
      <c r="AR5" s="889">
        <v>2040</v>
      </c>
      <c r="AS5" s="889">
        <v>2041</v>
      </c>
      <c r="AT5" s="889">
        <v>2042</v>
      </c>
      <c r="AU5" s="889">
        <v>2043</v>
      </c>
      <c r="AV5" s="889">
        <v>2044</v>
      </c>
      <c r="AW5" s="889">
        <v>2045</v>
      </c>
      <c r="AX5" s="889">
        <v>2046</v>
      </c>
      <c r="AY5" s="889">
        <v>2047</v>
      </c>
      <c r="AZ5" s="889">
        <v>2048</v>
      </c>
      <c r="BA5" s="889">
        <v>2049</v>
      </c>
      <c r="BB5" s="889">
        <v>2050</v>
      </c>
      <c r="BC5" s="889">
        <v>2051</v>
      </c>
      <c r="BD5" s="889">
        <v>2052</v>
      </c>
      <c r="BE5" s="889">
        <v>2053</v>
      </c>
      <c r="BF5" s="889">
        <v>2054</v>
      </c>
      <c r="BG5" s="889">
        <v>2055</v>
      </c>
      <c r="BH5" s="889">
        <v>2056</v>
      </c>
      <c r="BI5" s="889">
        <v>2057</v>
      </c>
      <c r="BJ5" s="889">
        <v>2058</v>
      </c>
      <c r="BK5" s="889">
        <v>2059</v>
      </c>
      <c r="BL5" s="889">
        <v>2060</v>
      </c>
      <c r="BM5" s="889">
        <v>2061</v>
      </c>
      <c r="BN5" s="889">
        <v>2062</v>
      </c>
      <c r="BO5" s="889">
        <v>2063</v>
      </c>
      <c r="BP5" s="889">
        <v>2064</v>
      </c>
      <c r="BQ5" s="889">
        <v>2065</v>
      </c>
      <c r="BR5" s="889">
        <v>2066</v>
      </c>
      <c r="BS5" s="889">
        <v>2067</v>
      </c>
      <c r="BT5" s="889">
        <v>2068</v>
      </c>
      <c r="BU5" s="889">
        <v>2069</v>
      </c>
      <c r="BV5" s="890">
        <v>2070</v>
      </c>
      <c r="BW5" s="1399">
        <f t="shared" ref="BW5" si="0">+BV5+1</f>
        <v>2071</v>
      </c>
      <c r="BX5" s="1399">
        <f t="shared" ref="BX5" si="1">+BW5+1</f>
        <v>2072</v>
      </c>
      <c r="BY5" s="1399">
        <f t="shared" ref="BY5" si="2">+BX5+1</f>
        <v>2073</v>
      </c>
      <c r="BZ5" s="1399">
        <f t="shared" ref="BZ5" si="3">+BY5+1</f>
        <v>2074</v>
      </c>
      <c r="CA5" s="1399">
        <f t="shared" ref="CA5" si="4">+BZ5+1</f>
        <v>2075</v>
      </c>
      <c r="CB5" s="1399">
        <f t="shared" ref="CB5" si="5">+CA5+1</f>
        <v>2076</v>
      </c>
      <c r="CC5" s="1399">
        <f t="shared" ref="CC5" si="6">+CB5+1</f>
        <v>2077</v>
      </c>
      <c r="CD5" s="1399">
        <f t="shared" ref="CD5" si="7">+CC5+1</f>
        <v>2078</v>
      </c>
      <c r="CE5" s="1399">
        <f t="shared" ref="CE5" si="8">+CD5+1</f>
        <v>2079</v>
      </c>
      <c r="CF5" s="1399">
        <f t="shared" ref="CF5" si="9">+CE5+1</f>
        <v>2080</v>
      </c>
      <c r="CG5" s="1399">
        <f t="shared" ref="CG5" si="10">+CF5+1</f>
        <v>2081</v>
      </c>
      <c r="CH5" s="1399">
        <f t="shared" ref="CH5" si="11">+CG5+1</f>
        <v>2082</v>
      </c>
      <c r="CI5" s="1399">
        <f t="shared" ref="CI5" si="12">+CH5+1</f>
        <v>2083</v>
      </c>
      <c r="CJ5" s="1399">
        <f t="shared" ref="CJ5" si="13">+CI5+1</f>
        <v>2084</v>
      </c>
      <c r="CK5" s="1399">
        <f t="shared" ref="CK5" si="14">+CJ5+1</f>
        <v>2085</v>
      </c>
      <c r="CL5" s="1399">
        <f t="shared" ref="CL5" si="15">+CK5+1</f>
        <v>2086</v>
      </c>
      <c r="CM5" s="1399">
        <f t="shared" ref="CM5" si="16">+CL5+1</f>
        <v>2087</v>
      </c>
      <c r="CN5" s="1399">
        <f t="shared" ref="CN5" si="17">+CM5+1</f>
        <v>2088</v>
      </c>
      <c r="CO5" s="1399">
        <f t="shared" ref="CO5" si="18">+CN5+1</f>
        <v>2089</v>
      </c>
      <c r="CP5" s="1399">
        <f t="shared" ref="CP5" si="19">+CO5+1</f>
        <v>2090</v>
      </c>
      <c r="CQ5" s="1399">
        <f t="shared" ref="CQ5" si="20">+CP5+1</f>
        <v>2091</v>
      </c>
      <c r="CR5" s="1399">
        <f t="shared" ref="CR5" si="21">+CQ5+1</f>
        <v>2092</v>
      </c>
      <c r="CS5" s="1399">
        <f t="shared" ref="CS5" si="22">+CR5+1</f>
        <v>2093</v>
      </c>
      <c r="CT5" s="1399">
        <f t="shared" ref="CT5" si="23">+CS5+1</f>
        <v>2094</v>
      </c>
      <c r="CU5" s="1399">
        <f t="shared" ref="CU5" si="24">+CT5+1</f>
        <v>2095</v>
      </c>
      <c r="CV5" s="1399">
        <f t="shared" ref="CV5" si="25">+CU5+1</f>
        <v>2096</v>
      </c>
      <c r="CW5" s="1399">
        <f t="shared" ref="CW5" si="26">+CV5+1</f>
        <v>2097</v>
      </c>
      <c r="CX5" s="1399">
        <f t="shared" ref="CX5" si="27">+CW5+1</f>
        <v>2098</v>
      </c>
      <c r="CY5" s="1399">
        <f t="shared" ref="CY5" si="28">+CX5+1</f>
        <v>2099</v>
      </c>
      <c r="CZ5" s="1399">
        <f t="shared" ref="CZ5" si="29">+CY5+1</f>
        <v>2100</v>
      </c>
    </row>
    <row r="6" spans="1:104" ht="13" thickBot="1" x14ac:dyDescent="0.3">
      <c r="A6" s="958" t="s">
        <v>1090</v>
      </c>
      <c r="B6" s="959"/>
      <c r="C6" s="959"/>
      <c r="D6" s="959"/>
      <c r="E6" s="959"/>
      <c r="F6" s="871"/>
      <c r="G6" s="959"/>
      <c r="H6" s="959"/>
      <c r="I6" s="959"/>
      <c r="J6" s="959"/>
      <c r="K6" s="959"/>
      <c r="L6" s="959"/>
      <c r="M6" s="959"/>
      <c r="N6" s="959"/>
      <c r="O6" s="959"/>
      <c r="P6" s="959"/>
      <c r="Q6" s="959"/>
      <c r="R6" s="959"/>
      <c r="S6" s="959"/>
      <c r="T6" s="959"/>
      <c r="U6" s="959"/>
      <c r="V6" s="959"/>
      <c r="W6" s="959"/>
      <c r="X6" s="959"/>
      <c r="Y6" s="959"/>
      <c r="Z6" s="959"/>
      <c r="AA6" s="959"/>
      <c r="AB6" s="959"/>
      <c r="AC6" s="959"/>
      <c r="AD6" s="959"/>
      <c r="AE6" s="959"/>
      <c r="AF6" s="959"/>
      <c r="AG6" s="959"/>
      <c r="AH6" s="959"/>
      <c r="AI6" s="959"/>
      <c r="AJ6" s="959"/>
      <c r="AK6" s="959"/>
      <c r="AL6" s="959"/>
      <c r="AM6" s="959"/>
      <c r="AN6" s="959"/>
      <c r="AO6" s="959"/>
      <c r="AP6" s="959"/>
      <c r="AQ6" s="959"/>
      <c r="AR6" s="959"/>
      <c r="AS6" s="959"/>
      <c r="AT6" s="959"/>
      <c r="AU6" s="959"/>
      <c r="AV6" s="959"/>
      <c r="AW6" s="959"/>
      <c r="AX6" s="959"/>
      <c r="AY6" s="959"/>
      <c r="AZ6" s="959"/>
      <c r="BA6" s="959"/>
      <c r="BC6" s="959"/>
      <c r="BD6" s="959"/>
      <c r="BE6" s="959"/>
      <c r="BF6" s="959"/>
      <c r="BG6" s="959"/>
      <c r="BH6" s="959"/>
      <c r="BI6" s="959"/>
      <c r="BJ6" s="959"/>
      <c r="BK6" s="959"/>
      <c r="BL6" s="959"/>
      <c r="BM6" s="959"/>
      <c r="BN6" s="959"/>
      <c r="BO6" s="959"/>
      <c r="BP6" s="959"/>
      <c r="BR6" s="959"/>
      <c r="BS6" s="959"/>
      <c r="BT6" s="959"/>
      <c r="BU6" s="959"/>
    </row>
    <row r="7" spans="1:104" x14ac:dyDescent="0.25">
      <c r="A7" s="978" t="str">
        <f>'HyARC Physical Property Data'!A73</f>
        <v>Residential Natural Gas</v>
      </c>
      <c r="B7" s="959">
        <v>2007</v>
      </c>
      <c r="C7" s="960">
        <f>VLOOKUP(ref_year,DeflatorTable,2,FALSE)/VLOOKUP(B7,DeflatorTable,2,FALSE)</f>
        <v>1.1446359956438654</v>
      </c>
      <c r="D7" s="978" t="str">
        <f>'HyARC Physical Property Data'!H73</f>
        <v>mmBtu</v>
      </c>
      <c r="E7" s="960" t="s">
        <v>1058</v>
      </c>
      <c r="F7" s="959">
        <f>'HyARC Physical Property Data'!$E$6</f>
        <v>47.141269049911173</v>
      </c>
      <c r="G7" s="959">
        <f>'HyARC Physical Property Data'!$I$6</f>
        <v>52.224661236371581</v>
      </c>
      <c r="H7" s="959">
        <f>((13.7000589370728/(mmBTU_to_GJ))*($C$7))*($G$7/$F$7)</f>
        <v>16.46689578317423</v>
      </c>
      <c r="I7" s="959">
        <f>((13.7000589370728/(mmBTU_to_GJ))*($C$7))*($G$7/$F$7)</f>
        <v>16.46689578317423</v>
      </c>
      <c r="J7" s="959">
        <f>((13.7000589370728/(mmBTU_to_GJ))*($C$7))*($G$7/$F$7)</f>
        <v>16.46689578317423</v>
      </c>
      <c r="K7" s="959">
        <f>((12.6911582946777/(mmBTU_to_GJ))*($C$7))*($G$7/$F$7)</f>
        <v>15.254239559561855</v>
      </c>
      <c r="L7" s="959">
        <f>((12.9778490066528/(mmBTU_to_GJ))*($C$7))*($G$7/$F$7)</f>
        <v>15.59882976152975</v>
      </c>
      <c r="M7" s="959">
        <f>((10.7176141738892/(mmBTU_to_GJ))*($C$7))*($G$7/$F$7)</f>
        <v>12.882122365775233</v>
      </c>
      <c r="N7" s="959">
        <f>((11.192774772644/(mmBTU_to_GJ))*($C$7))*($G$7/$F$7)</f>
        <v>13.453245460639653</v>
      </c>
      <c r="O7" s="959">
        <f>((11.4872808456421/(mmBTU_to_GJ))*($C$7))*($G$7/$F$7)</f>
        <v>13.807229398507864</v>
      </c>
      <c r="P7" s="959">
        <f>((11.3991556167603/(mmBTU_to_GJ))*($C$7))*($G$7/$F$7)</f>
        <v>13.701306572443364</v>
      </c>
      <c r="Q7" s="959">
        <f>((11.3077983856201/(mmBTU_to_GJ))*($C$7))*($G$7/$F$7)</f>
        <v>13.591499015327374</v>
      </c>
      <c r="R7" s="959">
        <f>((11.2896461486816/(mmBTU_to_GJ))*($C$7))*($G$7/$F$7)</f>
        <v>13.569680788466401</v>
      </c>
      <c r="S7" s="959">
        <f>((11.3454151153564/(mmBTU_to_GJ))*($C$7))*($G$7/$F$7)</f>
        <v>13.636712745510335</v>
      </c>
      <c r="T7" s="959">
        <f>((11.5382986068726/(mmBTU_to_GJ))*($C$7))*($G$7/$F$7)</f>
        <v>13.868550606039326</v>
      </c>
      <c r="U7" s="959">
        <f>((11.7583208084106/(mmBTU_to_GJ))*($C$7))*($G$7/$F$7)</f>
        <v>14.133008056868725</v>
      </c>
      <c r="V7" s="959">
        <f>((11.9751005172729/(mmBTU_to_GJ))*($C$7))*($G$7/$F$7)</f>
        <v>14.393568167605377</v>
      </c>
      <c r="W7" s="959">
        <f>((12.23952293396/(mmBTU_to_GJ))*($C$7))*($G$7/$F$7)</f>
        <v>14.711392813347514</v>
      </c>
      <c r="X7" s="959">
        <f>((12.557071685791/(mmBTU_to_GJ))*($C$7))*($G$7/$F$7)</f>
        <v>15.093073083957748</v>
      </c>
      <c r="Y7" s="959">
        <f>((12.7957820892334/(mmBTU_to_GJ))*($C$7))*($G$7/$F$7)</f>
        <v>15.379992969040035</v>
      </c>
      <c r="Z7" s="959">
        <f>((12.8716516494751/(mmBTU_to_GJ))*($C$7))*($G$7/$F$7)</f>
        <v>15.471184995830123</v>
      </c>
      <c r="AA7" s="959">
        <f>((12.6602811813354/(mmBTU_to_GJ))*($C$7))*($G$7/$F$7)</f>
        <v>15.217126565389467</v>
      </c>
      <c r="AB7" s="959">
        <f>((12.6240320205688/(mmBTU_to_GJ))*($C$7))*($G$7/$F$7)</f>
        <v>15.173556595704456</v>
      </c>
      <c r="AC7" s="959">
        <f>((12.5992183685303/(mmBTU_to_GJ))*($C$7))*($G$7/$F$7)</f>
        <v>15.143731627505801</v>
      </c>
      <c r="AD7" s="959">
        <f>((12.7868556976318/(mmBTU_to_GJ))*($C$7))*($G$7/$F$7)</f>
        <v>15.369263821019688</v>
      </c>
      <c r="AE7" s="959">
        <f>((13.07555103302/(mmBTU_to_GJ))*($C$7))*($G$7/$F$7)</f>
        <v>15.716263496186178</v>
      </c>
      <c r="AF7" s="959">
        <f>((13.407883644104/(mmBTU_to_GJ))*($C$7))*($G$7/$F$7)</f>
        <v>16.115713345066876</v>
      </c>
      <c r="AG7" s="959">
        <f>((13.6725673675537/(mmBTU_to_GJ))*($C$7))*($G$7/$F$7)</f>
        <v>16.433852070569323</v>
      </c>
      <c r="AH7" s="959">
        <f>((13.9620389938354/(mmBTU_to_GJ))*($C$7))*($G$7/$F$7)</f>
        <v>16.781784814805029</v>
      </c>
      <c r="AI7" s="959">
        <f>($BB7-$AH7)/20+AH7</f>
        <v>16.924252919684925</v>
      </c>
      <c r="AJ7" s="959">
        <f t="shared" ref="AJ7:AY10" si="30">($BB7-$AH7)/20+AI7</f>
        <v>17.066721024564821</v>
      </c>
      <c r="AK7" s="959">
        <f t="shared" si="30"/>
        <v>17.209189129444717</v>
      </c>
      <c r="AL7" s="959">
        <f t="shared" si="30"/>
        <v>17.351657234324612</v>
      </c>
      <c r="AM7" s="959">
        <f t="shared" si="30"/>
        <v>17.494125339204508</v>
      </c>
      <c r="AN7" s="959">
        <f t="shared" si="30"/>
        <v>17.636593444084404</v>
      </c>
      <c r="AO7" s="959">
        <f t="shared" si="30"/>
        <v>17.7790615489643</v>
      </c>
      <c r="AP7" s="959">
        <f t="shared" si="30"/>
        <v>17.921529653844196</v>
      </c>
      <c r="AQ7" s="959">
        <f t="shared" si="30"/>
        <v>18.063997758724092</v>
      </c>
      <c r="AR7" s="959">
        <f t="shared" si="30"/>
        <v>18.206465863603988</v>
      </c>
      <c r="AS7" s="959">
        <f t="shared" si="30"/>
        <v>18.348933968483884</v>
      </c>
      <c r="AT7" s="959">
        <f t="shared" si="30"/>
        <v>18.49140207336378</v>
      </c>
      <c r="AU7" s="959">
        <f t="shared" si="30"/>
        <v>18.633870178243676</v>
      </c>
      <c r="AV7" s="959">
        <f t="shared" si="30"/>
        <v>18.776338283123572</v>
      </c>
      <c r="AW7" s="959">
        <f t="shared" si="30"/>
        <v>18.918806388003468</v>
      </c>
      <c r="AX7" s="959">
        <f t="shared" si="30"/>
        <v>19.061274492883364</v>
      </c>
      <c r="AY7" s="959">
        <f t="shared" si="30"/>
        <v>19.203742597763259</v>
      </c>
      <c r="AZ7" s="959">
        <f t="shared" ref="AY7:BA10" si="31">($BB7-$AH7)/20+AY7</f>
        <v>19.346210702643155</v>
      </c>
      <c r="BA7" s="959">
        <f t="shared" si="31"/>
        <v>19.488678807523051</v>
      </c>
      <c r="BB7" s="1077">
        <f>1.16978897829057*AH7</f>
        <v>19.631146912402976</v>
      </c>
      <c r="BC7" s="959">
        <f>($BQ7-$BB7)/15+BB7</f>
        <v>19.82552968566489</v>
      </c>
      <c r="BD7" s="959">
        <f t="shared" ref="BD7:BP7" si="32">($BQ7-$BB7)/15+BC7</f>
        <v>20.019912458926804</v>
      </c>
      <c r="BE7" s="959">
        <f t="shared" si="32"/>
        <v>20.214295232188718</v>
      </c>
      <c r="BF7" s="959">
        <f t="shared" si="32"/>
        <v>20.408678005450632</v>
      </c>
      <c r="BG7" s="959">
        <f t="shared" si="32"/>
        <v>20.603060778712546</v>
      </c>
      <c r="BH7" s="959">
        <f t="shared" si="32"/>
        <v>20.79744355197446</v>
      </c>
      <c r="BI7" s="959">
        <f t="shared" si="32"/>
        <v>20.991826325236374</v>
      </c>
      <c r="BJ7" s="959">
        <f t="shared" si="32"/>
        <v>21.186209098498288</v>
      </c>
      <c r="BK7" s="959">
        <f t="shared" si="32"/>
        <v>21.380591871760203</v>
      </c>
      <c r="BL7" s="959">
        <f t="shared" si="32"/>
        <v>21.574974645022117</v>
      </c>
      <c r="BM7" s="959">
        <f t="shared" si="32"/>
        <v>21.769357418284031</v>
      </c>
      <c r="BN7" s="959">
        <f t="shared" si="32"/>
        <v>21.963740191545945</v>
      </c>
      <c r="BO7" s="959">
        <f t="shared" si="32"/>
        <v>22.158122964807859</v>
      </c>
      <c r="BP7" s="959">
        <f t="shared" si="32"/>
        <v>22.352505738069773</v>
      </c>
      <c r="BQ7" s="1077">
        <f>1.14852629914794*BB7</f>
        <v>22.546888511331698</v>
      </c>
      <c r="BR7" s="959">
        <f>($BV7-$BQ7)/5+BQ7</f>
        <v>22.770142238524333</v>
      </c>
      <c r="BS7" s="959">
        <f>($BV7-$BQ7)/5+BR7</f>
        <v>22.993395965716967</v>
      </c>
      <c r="BT7" s="959">
        <f>($BV7-$BQ7)/5+BS7</f>
        <v>23.216649692909602</v>
      </c>
      <c r="BU7" s="959">
        <f>($BV7-$BQ7)/5+BT7</f>
        <v>23.439903420102237</v>
      </c>
      <c r="BV7" s="1078">
        <f>1.04950876638265*BQ7</f>
        <v>23.663157147294871</v>
      </c>
      <c r="BW7" s="1398">
        <f>+BV7*BW$133/BV$133</f>
        <v>23.741725786947789</v>
      </c>
      <c r="BX7" s="1398">
        <f t="shared" ref="BX7:CZ7" si="33">+BW7*BX$133/BW$133</f>
        <v>23.820555297586708</v>
      </c>
      <c r="BY7" s="1398">
        <f t="shared" si="33"/>
        <v>23.899646545380008</v>
      </c>
      <c r="BZ7" s="1398">
        <f t="shared" si="33"/>
        <v>23.979000399372005</v>
      </c>
      <c r="CA7" s="1398">
        <f t="shared" si="33"/>
        <v>24.058617731492493</v>
      </c>
      <c r="CB7" s="1398">
        <f t="shared" si="33"/>
        <v>24.109957095304743</v>
      </c>
      <c r="CC7" s="1398">
        <f t="shared" si="33"/>
        <v>24.1614060136353</v>
      </c>
      <c r="CD7" s="1398">
        <f t="shared" si="33"/>
        <v>24.212964720265646</v>
      </c>
      <c r="CE7" s="1398">
        <f t="shared" si="33"/>
        <v>24.264633449476126</v>
      </c>
      <c r="CF7" s="1398">
        <f t="shared" si="33"/>
        <v>24.316412436047038</v>
      </c>
      <c r="CG7" s="1398">
        <f t="shared" si="33"/>
        <v>24.333224744531737</v>
      </c>
      <c r="CH7" s="1398">
        <f t="shared" si="33"/>
        <v>24.350048677005677</v>
      </c>
      <c r="CI7" s="1398">
        <f t="shared" si="33"/>
        <v>24.366884241505659</v>
      </c>
      <c r="CJ7" s="1398">
        <f t="shared" si="33"/>
        <v>24.383731446074034</v>
      </c>
      <c r="CK7" s="1398">
        <f t="shared" si="33"/>
        <v>24.400590298758722</v>
      </c>
      <c r="CL7" s="1398">
        <f t="shared" si="33"/>
        <v>24.406304701449077</v>
      </c>
      <c r="CM7" s="1398">
        <f t="shared" si="33"/>
        <v>24.41202044240206</v>
      </c>
      <c r="CN7" s="1398">
        <f t="shared" si="33"/>
        <v>24.41773752193108</v>
      </c>
      <c r="CO7" s="1398">
        <f t="shared" si="33"/>
        <v>24.423455940349619</v>
      </c>
      <c r="CP7" s="1398">
        <f t="shared" si="33"/>
        <v>24.429175697971235</v>
      </c>
      <c r="CQ7" s="1398">
        <f t="shared" si="33"/>
        <v>24.437844539812179</v>
      </c>
      <c r="CR7" s="1398">
        <f t="shared" si="33"/>
        <v>24.446516457844467</v>
      </c>
      <c r="CS7" s="1398">
        <f t="shared" si="33"/>
        <v>24.455191453159703</v>
      </c>
      <c r="CT7" s="1398">
        <f t="shared" si="33"/>
        <v>24.463869526849884</v>
      </c>
      <c r="CU7" s="1398">
        <f t="shared" si="33"/>
        <v>24.472550680007387</v>
      </c>
      <c r="CV7" s="1398">
        <f t="shared" si="33"/>
        <v>24.485911011470357</v>
      </c>
      <c r="CW7" s="1398">
        <f t="shared" si="33"/>
        <v>24.499278636756479</v>
      </c>
      <c r="CX7" s="1398">
        <f t="shared" si="33"/>
        <v>24.512653559847685</v>
      </c>
      <c r="CY7" s="1398">
        <f t="shared" si="33"/>
        <v>24.526035784728073</v>
      </c>
      <c r="CZ7" s="1398">
        <f t="shared" si="33"/>
        <v>24.539425315383912</v>
      </c>
    </row>
    <row r="8" spans="1:104" x14ac:dyDescent="0.25">
      <c r="A8" s="875" t="str">
        <f>'HyARC Physical Property Data'!A71</f>
        <v>Commercial Natural Gas</v>
      </c>
      <c r="B8" s="260">
        <v>2007</v>
      </c>
      <c r="C8" s="874">
        <f>VLOOKUP(ref_year,DeflatorTable,2,FALSE)/VLOOKUP(B8,DeflatorTable,2,FALSE)</f>
        <v>1.1446359956438654</v>
      </c>
      <c r="D8" s="875" t="str">
        <f>'HyARC Physical Property Data'!H71</f>
        <v>mmBtu</v>
      </c>
      <c r="E8" s="874" t="s">
        <v>1058</v>
      </c>
      <c r="F8" s="260">
        <f>'HyARC Physical Property Data'!$E$6</f>
        <v>47.141269049911173</v>
      </c>
      <c r="G8" s="260">
        <f>'HyARC Physical Property Data'!$I$6</f>
        <v>52.224661236371581</v>
      </c>
      <c r="H8" s="260">
        <f>((11.8960943222046/(mmBTU_to_GJ))*($C$8))*($G$8/$F$8)</f>
        <v>14.298606037413785</v>
      </c>
      <c r="I8" s="260">
        <f>((11.8960943222046/(mmBTU_to_GJ))*($C$8))*($G$8/$F$8)</f>
        <v>14.298606037413785</v>
      </c>
      <c r="J8" s="260">
        <f>((11.8960943222046/(mmBTU_to_GJ))*($C$8))*($G$8/$F$8)</f>
        <v>14.298606037413785</v>
      </c>
      <c r="K8" s="260">
        <f>((10.9898433685303/(mmBTU_to_GJ))*($C$8))*($G$8/$F$8)</f>
        <v>13.209330430929022</v>
      </c>
      <c r="L8" s="260">
        <f>((11.3387994766235/(mmBTU_to_GJ))*($C$8))*($G$8/$F$8)</f>
        <v>13.628761025444446</v>
      </c>
      <c r="M8" s="260">
        <f>((8.90759468078613/(mmBTU_to_GJ))*($C$8))*($G$8/$F$8)</f>
        <v>10.706554910529642</v>
      </c>
      <c r="N8" s="260">
        <f>((9.46560573577881/(mmBTU_to_GJ))*($C$8))*($G$8/$F$8)</f>
        <v>11.377260776148852</v>
      </c>
      <c r="O8" s="260">
        <f>((9.74632167816162/(mmBTU_to_GJ))*($C$8))*($G$8/$F$8)</f>
        <v>11.714669555857421</v>
      </c>
      <c r="P8" s="260">
        <f>((9.72109222412109/(mmBTU_to_GJ))*($C$8))*($G$8/$F$8)</f>
        <v>11.684344811105591</v>
      </c>
      <c r="Q8" s="260">
        <f>((9.67193412780762/(mmBTU_to_GJ))*($C$8))*($G$8/$F$8)</f>
        <v>11.625258842745071</v>
      </c>
      <c r="R8" s="260">
        <f>((9.71388721466064/(mmBTU_to_GJ))*($C$8))*($G$8/$F$8)</f>
        <v>11.675684692163989</v>
      </c>
      <c r="S8" s="260">
        <f>((9.83065605163574/(mmBTU_to_GJ))*($C$8))*($G$8/$F$8)</f>
        <v>11.816035932842832</v>
      </c>
      <c r="T8" s="260">
        <f>((10.0382099151611/(mmBTU_to_GJ))*($C$8))*($G$8/$F$8)</f>
        <v>12.065506964738809</v>
      </c>
      <c r="U8" s="260">
        <f>((10.2545003890991/(mmBTU_to_GJ))*($C$8))*($G$8/$F$8)</f>
        <v>12.32547903563206</v>
      </c>
      <c r="V8" s="260">
        <f>((10.476261138916/(mmBTU_to_GJ))*($C$8))*($G$8/$F$8)</f>
        <v>12.592026148517233</v>
      </c>
      <c r="W8" s="260">
        <f>((10.746561050415/(mmBTU_to_GJ))*($C$8))*($G$8/$F$8)</f>
        <v>12.916915296315764</v>
      </c>
      <c r="X8" s="260">
        <f>((11.0803880691528/(mmBTU_to_GJ))*($C$8))*($G$8/$F$8)</f>
        <v>13.318161360468658</v>
      </c>
      <c r="Y8" s="260">
        <f>((11.3143692016602/(mmBTU_to_GJ))*($C$8))*($G$8/$F$8)</f>
        <v>13.599396860397949</v>
      </c>
      <c r="Z8" s="260">
        <f>((11.4017143249512/(mmBTU_to_GJ))*($C$8))*($G$8/$F$8)</f>
        <v>13.704382032287196</v>
      </c>
      <c r="AA8" s="260">
        <f>((11.2125005722046/(mmBTU_to_GJ))*($C$8))*($G$8/$F$8)</f>
        <v>13.476955043722189</v>
      </c>
      <c r="AB8" s="260">
        <f>((11.1975994110107/(mmBTU_to_GJ))*($C$8))*($G$8/$F$8)</f>
        <v>13.459044473442507</v>
      </c>
      <c r="AC8" s="260">
        <f>((11.159740447998/(mmBTU_to_GJ))*($C$8))*($G$8/$F$8)</f>
        <v>13.413539589029041</v>
      </c>
      <c r="AD8" s="260">
        <f>((11.3503875732422/(mmBTU_to_GJ))*($C$8))*($G$8/$F$8)</f>
        <v>13.642689431170433</v>
      </c>
      <c r="AE8" s="260">
        <f>((11.6409521102905/(mmBTU_to_GJ))*($C$8))*($G$8/$F$8)</f>
        <v>13.99193580827273</v>
      </c>
      <c r="AF8" s="260">
        <f>((11.9785671234131/(mmBTU_to_GJ))*($C$8))*($G$8/$F$8)</f>
        <v>14.397734882675305</v>
      </c>
      <c r="AG8" s="260">
        <f>((12.2332496643066/(mmBTU_to_GJ))*($C$8))*($G$8/$F$8)</f>
        <v>14.703852606544261</v>
      </c>
      <c r="AH8" s="260">
        <f>((12.5188312530518/(mmBTU_to_GJ))*($C$8))*($G$8/$F$8)</f>
        <v>15.0471096889452</v>
      </c>
      <c r="AI8" s="260">
        <f>($BB8-$AH8)/20+AH8</f>
        <v>15.174851357960808</v>
      </c>
      <c r="AJ8" s="260">
        <f t="shared" si="30"/>
        <v>15.302593026976416</v>
      </c>
      <c r="AK8" s="260">
        <f t="shared" si="30"/>
        <v>15.430334695992023</v>
      </c>
      <c r="AL8" s="260">
        <f t="shared" si="30"/>
        <v>15.558076365007631</v>
      </c>
      <c r="AM8" s="260">
        <f t="shared" si="30"/>
        <v>15.685818034023239</v>
      </c>
      <c r="AN8" s="260">
        <f t="shared" si="30"/>
        <v>15.813559703038846</v>
      </c>
      <c r="AO8" s="260">
        <f t="shared" si="30"/>
        <v>15.941301372054454</v>
      </c>
      <c r="AP8" s="260">
        <f t="shared" si="30"/>
        <v>16.06904304107006</v>
      </c>
      <c r="AQ8" s="260">
        <f t="shared" si="30"/>
        <v>16.196784710085666</v>
      </c>
      <c r="AR8" s="260">
        <f t="shared" si="30"/>
        <v>16.324526379101272</v>
      </c>
      <c r="AS8" s="260">
        <f t="shared" si="30"/>
        <v>16.452268048116878</v>
      </c>
      <c r="AT8" s="260">
        <f t="shared" si="30"/>
        <v>16.580009717132484</v>
      </c>
      <c r="AU8" s="260">
        <f t="shared" si="30"/>
        <v>16.70775138614809</v>
      </c>
      <c r="AV8" s="260">
        <f t="shared" si="30"/>
        <v>16.835493055163695</v>
      </c>
      <c r="AW8" s="260">
        <f t="shared" si="30"/>
        <v>16.963234724179301</v>
      </c>
      <c r="AX8" s="260">
        <f t="shared" si="30"/>
        <v>17.090976393194907</v>
      </c>
      <c r="AY8" s="260">
        <f t="shared" si="31"/>
        <v>17.218718062210513</v>
      </c>
      <c r="AZ8" s="260">
        <f t="shared" si="31"/>
        <v>17.346459731226119</v>
      </c>
      <c r="BA8" s="260">
        <f t="shared" si="31"/>
        <v>17.474201400241725</v>
      </c>
      <c r="BB8" s="1076">
        <f>1.16978897829057*AH8</f>
        <v>17.601943069257342</v>
      </c>
      <c r="BC8" s="260">
        <f t="shared" ref="BC8:BP10" si="34">($BQ8-$BB8)/15+BB8</f>
        <v>17.776233166716644</v>
      </c>
      <c r="BD8" s="260">
        <f t="shared" si="34"/>
        <v>17.950523264175946</v>
      </c>
      <c r="BE8" s="260">
        <f t="shared" si="34"/>
        <v>18.124813361635248</v>
      </c>
      <c r="BF8" s="260">
        <f t="shared" si="34"/>
        <v>18.29910345909455</v>
      </c>
      <c r="BG8" s="260">
        <f t="shared" si="34"/>
        <v>18.473393556553852</v>
      </c>
      <c r="BH8" s="260">
        <f t="shared" si="34"/>
        <v>18.647683654013154</v>
      </c>
      <c r="BI8" s="260">
        <f t="shared" si="34"/>
        <v>18.821973751472456</v>
      </c>
      <c r="BJ8" s="260">
        <f t="shared" si="34"/>
        <v>18.996263848931758</v>
      </c>
      <c r="BK8" s="260">
        <f t="shared" si="34"/>
        <v>19.17055394639106</v>
      </c>
      <c r="BL8" s="260">
        <f t="shared" si="34"/>
        <v>19.344844043850362</v>
      </c>
      <c r="BM8" s="260">
        <f t="shared" si="34"/>
        <v>19.519134141309664</v>
      </c>
      <c r="BN8" s="260">
        <f t="shared" si="34"/>
        <v>19.693424238768966</v>
      </c>
      <c r="BO8" s="260">
        <f t="shared" si="34"/>
        <v>19.867714336228268</v>
      </c>
      <c r="BP8" s="260">
        <f t="shared" si="34"/>
        <v>20.04200443368757</v>
      </c>
      <c r="BQ8" s="1076">
        <f>1.14852629914794*BB8</f>
        <v>20.216294531146865</v>
      </c>
      <c r="BR8" s="260">
        <f t="shared" ref="BR8:BU10" si="35">($BV8-$BQ8)/5+BQ8</f>
        <v>20.416471291759944</v>
      </c>
      <c r="BS8" s="260">
        <f t="shared" si="35"/>
        <v>20.616648052373023</v>
      </c>
      <c r="BT8" s="260">
        <f t="shared" si="35"/>
        <v>20.816824812986102</v>
      </c>
      <c r="BU8" s="260">
        <f t="shared" si="35"/>
        <v>21.017001573599181</v>
      </c>
      <c r="BV8" s="1079">
        <f>1.04950876638265*BQ8</f>
        <v>21.217178334212257</v>
      </c>
      <c r="BW8" s="1398">
        <f>+BV8*BW$134/BV$134</f>
        <v>21.287625604989181</v>
      </c>
      <c r="BX8" s="1398">
        <f t="shared" ref="BX8:CZ8" si="36">+BW8*BX$134/BW$134</f>
        <v>21.358306781419426</v>
      </c>
      <c r="BY8" s="1398">
        <f t="shared" si="36"/>
        <v>21.429222640138541</v>
      </c>
      <c r="BZ8" s="1398">
        <f t="shared" si="36"/>
        <v>21.500373960360729</v>
      </c>
      <c r="CA8" s="1398">
        <f t="shared" si="36"/>
        <v>21.571761523887421</v>
      </c>
      <c r="CB8" s="1398">
        <f t="shared" si="36"/>
        <v>21.617794115007417</v>
      </c>
      <c r="CC8" s="1398">
        <f t="shared" si="36"/>
        <v>21.663924936373601</v>
      </c>
      <c r="CD8" s="1398">
        <f t="shared" si="36"/>
        <v>21.710154197602268</v>
      </c>
      <c r="CE8" s="1398">
        <f t="shared" si="36"/>
        <v>21.756482108757027</v>
      </c>
      <c r="CF8" s="1398">
        <f t="shared" si="36"/>
        <v>21.802908880349733</v>
      </c>
      <c r="CG8" s="1398">
        <f t="shared" si="36"/>
        <v>21.817983358582254</v>
      </c>
      <c r="CH8" s="1398">
        <f t="shared" si="36"/>
        <v>21.833068259272402</v>
      </c>
      <c r="CI8" s="1398">
        <f t="shared" si="36"/>
        <v>21.848163589626239</v>
      </c>
      <c r="CJ8" s="1398">
        <f t="shared" si="36"/>
        <v>21.863269356854815</v>
      </c>
      <c r="CK8" s="1398">
        <f t="shared" si="36"/>
        <v>21.878385568174153</v>
      </c>
      <c r="CL8" s="1398">
        <f t="shared" si="36"/>
        <v>21.883509292798049</v>
      </c>
      <c r="CM8" s="1398">
        <f t="shared" si="36"/>
        <v>21.888634217352987</v>
      </c>
      <c r="CN8" s="1398">
        <f t="shared" si="36"/>
        <v>21.893760342119982</v>
      </c>
      <c r="CO8" s="1398">
        <f t="shared" si="36"/>
        <v>21.898887667380112</v>
      </c>
      <c r="CP8" s="1398">
        <f t="shared" si="36"/>
        <v>21.904016193414524</v>
      </c>
      <c r="CQ8" s="1398">
        <f t="shared" si="36"/>
        <v>21.911788967019731</v>
      </c>
      <c r="CR8" s="1398">
        <f t="shared" si="36"/>
        <v>21.919564498841009</v>
      </c>
      <c r="CS8" s="1398">
        <f t="shared" si="36"/>
        <v>21.927342789857128</v>
      </c>
      <c r="CT8" s="1398">
        <f t="shared" si="36"/>
        <v>21.935123841047208</v>
      </c>
      <c r="CU8" s="1398">
        <f t="shared" si="36"/>
        <v>21.942907653390712</v>
      </c>
      <c r="CV8" s="1398">
        <f t="shared" si="36"/>
        <v>21.954886973541843</v>
      </c>
      <c r="CW8" s="1398">
        <f t="shared" si="36"/>
        <v>21.966872833578826</v>
      </c>
      <c r="CX8" s="1398">
        <f t="shared" si="36"/>
        <v>21.978865237071986</v>
      </c>
      <c r="CY8" s="1398">
        <f t="shared" si="36"/>
        <v>21.990864187593605</v>
      </c>
      <c r="CZ8" s="1398">
        <f t="shared" si="36"/>
        <v>22.002869688717904</v>
      </c>
    </row>
    <row r="9" spans="1:104" x14ac:dyDescent="0.25">
      <c r="A9" s="875" t="str">
        <f>'HyARC Physical Property Data'!A72</f>
        <v>Industrial Natural Gas</v>
      </c>
      <c r="B9" s="260">
        <v>2007</v>
      </c>
      <c r="C9" s="874">
        <f t="shared" ref="C9:C18" si="37">VLOOKUP(ref_year,DeflatorTable,2,FALSE)/VLOOKUP(B9,DeflatorTable,2,FALSE)</f>
        <v>1.1446359956438654</v>
      </c>
      <c r="D9" s="1260" t="str">
        <f>'HyARC Physical Property Data'!H72</f>
        <v>mmBtu</v>
      </c>
      <c r="E9" s="874" t="s">
        <v>1058</v>
      </c>
      <c r="F9" s="260">
        <f>'HyARC Physical Property Data'!$E$6</f>
        <v>47.141269049911173</v>
      </c>
      <c r="G9" s="260">
        <f>'HyARC Physical Property Data'!$I$6</f>
        <v>52.224661236371581</v>
      </c>
      <c r="H9" s="260">
        <f>((7.95407009124756/(mmBTU_to_GJ))*($C$9))*($G$9/$F$9)</f>
        <v>9.5604583780441796</v>
      </c>
      <c r="I9" s="260">
        <f>((7.95407009124756/(mmBTU_to_GJ))*($C$9))*($G$9/$F$9)</f>
        <v>9.5604583780441796</v>
      </c>
      <c r="J9" s="260">
        <f>((7.95407009124756/(mmBTU_to_GJ))*($C$9))*($G$9/$F$9)</f>
        <v>9.5604583780441796</v>
      </c>
      <c r="K9" s="260">
        <f>((7.51525163650513/(mmBTU_to_GJ))*($C$9))*($G$9/$F$9)</f>
        <v>9.0330170148232209</v>
      </c>
      <c r="L9" s="260">
        <f>((8.80127239227294/(mmBTU_to_GJ))*($C$9))*($G$9/$F$9)</f>
        <v>10.578759982608744</v>
      </c>
      <c r="M9" s="260">
        <f>((4.84856796264648/(mmBTU_to_GJ))*($C$9))*($G$9/$F$9)</f>
        <v>5.8277751727392237</v>
      </c>
      <c r="N9" s="260">
        <f>((5.49891996383666/(mmBTU_to_GJ))*($C$9))*($G$9/$F$9)</f>
        <v>6.6094709796819098</v>
      </c>
      <c r="O9" s="260">
        <f>((5.82616424560547/(mmBTU_to_GJ))*($C$9))*($G$9/$F$9)</f>
        <v>7.002804870308081</v>
      </c>
      <c r="P9" s="260">
        <f>((5.87778615951538/(mmBTU_to_GJ))*($C$9))*($G$9/$F$9)</f>
        <v>7.0648522440009209</v>
      </c>
      <c r="Q9" s="260">
        <f>((5.95383930206299/(mmBTU_to_GJ))*($C$9))*($G$9/$F$9)</f>
        <v>7.1562649290168574</v>
      </c>
      <c r="R9" s="260">
        <f>((6.10985708236694/(mmBTU_to_GJ))*($C$9))*($G$9/$F$9)</f>
        <v>7.3437917521048339</v>
      </c>
      <c r="S9" s="260">
        <f>((6.32948446273804/(mmBTU_to_GJ))*($C$9))*($G$9/$F$9)</f>
        <v>7.6077746444642154</v>
      </c>
      <c r="T9" s="260">
        <f>((6.51258134841919/(mmBTU_to_GJ))*($C$9))*($G$9/$F$9)</f>
        <v>7.8278494155716949</v>
      </c>
      <c r="U9" s="260">
        <f>((6.70273017883301/(mmBTU_to_GJ))*($C$9))*($G$9/$F$9)</f>
        <v>8.0564003282428658</v>
      </c>
      <c r="V9" s="260">
        <f>((6.89887094497681/(mmBTU_to_GJ))*($C$9))*($G$9/$F$9)</f>
        <v>8.2921532961503175</v>
      </c>
      <c r="W9" s="260">
        <f>((7.15282821655273/(mmBTU_to_GJ))*($C$9))*($G$9/$F$9)</f>
        <v>8.5973992767426797</v>
      </c>
      <c r="X9" s="260">
        <f>((7.46860218048096/(mmBTU_to_GJ))*($C$9))*($G$9/$F$9)</f>
        <v>8.9769463267904062</v>
      </c>
      <c r="Y9" s="260">
        <f>((7.67867755889893/(mmBTU_to_GJ))*($C$9))*($G$9/$F$9)</f>
        <v>9.2294481137468605</v>
      </c>
      <c r="Z9" s="260">
        <f>((7.75380706787109/(mmBTU_to_GJ))*($C$9))*($G$9/$F$9)</f>
        <v>9.3197506299745712</v>
      </c>
      <c r="AA9" s="260">
        <f>((7.55847835540771/(mmBTU_to_GJ))*($C$9))*($G$9/$F$9)</f>
        <v>9.084973716505079</v>
      </c>
      <c r="AB9" s="260">
        <f>((7.54617786407471/(mmBTU_to_GJ))*($C$9))*($G$9/$F$9)</f>
        <v>9.0701890422352296</v>
      </c>
      <c r="AC9" s="260">
        <f>((7.45927095413208/(mmBTU_to_GJ))*($C$9))*($G$9/$F$9)</f>
        <v>8.9657305843967432</v>
      </c>
      <c r="AD9" s="260">
        <f>((7.60022306442261/(mmBTU_to_GJ))*($C$9))*($G$9/$F$9)</f>
        <v>9.1351491045092246</v>
      </c>
      <c r="AE9" s="260">
        <f>((7.85960483551025/(mmBTU_to_GJ))*($C$9))*($G$9/$F$9)</f>
        <v>9.4469151058216188</v>
      </c>
      <c r="AF9" s="260">
        <f>((8.19417572021484/(mmBTU_to_GJ))*($C$9))*($G$9/$F$9)</f>
        <v>9.8490552656428605</v>
      </c>
      <c r="AG9" s="260">
        <f>((8.42161273956299/(mmBTU_to_GJ))*($C$9))*($G$9/$F$9)</f>
        <v>10.122425016243508</v>
      </c>
      <c r="AH9" s="260">
        <f>((8.69355010986328/(mmBTU_to_GJ))*($C$9))*($G$9/$F$9)</f>
        <v>10.449282320788951</v>
      </c>
      <c r="AI9" s="260">
        <f>($BB9-$AH9)/20+AH9</f>
        <v>10.537990969244774</v>
      </c>
      <c r="AJ9" s="260">
        <f t="shared" si="30"/>
        <v>10.626699617700597</v>
      </c>
      <c r="AK9" s="260">
        <f t="shared" si="30"/>
        <v>10.71540826615642</v>
      </c>
      <c r="AL9" s="260">
        <f t="shared" si="30"/>
        <v>10.804116914612242</v>
      </c>
      <c r="AM9" s="260">
        <f t="shared" si="30"/>
        <v>10.892825563068065</v>
      </c>
      <c r="AN9" s="260">
        <f t="shared" si="30"/>
        <v>10.981534211523888</v>
      </c>
      <c r="AO9" s="260">
        <f t="shared" si="30"/>
        <v>11.070242859979711</v>
      </c>
      <c r="AP9" s="260">
        <f t="shared" si="30"/>
        <v>11.158951508435534</v>
      </c>
      <c r="AQ9" s="260">
        <f t="shared" si="30"/>
        <v>11.247660156891357</v>
      </c>
      <c r="AR9" s="260">
        <f t="shared" si="30"/>
        <v>11.336368805347179</v>
      </c>
      <c r="AS9" s="260">
        <f t="shared" si="30"/>
        <v>11.425077453803002</v>
      </c>
      <c r="AT9" s="260">
        <f t="shared" si="30"/>
        <v>11.513786102258825</v>
      </c>
      <c r="AU9" s="260">
        <f t="shared" si="30"/>
        <v>11.602494750714648</v>
      </c>
      <c r="AV9" s="260">
        <f t="shared" si="30"/>
        <v>11.691203399170471</v>
      </c>
      <c r="AW9" s="260">
        <f t="shared" si="30"/>
        <v>11.779912047626294</v>
      </c>
      <c r="AX9" s="260">
        <f t="shared" si="30"/>
        <v>11.868620696082116</v>
      </c>
      <c r="AY9" s="260">
        <f t="shared" si="30"/>
        <v>11.957329344537939</v>
      </c>
      <c r="AZ9" s="260">
        <f t="shared" si="31"/>
        <v>12.046037992993762</v>
      </c>
      <c r="BA9" s="260">
        <f t="shared" si="31"/>
        <v>12.134746641449585</v>
      </c>
      <c r="BB9" s="1076">
        <f>1.16978897829057*AH9</f>
        <v>12.223455289905422</v>
      </c>
      <c r="BC9" s="260">
        <f t="shared" si="34"/>
        <v>12.344488928372753</v>
      </c>
      <c r="BD9" s="260">
        <f t="shared" si="34"/>
        <v>12.465522566840084</v>
      </c>
      <c r="BE9" s="260">
        <f t="shared" si="34"/>
        <v>12.586556205307415</v>
      </c>
      <c r="BF9" s="260">
        <f t="shared" si="34"/>
        <v>12.707589843774747</v>
      </c>
      <c r="BG9" s="260">
        <f t="shared" si="34"/>
        <v>12.828623482242078</v>
      </c>
      <c r="BH9" s="260">
        <f t="shared" si="34"/>
        <v>12.949657120709409</v>
      </c>
      <c r="BI9" s="260">
        <f t="shared" si="34"/>
        <v>13.07069075917674</v>
      </c>
      <c r="BJ9" s="260">
        <f t="shared" si="34"/>
        <v>13.191724397644071</v>
      </c>
      <c r="BK9" s="260">
        <f t="shared" si="34"/>
        <v>13.312758036111402</v>
      </c>
      <c r="BL9" s="260">
        <f t="shared" si="34"/>
        <v>13.433791674578734</v>
      </c>
      <c r="BM9" s="260">
        <f t="shared" si="34"/>
        <v>13.554825313046065</v>
      </c>
      <c r="BN9" s="260">
        <f t="shared" si="34"/>
        <v>13.675858951513396</v>
      </c>
      <c r="BO9" s="260">
        <f t="shared" si="34"/>
        <v>13.796892589980727</v>
      </c>
      <c r="BP9" s="260">
        <f t="shared" si="34"/>
        <v>13.917926228448058</v>
      </c>
      <c r="BQ9" s="1076">
        <f>1.14852629914794*BB9</f>
        <v>14.038959866915382</v>
      </c>
      <c r="BR9" s="260">
        <f t="shared" si="35"/>
        <v>14.177970183776685</v>
      </c>
      <c r="BS9" s="260">
        <f t="shared" si="35"/>
        <v>14.316980500637987</v>
      </c>
      <c r="BT9" s="260">
        <f t="shared" si="35"/>
        <v>14.455990817499289</v>
      </c>
      <c r="BU9" s="260">
        <f t="shared" si="35"/>
        <v>14.595001134360592</v>
      </c>
      <c r="BV9" s="1079">
        <f>1.04950876638265*BQ9</f>
        <v>14.734011451221894</v>
      </c>
      <c r="BW9" s="1398">
        <f>+BV9*BW$135/BV$135</f>
        <v>14.78293270163439</v>
      </c>
      <c r="BX9" s="1398">
        <f t="shared" ref="BX9:CZ9" si="38">+BW9*BX$135/BW$135</f>
        <v>14.832016384983078</v>
      </c>
      <c r="BY9" s="1398">
        <f t="shared" si="38"/>
        <v>14.881263040593069</v>
      </c>
      <c r="BZ9" s="1398">
        <f t="shared" si="38"/>
        <v>14.93067320958019</v>
      </c>
      <c r="CA9" s="1398">
        <f t="shared" si="38"/>
        <v>14.980247434856935</v>
      </c>
      <c r="CB9" s="1398">
        <f t="shared" si="38"/>
        <v>15.012214207912603</v>
      </c>
      <c r="CC9" s="1398">
        <f t="shared" si="38"/>
        <v>15.044249195768062</v>
      </c>
      <c r="CD9" s="1398">
        <f t="shared" si="38"/>
        <v>15.076352543988799</v>
      </c>
      <c r="CE9" s="1398">
        <f t="shared" si="38"/>
        <v>15.10852439845093</v>
      </c>
      <c r="CF9" s="1398">
        <f t="shared" si="38"/>
        <v>15.140764905341857</v>
      </c>
      <c r="CG9" s="1398">
        <f t="shared" si="38"/>
        <v>15.151233193414877</v>
      </c>
      <c r="CH9" s="1398">
        <f t="shared" si="38"/>
        <v>15.16170871923684</v>
      </c>
      <c r="CI9" s="1398">
        <f t="shared" si="38"/>
        <v>15.172191487811906</v>
      </c>
      <c r="CJ9" s="1398">
        <f t="shared" si="38"/>
        <v>15.182681504147698</v>
      </c>
      <c r="CK9" s="1398">
        <f t="shared" si="38"/>
        <v>15.193178773255301</v>
      </c>
      <c r="CL9" s="1398">
        <f t="shared" si="38"/>
        <v>15.196736881505712</v>
      </c>
      <c r="CM9" s="1398">
        <f t="shared" si="38"/>
        <v>15.200295823033644</v>
      </c>
      <c r="CN9" s="1398">
        <f t="shared" si="38"/>
        <v>15.20385559803424</v>
      </c>
      <c r="CO9" s="1398">
        <f t="shared" si="38"/>
        <v>15.207416206702694</v>
      </c>
      <c r="CP9" s="1398">
        <f t="shared" si="38"/>
        <v>15.210977649234243</v>
      </c>
      <c r="CQ9" s="1398">
        <f t="shared" si="38"/>
        <v>15.216375357332034</v>
      </c>
      <c r="CR9" s="1398">
        <f t="shared" si="38"/>
        <v>15.221774980839431</v>
      </c>
      <c r="CS9" s="1398">
        <f t="shared" si="38"/>
        <v>15.22717652043613</v>
      </c>
      <c r="CT9" s="1398">
        <f t="shared" si="38"/>
        <v>15.232579976802066</v>
      </c>
      <c r="CU9" s="1398">
        <f t="shared" si="38"/>
        <v>15.237985350617416</v>
      </c>
      <c r="CV9" s="1398">
        <f t="shared" si="38"/>
        <v>15.246304243804076</v>
      </c>
      <c r="CW9" s="1398">
        <f t="shared" si="38"/>
        <v>15.254627678534927</v>
      </c>
      <c r="CX9" s="1398">
        <f t="shared" si="38"/>
        <v>15.262955657289339</v>
      </c>
      <c r="CY9" s="1398">
        <f t="shared" si="38"/>
        <v>15.271288182548037</v>
      </c>
      <c r="CZ9" s="1398">
        <f t="shared" si="38"/>
        <v>15.279625256793102</v>
      </c>
    </row>
    <row r="10" spans="1:104" x14ac:dyDescent="0.25">
      <c r="A10" s="875" t="str">
        <f>'HyARC Physical Property Data'!A74</f>
        <v>Electric Utility Natural Gas</v>
      </c>
      <c r="B10" s="260">
        <v>2007</v>
      </c>
      <c r="C10" s="874">
        <f t="shared" si="37"/>
        <v>1.1446359956438654</v>
      </c>
      <c r="D10" s="1260" t="str">
        <f>'HyARC Physical Property Data'!H74</f>
        <v>mmBtu</v>
      </c>
      <c r="E10" s="874" t="s">
        <v>1058</v>
      </c>
      <c r="F10" s="260">
        <f>'HyARC Physical Property Data'!$E$6</f>
        <v>47.141269049911173</v>
      </c>
      <c r="G10" s="260">
        <f>'HyARC Physical Property Data'!$I$6</f>
        <v>52.224661236371581</v>
      </c>
      <c r="H10" s="260">
        <f>((7.05463790893555/(mmBTU_to_GJ))*($C$10))*($G$10/$F$10)</f>
        <v>8.4793786485193543</v>
      </c>
      <c r="I10" s="260">
        <f>((7.05463790893555/(mmBTU_to_GJ))*($C$10))*($G$10/$F$10)</f>
        <v>8.4793786485193543</v>
      </c>
      <c r="J10" s="260">
        <f>((7.05463790893555/(mmBTU_to_GJ))*($C$10))*($G$10/$F$10)</f>
        <v>8.4793786485193543</v>
      </c>
      <c r="K10" s="260">
        <f>((7.01915979385375/(mmBTU_to_GJ))*($C$10))*($G$10/$F$10)</f>
        <v>8.4367354433828741</v>
      </c>
      <c r="L10" s="260">
        <f>((8.87161254882813/(mmBTU_to_GJ))*($C$10))*($G$10/$F$10)</f>
        <v>10.663305898264051</v>
      </c>
      <c r="M10" s="260">
        <f>((4.55562210083008/(mmBTU_to_GJ))*($C$10))*($G$10/$F$10)</f>
        <v>5.4756665432216405</v>
      </c>
      <c r="N10" s="260">
        <f>((5.12931346893311/(mmBTU_to_GJ))*($C$10))*($G$10/$F$10)</f>
        <v>6.1652194870192449</v>
      </c>
      <c r="O10" s="260">
        <f>((5.45354604721069/(mmBTU_to_GJ))*($C$10))*($G$10/$F$10)</f>
        <v>6.5549334364650393</v>
      </c>
      <c r="P10" s="260">
        <f>((5.51876354217529/(mmBTU_to_GJ))*($C$10))*($G$10/$F$10)</f>
        <v>6.6333221279118835</v>
      </c>
      <c r="Q10" s="260">
        <f>((5.53977298736572/(mmBTU_to_GJ))*($C$10))*($G$10/$F$10)</f>
        <v>6.6585745991605227</v>
      </c>
      <c r="R10" s="260">
        <f>((5.68350362777709/(mmBTU_to_GJ))*($C$10))*($G$10/$F$10)</f>
        <v>6.8313327958496117</v>
      </c>
      <c r="S10" s="260">
        <f>((5.8920464515686/(mmBTU_to_GJ))*($C$10))*($G$10/$F$10)</f>
        <v>7.0819925164739512</v>
      </c>
      <c r="T10" s="260">
        <f>((6.08193254470825/(mmBTU_to_GJ))*($C$10))*($G$10/$F$10)</f>
        <v>7.3102276299699529</v>
      </c>
      <c r="U10" s="260">
        <f>((6.26939964294434/(mmBTU_to_GJ))*($C$10))*($G$10/$F$10)</f>
        <v>7.5355552131290491</v>
      </c>
      <c r="V10" s="260">
        <f>((6.47751331329346/(mmBTU_to_GJ))*($C$10))*($G$10/$F$10)</f>
        <v>7.785699109329328</v>
      </c>
      <c r="W10" s="260">
        <f>((6.73541975021362/(mmBTU_to_GJ))*($C$10))*($G$10/$F$10)</f>
        <v>8.0956918208994786</v>
      </c>
      <c r="X10" s="260">
        <f>((7.02784395217896/(mmBTU_to_GJ))*($C$10))*($G$10/$F$10)</f>
        <v>8.4471734371727294</v>
      </c>
      <c r="Y10" s="260">
        <f>((7.25390911102295/(mmBTU_to_GJ))*($C$10))*($G$10/$F$10)</f>
        <v>8.7188942690311428</v>
      </c>
      <c r="Z10" s="260">
        <f>((7.3283839225769/(mmBTU_to_GJ))*($C$10))*($G$10/$F$10)</f>
        <v>8.8084098664430517</v>
      </c>
      <c r="AA10" s="260">
        <f>((7.15062761306763/(mmBTU_to_GJ))*($C$10))*($G$10/$F$10)</f>
        <v>8.5947542437237932</v>
      </c>
      <c r="AB10" s="260">
        <f>((7.19241189956665/(mmBTU_to_GJ))*($C$10))*($G$10/$F$10)</f>
        <v>8.6449772022025897</v>
      </c>
      <c r="AC10" s="260">
        <f>((7.13988399505615/(mmBTU_to_GJ))*($C$10))*($G$10/$F$10)</f>
        <v>8.5818408658367442</v>
      </c>
      <c r="AD10" s="260">
        <f>((7.28062534332275/(mmBTU_to_GJ))*($C$10))*($G$10/$F$10)</f>
        <v>8.7510060588431848</v>
      </c>
      <c r="AE10" s="260">
        <f>((7.5354790687561/(mmBTU_to_GJ))*($C$10))*($G$10/$F$10)</f>
        <v>9.0573295393435789</v>
      </c>
      <c r="AF10" s="260">
        <f>((7.86007928848267/(mmBTU_to_GJ))*($C$10))*($G$10/$F$10)</f>
        <v>9.44748537837933</v>
      </c>
      <c r="AG10" s="260">
        <f>((8.07421207427979/(mmBTU_to_GJ))*($C$10))*($G$10/$F$10)</f>
        <v>9.7048639986960801</v>
      </c>
      <c r="AH10" s="260">
        <f>((8.33951759338379/(mmBTU_to_GJ))*($C$10))*($G$10/$F$10)</f>
        <v>10.023750096475156</v>
      </c>
      <c r="AI10" s="260">
        <f>($BB10-$AH10)/20+AH10</f>
        <v>10.108846210851182</v>
      </c>
      <c r="AJ10" s="260">
        <f t="shared" si="30"/>
        <v>10.193942325227207</v>
      </c>
      <c r="AK10" s="260">
        <f t="shared" si="30"/>
        <v>10.279038439603232</v>
      </c>
      <c r="AL10" s="260">
        <f t="shared" si="30"/>
        <v>10.364134553979257</v>
      </c>
      <c r="AM10" s="260">
        <f t="shared" si="30"/>
        <v>10.449230668355282</v>
      </c>
      <c r="AN10" s="260">
        <f t="shared" si="30"/>
        <v>10.534326782731307</v>
      </c>
      <c r="AO10" s="260">
        <f t="shared" si="30"/>
        <v>10.619422897107333</v>
      </c>
      <c r="AP10" s="260">
        <f t="shared" si="30"/>
        <v>10.704519011483358</v>
      </c>
      <c r="AQ10" s="260">
        <f t="shared" si="30"/>
        <v>10.789615125859383</v>
      </c>
      <c r="AR10" s="260">
        <f t="shared" si="30"/>
        <v>10.874711240235408</v>
      </c>
      <c r="AS10" s="260">
        <f t="shared" si="30"/>
        <v>10.959807354611433</v>
      </c>
      <c r="AT10" s="260">
        <f t="shared" si="30"/>
        <v>11.044903468987458</v>
      </c>
      <c r="AU10" s="260">
        <f t="shared" si="30"/>
        <v>11.129999583363483</v>
      </c>
      <c r="AV10" s="260">
        <f t="shared" si="30"/>
        <v>11.215095697739509</v>
      </c>
      <c r="AW10" s="260">
        <f t="shared" si="30"/>
        <v>11.300191812115534</v>
      </c>
      <c r="AX10" s="260">
        <f t="shared" si="30"/>
        <v>11.385287926491559</v>
      </c>
      <c r="AY10" s="260">
        <f t="shared" si="30"/>
        <v>11.470384040867584</v>
      </c>
      <c r="AZ10" s="260">
        <f t="shared" si="31"/>
        <v>11.555480155243609</v>
      </c>
      <c r="BA10" s="260">
        <f t="shared" si="31"/>
        <v>11.640576269619634</v>
      </c>
      <c r="BB10" s="1076">
        <f>1.16978897829057*AH10</f>
        <v>11.725672383995676</v>
      </c>
      <c r="BC10" s="260">
        <f t="shared" si="34"/>
        <v>11.841777098943414</v>
      </c>
      <c r="BD10" s="260">
        <f t="shared" si="34"/>
        <v>11.957881813891152</v>
      </c>
      <c r="BE10" s="260">
        <f t="shared" si="34"/>
        <v>12.073986528838891</v>
      </c>
      <c r="BF10" s="260">
        <f t="shared" si="34"/>
        <v>12.190091243786629</v>
      </c>
      <c r="BG10" s="260">
        <f t="shared" si="34"/>
        <v>12.306195958734367</v>
      </c>
      <c r="BH10" s="260">
        <f t="shared" si="34"/>
        <v>12.422300673682106</v>
      </c>
      <c r="BI10" s="260">
        <f t="shared" si="34"/>
        <v>12.538405388629844</v>
      </c>
      <c r="BJ10" s="260">
        <f t="shared" si="34"/>
        <v>12.654510103577582</v>
      </c>
      <c r="BK10" s="260">
        <f t="shared" si="34"/>
        <v>12.770614818525321</v>
      </c>
      <c r="BL10" s="260">
        <f t="shared" si="34"/>
        <v>12.886719533473059</v>
      </c>
      <c r="BM10" s="260">
        <f t="shared" si="34"/>
        <v>13.002824248420797</v>
      </c>
      <c r="BN10" s="260">
        <f t="shared" si="34"/>
        <v>13.118928963368536</v>
      </c>
      <c r="BO10" s="260">
        <f t="shared" si="34"/>
        <v>13.235033678316274</v>
      </c>
      <c r="BP10" s="260">
        <f t="shared" si="34"/>
        <v>13.351138393264012</v>
      </c>
      <c r="BQ10" s="1076">
        <f>1.14852629914794*BB10</f>
        <v>13.467243108211756</v>
      </c>
      <c r="BR10" s="260">
        <f t="shared" si="35"/>
        <v>13.600592426784317</v>
      </c>
      <c r="BS10" s="260">
        <f t="shared" si="35"/>
        <v>13.733941745356878</v>
      </c>
      <c r="BT10" s="260">
        <f t="shared" si="35"/>
        <v>13.867291063929439</v>
      </c>
      <c r="BU10" s="260">
        <f t="shared" si="35"/>
        <v>14.000640382502</v>
      </c>
      <c r="BV10" s="1079">
        <f>1.04950876638265*BQ10</f>
        <v>14.133989701074563</v>
      </c>
      <c r="BW10" s="1398">
        <f>+BV10*BW$136/BV$136</f>
        <v>14.180918702845942</v>
      </c>
      <c r="BX10" s="1398">
        <f t="shared" ref="BX10:CZ10" si="39">+BW10*BX$136/BW$136</f>
        <v>14.22800352270222</v>
      </c>
      <c r="BY10" s="1398">
        <f t="shared" si="39"/>
        <v>14.275244678005262</v>
      </c>
      <c r="BZ10" s="1398">
        <f t="shared" si="39"/>
        <v>14.322642687834716</v>
      </c>
      <c r="CA10" s="1398">
        <f t="shared" si="39"/>
        <v>14.370198072993734</v>
      </c>
      <c r="CB10" s="1398">
        <f t="shared" si="39"/>
        <v>14.400863044487831</v>
      </c>
      <c r="CC10" s="1398">
        <f t="shared" si="39"/>
        <v>14.431593452830604</v>
      </c>
      <c r="CD10" s="1398">
        <f t="shared" si="39"/>
        <v>14.46238943765959</v>
      </c>
      <c r="CE10" s="1398">
        <f t="shared" si="39"/>
        <v>14.493251138910308</v>
      </c>
      <c r="CF10" s="1398">
        <f t="shared" si="39"/>
        <v>14.524178696816882</v>
      </c>
      <c r="CG10" s="1398">
        <f t="shared" si="39"/>
        <v>14.534220678683244</v>
      </c>
      <c r="CH10" s="1398">
        <f t="shared" si="39"/>
        <v>14.54426960355147</v>
      </c>
      <c r="CI10" s="1398">
        <f t="shared" si="39"/>
        <v>14.554325476221939</v>
      </c>
      <c r="CJ10" s="1398">
        <f t="shared" si="39"/>
        <v>14.564388301498344</v>
      </c>
      <c r="CK10" s="1398">
        <f t="shared" si="39"/>
        <v>14.574458084187699</v>
      </c>
      <c r="CL10" s="1398">
        <f t="shared" si="39"/>
        <v>14.577871293518578</v>
      </c>
      <c r="CM10" s="1398">
        <f t="shared" si="39"/>
        <v>14.581285302192933</v>
      </c>
      <c r="CN10" s="1398">
        <f t="shared" si="39"/>
        <v>14.584700110397959</v>
      </c>
      <c r="CO10" s="1398">
        <f t="shared" si="39"/>
        <v>14.5881157183209</v>
      </c>
      <c r="CP10" s="1398">
        <f t="shared" si="39"/>
        <v>14.591532126149042</v>
      </c>
      <c r="CQ10" s="1398">
        <f t="shared" si="39"/>
        <v>14.596710020228747</v>
      </c>
      <c r="CR10" s="1398">
        <f t="shared" si="39"/>
        <v>14.601889751715715</v>
      </c>
      <c r="CS10" s="1398">
        <f t="shared" si="39"/>
        <v>14.607071321261961</v>
      </c>
      <c r="CT10" s="1398">
        <f t="shared" si="39"/>
        <v>14.61225472951973</v>
      </c>
      <c r="CU10" s="1398">
        <f t="shared" si="39"/>
        <v>14.617439977141501</v>
      </c>
      <c r="CV10" s="1398">
        <f t="shared" si="39"/>
        <v>14.625420095184293</v>
      </c>
      <c r="CW10" s="1398">
        <f t="shared" si="39"/>
        <v>14.633404569823321</v>
      </c>
      <c r="CX10" s="1398">
        <f t="shared" si="39"/>
        <v>14.641393403436986</v>
      </c>
      <c r="CY10" s="1398">
        <f t="shared" si="39"/>
        <v>14.649386598404989</v>
      </c>
      <c r="CZ10" s="1398">
        <f t="shared" si="39"/>
        <v>14.65738415710833</v>
      </c>
    </row>
    <row r="11" spans="1:104" x14ac:dyDescent="0.25">
      <c r="A11" s="875" t="str">
        <f>'HyARC Physical Property Data'!A75</f>
        <v>Bio Methane</v>
      </c>
      <c r="B11" s="260">
        <v>2007</v>
      </c>
      <c r="C11" s="874">
        <f t="shared" si="37"/>
        <v>1.1446359956438654</v>
      </c>
      <c r="D11" s="1260" t="str">
        <f>'HyARC Physical Property Data'!H75</f>
        <v>mmBtu</v>
      </c>
      <c r="E11" s="874" t="s">
        <v>1058</v>
      </c>
      <c r="F11" s="260">
        <f>'HyARC Physical Property Data'!$E$6</f>
        <v>47.141269049911173</v>
      </c>
      <c r="G11" s="260">
        <f>'HyARC Physical Property Data'!$I$6</f>
        <v>52.224661236371581</v>
      </c>
      <c r="H11" s="260">
        <f t="shared" ref="H11:AM11" si="40">13.11*($C$11/mmBTU_to_GJ)</f>
        <v>14.223865310797228</v>
      </c>
      <c r="I11" s="260">
        <f t="shared" si="40"/>
        <v>14.223865310797228</v>
      </c>
      <c r="J11" s="260">
        <f t="shared" si="40"/>
        <v>14.223865310797228</v>
      </c>
      <c r="K11" s="260">
        <f t="shared" si="40"/>
        <v>14.223865310797228</v>
      </c>
      <c r="L11" s="260">
        <f t="shared" si="40"/>
        <v>14.223865310797228</v>
      </c>
      <c r="M11" s="260">
        <f t="shared" si="40"/>
        <v>14.223865310797228</v>
      </c>
      <c r="N11" s="260">
        <f t="shared" si="40"/>
        <v>14.223865310797228</v>
      </c>
      <c r="O11" s="260">
        <f t="shared" si="40"/>
        <v>14.223865310797228</v>
      </c>
      <c r="P11" s="260">
        <f t="shared" si="40"/>
        <v>14.223865310797228</v>
      </c>
      <c r="Q11" s="260">
        <f t="shared" si="40"/>
        <v>14.223865310797228</v>
      </c>
      <c r="R11" s="260">
        <f t="shared" si="40"/>
        <v>14.223865310797228</v>
      </c>
      <c r="S11" s="260">
        <f t="shared" si="40"/>
        <v>14.223865310797228</v>
      </c>
      <c r="T11" s="260">
        <f t="shared" si="40"/>
        <v>14.223865310797228</v>
      </c>
      <c r="U11" s="260">
        <f t="shared" si="40"/>
        <v>14.223865310797228</v>
      </c>
      <c r="V11" s="260">
        <f t="shared" si="40"/>
        <v>14.223865310797228</v>
      </c>
      <c r="W11" s="260">
        <f t="shared" si="40"/>
        <v>14.223865310797228</v>
      </c>
      <c r="X11" s="260">
        <f t="shared" si="40"/>
        <v>14.223865310797228</v>
      </c>
      <c r="Y11" s="260">
        <f t="shared" si="40"/>
        <v>14.223865310797228</v>
      </c>
      <c r="Z11" s="260">
        <f t="shared" si="40"/>
        <v>14.223865310797228</v>
      </c>
      <c r="AA11" s="260">
        <f t="shared" si="40"/>
        <v>14.223865310797228</v>
      </c>
      <c r="AB11" s="260">
        <f t="shared" si="40"/>
        <v>14.223865310797228</v>
      </c>
      <c r="AC11" s="260">
        <f t="shared" si="40"/>
        <v>14.223865310797228</v>
      </c>
      <c r="AD11" s="260">
        <f t="shared" si="40"/>
        <v>14.223865310797228</v>
      </c>
      <c r="AE11" s="260">
        <f t="shared" si="40"/>
        <v>14.223865310797228</v>
      </c>
      <c r="AF11" s="260">
        <f t="shared" si="40"/>
        <v>14.223865310797228</v>
      </c>
      <c r="AG11" s="260">
        <f t="shared" si="40"/>
        <v>14.223865310797228</v>
      </c>
      <c r="AH11" s="260">
        <f t="shared" si="40"/>
        <v>14.223865310797228</v>
      </c>
      <c r="AI11" s="260">
        <f t="shared" si="40"/>
        <v>14.223865310797228</v>
      </c>
      <c r="AJ11" s="260">
        <f t="shared" si="40"/>
        <v>14.223865310797228</v>
      </c>
      <c r="AK11" s="260">
        <f t="shared" si="40"/>
        <v>14.223865310797228</v>
      </c>
      <c r="AL11" s="260">
        <f t="shared" si="40"/>
        <v>14.223865310797228</v>
      </c>
      <c r="AM11" s="260">
        <f t="shared" si="40"/>
        <v>14.223865310797228</v>
      </c>
      <c r="AN11" s="260">
        <f t="shared" ref="AN11:BV11" si="41">13.11*($C$11/mmBTU_to_GJ)</f>
        <v>14.223865310797228</v>
      </c>
      <c r="AO11" s="260">
        <f t="shared" si="41"/>
        <v>14.223865310797228</v>
      </c>
      <c r="AP11" s="260">
        <f t="shared" si="41"/>
        <v>14.223865310797228</v>
      </c>
      <c r="AQ11" s="260">
        <f t="shared" si="41"/>
        <v>14.223865310797228</v>
      </c>
      <c r="AR11" s="260">
        <f t="shared" si="41"/>
        <v>14.223865310797228</v>
      </c>
      <c r="AS11" s="260">
        <f t="shared" si="41"/>
        <v>14.223865310797228</v>
      </c>
      <c r="AT11" s="260">
        <f t="shared" si="41"/>
        <v>14.223865310797228</v>
      </c>
      <c r="AU11" s="260">
        <f t="shared" si="41"/>
        <v>14.223865310797228</v>
      </c>
      <c r="AV11" s="260">
        <f t="shared" si="41"/>
        <v>14.223865310797228</v>
      </c>
      <c r="AW11" s="260">
        <f t="shared" si="41"/>
        <v>14.223865310797228</v>
      </c>
      <c r="AX11" s="260">
        <f t="shared" si="41"/>
        <v>14.223865310797228</v>
      </c>
      <c r="AY11" s="260">
        <f t="shared" si="41"/>
        <v>14.223865310797228</v>
      </c>
      <c r="AZ11" s="260">
        <f t="shared" si="41"/>
        <v>14.223865310797228</v>
      </c>
      <c r="BA11" s="260">
        <f t="shared" si="41"/>
        <v>14.223865310797228</v>
      </c>
      <c r="BB11" s="260">
        <f t="shared" si="41"/>
        <v>14.223865310797228</v>
      </c>
      <c r="BC11" s="260">
        <f t="shared" si="41"/>
        <v>14.223865310797228</v>
      </c>
      <c r="BD11" s="260">
        <f t="shared" si="41"/>
        <v>14.223865310797228</v>
      </c>
      <c r="BE11" s="260">
        <f t="shared" si="41"/>
        <v>14.223865310797228</v>
      </c>
      <c r="BF11" s="260">
        <f t="shared" si="41"/>
        <v>14.223865310797228</v>
      </c>
      <c r="BG11" s="260">
        <f t="shared" si="41"/>
        <v>14.223865310797228</v>
      </c>
      <c r="BH11" s="260">
        <f t="shared" si="41"/>
        <v>14.223865310797228</v>
      </c>
      <c r="BI11" s="260">
        <f t="shared" si="41"/>
        <v>14.223865310797228</v>
      </c>
      <c r="BJ11" s="260">
        <f t="shared" si="41"/>
        <v>14.223865310797228</v>
      </c>
      <c r="BK11" s="260">
        <f t="shared" si="41"/>
        <v>14.223865310797228</v>
      </c>
      <c r="BL11" s="260">
        <f t="shared" si="41"/>
        <v>14.223865310797228</v>
      </c>
      <c r="BM11" s="260">
        <f t="shared" si="41"/>
        <v>14.223865310797228</v>
      </c>
      <c r="BN11" s="260">
        <f t="shared" si="41"/>
        <v>14.223865310797228</v>
      </c>
      <c r="BO11" s="260">
        <f t="shared" si="41"/>
        <v>14.223865310797228</v>
      </c>
      <c r="BP11" s="260">
        <f t="shared" si="41"/>
        <v>14.223865310797228</v>
      </c>
      <c r="BQ11" s="260">
        <f t="shared" si="41"/>
        <v>14.223865310797228</v>
      </c>
      <c r="BR11" s="260">
        <f t="shared" si="41"/>
        <v>14.223865310797228</v>
      </c>
      <c r="BS11" s="260">
        <f t="shared" si="41"/>
        <v>14.223865310797228</v>
      </c>
      <c r="BT11" s="260">
        <f t="shared" si="41"/>
        <v>14.223865310797228</v>
      </c>
      <c r="BU11" s="260">
        <f t="shared" si="41"/>
        <v>14.223865310797228</v>
      </c>
      <c r="BV11" s="260">
        <f t="shared" si="41"/>
        <v>14.223865310797228</v>
      </c>
      <c r="BW11" s="1398">
        <f>+BV11*BW$136/BV$136</f>
        <v>14.271092726019944</v>
      </c>
      <c r="BX11" s="1398">
        <f t="shared" ref="BX11:CZ11" si="42">+BW11*BX$136/BW$136</f>
        <v>14.318476950147966</v>
      </c>
      <c r="BY11" s="1398">
        <f t="shared" si="42"/>
        <v>14.366018503832969</v>
      </c>
      <c r="BZ11" s="1398">
        <f t="shared" si="42"/>
        <v>14.413717909455341</v>
      </c>
      <c r="CA11" s="1398">
        <f t="shared" si="42"/>
        <v>14.461575691129934</v>
      </c>
      <c r="CB11" s="1398">
        <f t="shared" si="42"/>
        <v>14.49243565590395</v>
      </c>
      <c r="CC11" s="1398">
        <f t="shared" si="42"/>
        <v>14.523361473628309</v>
      </c>
      <c r="CD11" s="1398">
        <f t="shared" si="42"/>
        <v>14.554353284828478</v>
      </c>
      <c r="CE11" s="1398">
        <f t="shared" si="42"/>
        <v>14.585411230329802</v>
      </c>
      <c r="CF11" s="1398">
        <f t="shared" si="42"/>
        <v>14.616535451258134</v>
      </c>
      <c r="CG11" s="1398">
        <f t="shared" si="42"/>
        <v>14.626641288360148</v>
      </c>
      <c r="CH11" s="1398">
        <f t="shared" si="42"/>
        <v>14.636754112613382</v>
      </c>
      <c r="CI11" s="1398">
        <f t="shared" si="42"/>
        <v>14.646873928848736</v>
      </c>
      <c r="CJ11" s="1398">
        <f t="shared" si="42"/>
        <v>14.657000741900452</v>
      </c>
      <c r="CK11" s="1398">
        <f t="shared" si="42"/>
        <v>14.667134556606111</v>
      </c>
      <c r="CL11" s="1398">
        <f t="shared" si="42"/>
        <v>14.670569469948116</v>
      </c>
      <c r="CM11" s="1398">
        <f t="shared" si="42"/>
        <v>14.674005187716483</v>
      </c>
      <c r="CN11" s="1398">
        <f t="shared" si="42"/>
        <v>14.6774417100996</v>
      </c>
      <c r="CO11" s="1398">
        <f t="shared" si="42"/>
        <v>14.6808790372859</v>
      </c>
      <c r="CP11" s="1398">
        <f t="shared" si="42"/>
        <v>14.684317169463862</v>
      </c>
      <c r="CQ11" s="1398">
        <f t="shared" si="42"/>
        <v>14.689527988881515</v>
      </c>
      <c r="CR11" s="1398">
        <f t="shared" si="42"/>
        <v>14.69474065739019</v>
      </c>
      <c r="CS11" s="1398">
        <f t="shared" si="42"/>
        <v>14.699955175646044</v>
      </c>
      <c r="CT11" s="1398">
        <f t="shared" si="42"/>
        <v>14.705171544305472</v>
      </c>
      <c r="CU11" s="1398">
        <f t="shared" si="42"/>
        <v>14.710389764025104</v>
      </c>
      <c r="CV11" s="1398">
        <f t="shared" si="42"/>
        <v>14.718420626266095</v>
      </c>
      <c r="CW11" s="1398">
        <f t="shared" si="42"/>
        <v>14.726455872806168</v>
      </c>
      <c r="CX11" s="1398">
        <f t="shared" si="42"/>
        <v>14.734495506038849</v>
      </c>
      <c r="CY11" s="1398">
        <f t="shared" si="42"/>
        <v>14.74253952835897</v>
      </c>
      <c r="CZ11" s="1398">
        <f t="shared" si="42"/>
        <v>14.750587942162673</v>
      </c>
    </row>
    <row r="12" spans="1:104" x14ac:dyDescent="0.25">
      <c r="A12" s="964" t="str">
        <f>'HyARC Physical Property Data'!A85</f>
        <v>Woody Biomass</v>
      </c>
      <c r="B12" s="260">
        <v>2005</v>
      </c>
      <c r="C12" s="874">
        <f>VLOOKUP(ref_year,DeflatorTable,2,FALSE)/VLOOKUP(B12,DeflatorTable,2,FALSE)</f>
        <v>1.2112501494873942</v>
      </c>
      <c r="D12" s="1260" t="str">
        <f>+'HyARC Physical Property Data'!$H$85</f>
        <v>kg</v>
      </c>
      <c r="E12" s="901" t="s">
        <v>1052</v>
      </c>
      <c r="F12" s="260">
        <f>'HyARC Physical Property Data'!$E$45</f>
        <v>19.551069237418005</v>
      </c>
      <c r="G12" s="260">
        <f>'HyARC Physical Property Data'!$I$45</f>
        <v>20.588656379262464</v>
      </c>
      <c r="H12" s="965">
        <f t="shared" ref="H12:O12" si="43">1.27*($C$12)</f>
        <v>1.5382876898489906</v>
      </c>
      <c r="I12" s="965">
        <f t="shared" si="43"/>
        <v>1.5382876898489906</v>
      </c>
      <c r="J12" s="965">
        <f t="shared" si="43"/>
        <v>1.5382876898489906</v>
      </c>
      <c r="K12" s="965">
        <f t="shared" si="43"/>
        <v>1.5382876898489906</v>
      </c>
      <c r="L12" s="965">
        <f t="shared" si="43"/>
        <v>1.5382876898489906</v>
      </c>
      <c r="M12" s="965">
        <f t="shared" si="43"/>
        <v>1.5382876898489906</v>
      </c>
      <c r="N12" s="965">
        <f t="shared" si="43"/>
        <v>1.5382876898489906</v>
      </c>
      <c r="O12" s="965">
        <f t="shared" si="43"/>
        <v>1.5382876898489906</v>
      </c>
      <c r="P12" s="965">
        <f>1.28*($C$12)</f>
        <v>1.5504001913438645</v>
      </c>
      <c r="Q12" s="965">
        <f>1.32*($C$12)</f>
        <v>1.5988501973233604</v>
      </c>
      <c r="R12" s="965">
        <f>1.32*($C$12)</f>
        <v>1.5988501973233604</v>
      </c>
      <c r="S12" s="965">
        <f>1.34*($C$12)</f>
        <v>1.6230752003131084</v>
      </c>
      <c r="T12" s="965">
        <f>1.34*($C$12)</f>
        <v>1.6230752003131084</v>
      </c>
      <c r="U12" s="965">
        <f>1.36*($C$12)</f>
        <v>1.6473002033028561</v>
      </c>
      <c r="V12" s="965">
        <f>1.36*($C$12)</f>
        <v>1.6473002033028561</v>
      </c>
      <c r="W12" s="965">
        <f>1.38*($C$12)</f>
        <v>1.6715252062926038</v>
      </c>
      <c r="X12" s="965">
        <f>1.4*($C$12)</f>
        <v>1.6957502092823518</v>
      </c>
      <c r="Y12" s="965">
        <f>1.46*($C$12)</f>
        <v>1.7684252182515954</v>
      </c>
      <c r="Z12" s="965">
        <f>1.48*($C$12)</f>
        <v>1.7926502212413433</v>
      </c>
      <c r="AA12" s="965">
        <f>1.48*($C$12)</f>
        <v>1.7926502212413433</v>
      </c>
      <c r="AB12" s="965">
        <f>1.51*($C$12)</f>
        <v>1.8289877257259652</v>
      </c>
      <c r="AC12" s="965">
        <f>1.52*($C$12)</f>
        <v>1.8411002272208392</v>
      </c>
      <c r="AD12" s="965">
        <f>1.62*($C$12)</f>
        <v>1.9622252421695787</v>
      </c>
      <c r="AE12" s="965">
        <f>1.72*($C$12)</f>
        <v>2.083350257118318</v>
      </c>
      <c r="AF12" s="965">
        <f>1.82*($C$12)</f>
        <v>2.2044752720670573</v>
      </c>
      <c r="AG12" s="965">
        <f>1.91*($C$12)</f>
        <v>2.3134877855209228</v>
      </c>
      <c r="AH12" s="965">
        <f>2.01*($C$12)</f>
        <v>2.4346128004696621</v>
      </c>
      <c r="AI12" s="965">
        <f>2.11*($C$12)</f>
        <v>2.5557378154184014</v>
      </c>
      <c r="AJ12" s="965">
        <f>2.2*($C$12)</f>
        <v>2.6647503288722674</v>
      </c>
      <c r="AK12" s="965">
        <f>2.3*($C$12)</f>
        <v>2.7858753438210062</v>
      </c>
      <c r="AL12" s="965">
        <f>2.4*($C$12)</f>
        <v>2.9070003587697459</v>
      </c>
      <c r="AM12" s="965">
        <f>2.5*($C$12)</f>
        <v>3.0281253737184857</v>
      </c>
      <c r="AN12" s="965">
        <f>2.57*($C$12)</f>
        <v>3.1129128841826028</v>
      </c>
      <c r="AO12" s="965">
        <f>2.64*($C$12)</f>
        <v>3.1977003946467208</v>
      </c>
      <c r="AP12" s="965">
        <f>2.71*($C$12)</f>
        <v>3.282487905110838</v>
      </c>
      <c r="AQ12" s="965">
        <f>2.78*($C$12)</f>
        <v>3.3672754155749556</v>
      </c>
      <c r="AR12" s="965">
        <f>2.85*($C$12)</f>
        <v>3.4520629260390736</v>
      </c>
      <c r="AS12" s="965">
        <f>2.92*($C$12)</f>
        <v>3.5368504365031908</v>
      </c>
      <c r="AT12" s="965">
        <f>2.99*($C$12)</f>
        <v>3.6216379469673088</v>
      </c>
      <c r="AU12" s="965">
        <f>3.07*($C$12)</f>
        <v>3.7185379589263001</v>
      </c>
      <c r="AV12" s="965">
        <f>3.14*($C$12)</f>
        <v>3.8033254693904177</v>
      </c>
      <c r="AW12" s="965">
        <f>3.21*($C$12)</f>
        <v>3.8881129798545353</v>
      </c>
      <c r="AX12" s="965">
        <f>3.28*($C$12)</f>
        <v>3.9729004903186529</v>
      </c>
      <c r="AY12" s="965">
        <f>3.35*($C$12)</f>
        <v>4.0576880007827709</v>
      </c>
      <c r="AZ12" s="965">
        <f>3.42*($C$12)</f>
        <v>4.1424755112468876</v>
      </c>
      <c r="BA12" s="965">
        <f>3.49*($C$12)</f>
        <v>4.2272630217110061</v>
      </c>
      <c r="BB12" s="965">
        <f>3.56*($C$12)</f>
        <v>4.3120505321751237</v>
      </c>
      <c r="BC12" s="965">
        <f>3.64*($C$12)</f>
        <v>4.4089505441341146</v>
      </c>
      <c r="BD12" s="965">
        <f>3.71*($C$12)</f>
        <v>4.4937380545982322</v>
      </c>
      <c r="BE12" s="965">
        <f>3.78*($C$12)</f>
        <v>4.5785255650623498</v>
      </c>
      <c r="BF12" s="965">
        <f>3.85*($C$12)</f>
        <v>4.6633130755264673</v>
      </c>
      <c r="BG12" s="965">
        <f>3.92*($C$12)</f>
        <v>4.7481005859905849</v>
      </c>
      <c r="BH12" s="965">
        <f>3.99*($C$12)</f>
        <v>4.8328880964547034</v>
      </c>
      <c r="BI12" s="965">
        <f>4.06*($C$12)</f>
        <v>4.9176756069188201</v>
      </c>
      <c r="BJ12" s="965">
        <f>4.14*($C$12)</f>
        <v>5.0145756188778119</v>
      </c>
      <c r="BK12" s="965">
        <f>4.21*($C$12)</f>
        <v>5.0993631293419295</v>
      </c>
      <c r="BL12" s="965">
        <f>4.28*($C$12)</f>
        <v>5.1841506398060471</v>
      </c>
      <c r="BM12" s="965">
        <f>4.35*($C$12)</f>
        <v>5.2689381502701647</v>
      </c>
      <c r="BN12" s="965">
        <f>4.42*($C$12)</f>
        <v>5.3537256607342822</v>
      </c>
      <c r="BO12" s="965">
        <f>4.49*($C$12)</f>
        <v>5.4385131711983998</v>
      </c>
      <c r="BP12" s="965">
        <f>4.56*($C$12)</f>
        <v>5.5233006816625174</v>
      </c>
      <c r="BQ12" s="965">
        <f>4.63*($C$12)</f>
        <v>5.608088192126635</v>
      </c>
      <c r="BR12" s="965">
        <f>4.71*($C$12)</f>
        <v>5.7049882040856268</v>
      </c>
      <c r="BS12" s="965">
        <f>4.78*($C$12)</f>
        <v>5.7897757145497444</v>
      </c>
      <c r="BT12" s="965">
        <f>4.85*($C$12)</f>
        <v>5.8745632250138611</v>
      </c>
      <c r="BU12" s="965">
        <f>4.92*($C$12)</f>
        <v>5.9593507354779796</v>
      </c>
      <c r="BV12" s="966">
        <f>4.99*($C$12)</f>
        <v>6.0441382459420971</v>
      </c>
      <c r="BW12" s="1398">
        <f>+BV12*BW$137/BV$137</f>
        <v>6.0586659764672328</v>
      </c>
      <c r="BX12" s="1398">
        <f t="shared" ref="BX12:CZ12" si="44">+BW12*BX$137/BW$137</f>
        <v>6.0732286259412112</v>
      </c>
      <c r="BY12" s="1398">
        <f t="shared" si="44"/>
        <v>6.0878262782954495</v>
      </c>
      <c r="BZ12" s="1398">
        <f t="shared" si="44"/>
        <v>6.1024590176630999</v>
      </c>
      <c r="CA12" s="1398">
        <f t="shared" si="44"/>
        <v>6.1171269283795393</v>
      </c>
      <c r="CB12" s="1398">
        <f t="shared" si="44"/>
        <v>6.1299667153690152</v>
      </c>
      <c r="CC12" s="1398">
        <f t="shared" si="44"/>
        <v>6.1428334529403346</v>
      </c>
      <c r="CD12" s="1398">
        <f t="shared" si="44"/>
        <v>6.155727197662495</v>
      </c>
      <c r="CE12" s="1398">
        <f t="shared" si="44"/>
        <v>6.1686480062232301</v>
      </c>
      <c r="CF12" s="1398">
        <f t="shared" si="44"/>
        <v>6.18159593542926</v>
      </c>
      <c r="CG12" s="1398">
        <f t="shared" si="44"/>
        <v>6.197524392005751</v>
      </c>
      <c r="CH12" s="1398">
        <f t="shared" si="44"/>
        <v>6.2134938923080965</v>
      </c>
      <c r="CI12" s="1398">
        <f t="shared" si="44"/>
        <v>6.229504542095909</v>
      </c>
      <c r="CJ12" s="1398">
        <f t="shared" si="44"/>
        <v>6.245556447401321</v>
      </c>
      <c r="CK12" s="1398">
        <f t="shared" si="44"/>
        <v>6.2616497145296828</v>
      </c>
      <c r="CL12" s="1398">
        <f t="shared" si="44"/>
        <v>6.2750522655841658</v>
      </c>
      <c r="CM12" s="1398">
        <f t="shared" si="44"/>
        <v>6.2884835037072264</v>
      </c>
      <c r="CN12" s="1398">
        <f t="shared" si="44"/>
        <v>6.3019434903011975</v>
      </c>
      <c r="CO12" s="1398">
        <f t="shared" si="44"/>
        <v>6.3154322868998385</v>
      </c>
      <c r="CP12" s="1398">
        <f t="shared" si="44"/>
        <v>6.3289499551686168</v>
      </c>
      <c r="CQ12" s="1398">
        <f t="shared" si="44"/>
        <v>6.3413225489579119</v>
      </c>
      <c r="CR12" s="1398">
        <f t="shared" si="44"/>
        <v>6.3537193301840116</v>
      </c>
      <c r="CS12" s="1398">
        <f t="shared" si="44"/>
        <v>6.3661403461314299</v>
      </c>
      <c r="CT12" s="1398">
        <f t="shared" si="44"/>
        <v>6.3785856441771198</v>
      </c>
      <c r="CU12" s="1398">
        <f t="shared" si="44"/>
        <v>6.3910552717906537</v>
      </c>
      <c r="CV12" s="1398">
        <f t="shared" si="44"/>
        <v>6.4057772391562917</v>
      </c>
      <c r="CW12" s="1398">
        <f t="shared" si="44"/>
        <v>6.4205331189689208</v>
      </c>
      <c r="CX12" s="1398">
        <f t="shared" si="44"/>
        <v>6.4353229893467718</v>
      </c>
      <c r="CY12" s="1398">
        <f t="shared" si="44"/>
        <v>6.4501469285880244</v>
      </c>
      <c r="CZ12" s="1398">
        <f t="shared" si="44"/>
        <v>6.4650050151712186</v>
      </c>
    </row>
    <row r="13" spans="1:104" x14ac:dyDescent="0.25">
      <c r="A13" s="964" t="str">
        <f>'HyARC Physical Property Data'!A86</f>
        <v>Woody Biomass B2A</v>
      </c>
      <c r="B13" s="260">
        <v>2007</v>
      </c>
      <c r="C13" s="874">
        <f>VLOOKUP(ref_year,DeflatorTable,2,FALSE)/VLOOKUP(B13,DeflatorTable,2,FALSE)</f>
        <v>1.1446359956438654</v>
      </c>
      <c r="D13" s="1260" t="str">
        <f>+'HyARC Physical Property Data'!$H$86</f>
        <v>kg</v>
      </c>
      <c r="E13" s="901" t="s">
        <v>1052</v>
      </c>
      <c r="F13" s="260">
        <f>'HyARC Physical Property Data'!$E$45</f>
        <v>19.551069237418005</v>
      </c>
      <c r="G13" s="260">
        <f>'HyARC Physical Property Data'!$I$45</f>
        <v>20.588656379262464</v>
      </c>
      <c r="H13" s="965">
        <f>3.80872262322035*($C$13)</f>
        <v>4.3596010119611401</v>
      </c>
      <c r="I13" s="965">
        <f>3.80872262322035*($C$13)</f>
        <v>4.3596010119611401</v>
      </c>
      <c r="J13" s="965">
        <f>3.80872262322035*($C$13)</f>
        <v>4.3596010119611401</v>
      </c>
      <c r="K13" s="965">
        <f>3.80872262322035*($C$13)</f>
        <v>4.3596010119611401</v>
      </c>
      <c r="L13" s="965">
        <f>3.58036841709093*($C$13)</f>
        <v>4.0982185678687273</v>
      </c>
      <c r="M13" s="965">
        <f>3.28153451771169*($C$13)</f>
        <v>3.756162529920632</v>
      </c>
      <c r="N13" s="965">
        <f>3.05599949931226*($C$13)</f>
        <v>3.498007029582443</v>
      </c>
      <c r="O13" s="965">
        <f>2.9206784882726*($C$13)</f>
        <v>3.3431137293795268</v>
      </c>
      <c r="P13" s="965">
        <f t="shared" ref="P13:BV13" si="45">2.85865635821276*($C$13)</f>
        <v>3.2721209667865292</v>
      </c>
      <c r="Q13" s="965">
        <f t="shared" si="45"/>
        <v>3.2721209667865292</v>
      </c>
      <c r="R13" s="965">
        <f t="shared" si="45"/>
        <v>3.2721209667865292</v>
      </c>
      <c r="S13" s="965">
        <f t="shared" si="45"/>
        <v>3.2721209667865292</v>
      </c>
      <c r="T13" s="965">
        <f t="shared" si="45"/>
        <v>3.2721209667865292</v>
      </c>
      <c r="U13" s="965">
        <f t="shared" si="45"/>
        <v>3.2721209667865292</v>
      </c>
      <c r="V13" s="965">
        <f t="shared" si="45"/>
        <v>3.2721209667865292</v>
      </c>
      <c r="W13" s="965">
        <f t="shared" si="45"/>
        <v>3.2721209667865292</v>
      </c>
      <c r="X13" s="965">
        <f t="shared" si="45"/>
        <v>3.2721209667865292</v>
      </c>
      <c r="Y13" s="965">
        <f t="shared" si="45"/>
        <v>3.2721209667865292</v>
      </c>
      <c r="Z13" s="965">
        <f t="shared" si="45"/>
        <v>3.2721209667865292</v>
      </c>
      <c r="AA13" s="965">
        <f t="shared" si="45"/>
        <v>3.2721209667865292</v>
      </c>
      <c r="AB13" s="965">
        <f t="shared" si="45"/>
        <v>3.2721209667865292</v>
      </c>
      <c r="AC13" s="965">
        <f t="shared" si="45"/>
        <v>3.2721209667865292</v>
      </c>
      <c r="AD13" s="965">
        <f t="shared" si="45"/>
        <v>3.2721209667865292</v>
      </c>
      <c r="AE13" s="965">
        <f t="shared" si="45"/>
        <v>3.2721209667865292</v>
      </c>
      <c r="AF13" s="965">
        <f t="shared" si="45"/>
        <v>3.2721209667865292</v>
      </c>
      <c r="AG13" s="965">
        <f t="shared" si="45"/>
        <v>3.2721209667865292</v>
      </c>
      <c r="AH13" s="965">
        <f t="shared" si="45"/>
        <v>3.2721209667865292</v>
      </c>
      <c r="AI13" s="965">
        <f t="shared" si="45"/>
        <v>3.2721209667865292</v>
      </c>
      <c r="AJ13" s="965">
        <f t="shared" si="45"/>
        <v>3.2721209667865292</v>
      </c>
      <c r="AK13" s="965">
        <f t="shared" si="45"/>
        <v>3.2721209667865292</v>
      </c>
      <c r="AL13" s="965">
        <f t="shared" si="45"/>
        <v>3.2721209667865292</v>
      </c>
      <c r="AM13" s="965">
        <f t="shared" si="45"/>
        <v>3.2721209667865292</v>
      </c>
      <c r="AN13" s="965">
        <f t="shared" si="45"/>
        <v>3.2721209667865292</v>
      </c>
      <c r="AO13" s="965">
        <f t="shared" si="45"/>
        <v>3.2721209667865292</v>
      </c>
      <c r="AP13" s="965">
        <f t="shared" si="45"/>
        <v>3.2721209667865292</v>
      </c>
      <c r="AQ13" s="965">
        <f t="shared" si="45"/>
        <v>3.2721209667865292</v>
      </c>
      <c r="AR13" s="965">
        <f t="shared" si="45"/>
        <v>3.2721209667865292</v>
      </c>
      <c r="AS13" s="965">
        <f t="shared" si="45"/>
        <v>3.2721209667865292</v>
      </c>
      <c r="AT13" s="965">
        <f t="shared" si="45"/>
        <v>3.2721209667865292</v>
      </c>
      <c r="AU13" s="965">
        <f t="shared" si="45"/>
        <v>3.2721209667865292</v>
      </c>
      <c r="AV13" s="965">
        <f t="shared" si="45"/>
        <v>3.2721209667865292</v>
      </c>
      <c r="AW13" s="965">
        <f t="shared" si="45"/>
        <v>3.2721209667865292</v>
      </c>
      <c r="AX13" s="965">
        <f t="shared" si="45"/>
        <v>3.2721209667865292</v>
      </c>
      <c r="AY13" s="965">
        <f t="shared" si="45"/>
        <v>3.2721209667865292</v>
      </c>
      <c r="AZ13" s="965">
        <f t="shared" si="45"/>
        <v>3.2721209667865292</v>
      </c>
      <c r="BA13" s="965">
        <f t="shared" si="45"/>
        <v>3.2721209667865292</v>
      </c>
      <c r="BB13" s="965">
        <f t="shared" si="45"/>
        <v>3.2721209667865292</v>
      </c>
      <c r="BC13" s="965">
        <f t="shared" si="45"/>
        <v>3.2721209667865292</v>
      </c>
      <c r="BD13" s="965">
        <f t="shared" si="45"/>
        <v>3.2721209667865292</v>
      </c>
      <c r="BE13" s="965">
        <f t="shared" si="45"/>
        <v>3.2721209667865292</v>
      </c>
      <c r="BF13" s="965">
        <f t="shared" si="45"/>
        <v>3.2721209667865292</v>
      </c>
      <c r="BG13" s="965">
        <f t="shared" si="45"/>
        <v>3.2721209667865292</v>
      </c>
      <c r="BH13" s="965">
        <f t="shared" si="45"/>
        <v>3.2721209667865292</v>
      </c>
      <c r="BI13" s="965">
        <f t="shared" si="45"/>
        <v>3.2721209667865292</v>
      </c>
      <c r="BJ13" s="965">
        <f t="shared" si="45"/>
        <v>3.2721209667865292</v>
      </c>
      <c r="BK13" s="965">
        <f t="shared" si="45"/>
        <v>3.2721209667865292</v>
      </c>
      <c r="BL13" s="965">
        <f t="shared" si="45"/>
        <v>3.2721209667865292</v>
      </c>
      <c r="BM13" s="965">
        <f t="shared" si="45"/>
        <v>3.2721209667865292</v>
      </c>
      <c r="BN13" s="965">
        <f t="shared" si="45"/>
        <v>3.2721209667865292</v>
      </c>
      <c r="BO13" s="965">
        <f t="shared" si="45"/>
        <v>3.2721209667865292</v>
      </c>
      <c r="BP13" s="965">
        <f t="shared" si="45"/>
        <v>3.2721209667865292</v>
      </c>
      <c r="BQ13" s="965">
        <f t="shared" si="45"/>
        <v>3.2721209667865292</v>
      </c>
      <c r="BR13" s="965">
        <f t="shared" si="45"/>
        <v>3.2721209667865292</v>
      </c>
      <c r="BS13" s="965">
        <f t="shared" si="45"/>
        <v>3.2721209667865292</v>
      </c>
      <c r="BT13" s="965">
        <f t="shared" si="45"/>
        <v>3.2721209667865292</v>
      </c>
      <c r="BU13" s="965">
        <f t="shared" si="45"/>
        <v>3.2721209667865292</v>
      </c>
      <c r="BV13" s="966">
        <f t="shared" si="45"/>
        <v>3.2721209667865292</v>
      </c>
      <c r="BW13" s="1398">
        <f>+BV13*BW$137/BV$137</f>
        <v>3.2799858583089949</v>
      </c>
      <c r="BX13" s="1398">
        <f t="shared" ref="BX13:CZ13" si="46">+BW13*BX$137/BW$137</f>
        <v>3.2878696539365619</v>
      </c>
      <c r="BY13" s="1398">
        <f t="shared" si="46"/>
        <v>3.2957723991072623</v>
      </c>
      <c r="BZ13" s="1398">
        <f t="shared" si="46"/>
        <v>3.3036941393683414</v>
      </c>
      <c r="CA13" s="1398">
        <f t="shared" si="46"/>
        <v>3.3116349203765254</v>
      </c>
      <c r="CB13" s="1398">
        <f t="shared" si="46"/>
        <v>3.3185860082748779</v>
      </c>
      <c r="CC13" s="1398">
        <f t="shared" si="46"/>
        <v>3.3255516864357837</v>
      </c>
      <c r="CD13" s="1398">
        <f t="shared" si="46"/>
        <v>3.332531985484056</v>
      </c>
      <c r="CE13" s="1398">
        <f t="shared" si="46"/>
        <v>3.3395269361087871</v>
      </c>
      <c r="CF13" s="1398">
        <f t="shared" si="46"/>
        <v>3.3465365690634874</v>
      </c>
      <c r="CG13" s="1398">
        <f t="shared" si="46"/>
        <v>3.3551597730028546</v>
      </c>
      <c r="CH13" s="1398">
        <f t="shared" si="46"/>
        <v>3.3638051968237757</v>
      </c>
      <c r="CI13" s="1398">
        <f t="shared" si="46"/>
        <v>3.3724728977814351</v>
      </c>
      <c r="CJ13" s="1398">
        <f t="shared" si="46"/>
        <v>3.3811629332785507</v>
      </c>
      <c r="CK13" s="1398">
        <f t="shared" si="46"/>
        <v>3.3898753608657524</v>
      </c>
      <c r="CL13" s="1398">
        <f t="shared" si="46"/>
        <v>3.3971311128901611</v>
      </c>
      <c r="CM13" s="1398">
        <f t="shared" si="46"/>
        <v>3.4044023952606257</v>
      </c>
      <c r="CN13" s="1398">
        <f t="shared" si="46"/>
        <v>3.4116892412185864</v>
      </c>
      <c r="CO13" s="1398">
        <f t="shared" si="46"/>
        <v>3.4189916840766337</v>
      </c>
      <c r="CP13" s="1398">
        <f t="shared" si="46"/>
        <v>3.4263097572186623</v>
      </c>
      <c r="CQ13" s="1398">
        <f t="shared" si="46"/>
        <v>3.4330079202824653</v>
      </c>
      <c r="CR13" s="1398">
        <f t="shared" si="46"/>
        <v>3.4397191777223193</v>
      </c>
      <c r="CS13" s="1398">
        <f t="shared" si="46"/>
        <v>3.4464435551366885</v>
      </c>
      <c r="CT13" s="1398">
        <f t="shared" si="46"/>
        <v>3.453181078174079</v>
      </c>
      <c r="CU13" s="1398">
        <f t="shared" si="46"/>
        <v>3.4599317725331393</v>
      </c>
      <c r="CV13" s="1398">
        <f t="shared" si="46"/>
        <v>3.467901818241772</v>
      </c>
      <c r="CW13" s="1398">
        <f t="shared" si="46"/>
        <v>3.4758902231646247</v>
      </c>
      <c r="CX13" s="1398">
        <f t="shared" si="46"/>
        <v>3.4838970295926392</v>
      </c>
      <c r="CY13" s="1398">
        <f t="shared" si="46"/>
        <v>3.4919222799141783</v>
      </c>
      <c r="CZ13" s="1398">
        <f t="shared" si="46"/>
        <v>3.4999660166152444</v>
      </c>
    </row>
    <row r="14" spans="1:104" x14ac:dyDescent="0.25">
      <c r="A14" s="964" t="str">
        <f>'HyARC Physical Property Data'!$A$87</f>
        <v>Woody Biomass MYPP</v>
      </c>
      <c r="B14" s="260">
        <v>2007</v>
      </c>
      <c r="C14" s="874">
        <f>VLOOKUP(ref_year,DeflatorTable,2,FALSE)/VLOOKUP(B14,DeflatorTable,2,FALSE)</f>
        <v>1.1446359956438654</v>
      </c>
      <c r="D14" s="1260" t="str">
        <f>+'HyARC Physical Property Data'!$H$87</f>
        <v>kg</v>
      </c>
      <c r="E14" s="901" t="s">
        <v>1052</v>
      </c>
      <c r="F14" s="260">
        <v>18.608000000000001</v>
      </c>
      <c r="G14" s="260"/>
      <c r="H14" s="260">
        <f>4.44432502149613*$C$14</f>
        <v>5.0871343959451663</v>
      </c>
      <c r="I14" s="260">
        <f t="shared" ref="I14:N14" si="47">4.44432502149613*$C$14</f>
        <v>5.0871343959451663</v>
      </c>
      <c r="J14" s="260">
        <f t="shared" si="47"/>
        <v>5.0871343959451663</v>
      </c>
      <c r="K14" s="260">
        <f t="shared" si="47"/>
        <v>5.0871343959451663</v>
      </c>
      <c r="L14" s="260">
        <f t="shared" si="47"/>
        <v>5.0871343959451663</v>
      </c>
      <c r="M14" s="260">
        <f t="shared" si="47"/>
        <v>5.0871343959451663</v>
      </c>
      <c r="N14" s="260">
        <f t="shared" si="47"/>
        <v>5.0871343959451663</v>
      </c>
      <c r="O14" s="965">
        <f t="shared" ref="O14:T14" si="48">N14-($N$14-$U$14)/7</f>
        <v>4.9664808197552768</v>
      </c>
      <c r="P14" s="965">
        <f t="shared" si="48"/>
        <v>4.8458272435653873</v>
      </c>
      <c r="Q14" s="965">
        <f t="shared" si="48"/>
        <v>4.7251736673754978</v>
      </c>
      <c r="R14" s="965">
        <f t="shared" si="48"/>
        <v>4.6045200911856083</v>
      </c>
      <c r="S14" s="965">
        <f t="shared" si="48"/>
        <v>4.4838665149957189</v>
      </c>
      <c r="T14" s="965">
        <f t="shared" si="48"/>
        <v>4.3632129388058294</v>
      </c>
      <c r="U14" s="965">
        <f>3.70647033533964*$C$14</f>
        <v>4.2425593626159408</v>
      </c>
      <c r="V14" s="965">
        <f t="shared" ref="V14:BV14" si="49">3.70647033533964*$C$14</f>
        <v>4.2425593626159408</v>
      </c>
      <c r="W14" s="965">
        <f t="shared" si="49"/>
        <v>4.2425593626159408</v>
      </c>
      <c r="X14" s="965">
        <f t="shared" si="49"/>
        <v>4.2425593626159408</v>
      </c>
      <c r="Y14" s="965">
        <f t="shared" si="49"/>
        <v>4.2425593626159408</v>
      </c>
      <c r="Z14" s="965">
        <f t="shared" si="49"/>
        <v>4.2425593626159408</v>
      </c>
      <c r="AA14" s="965">
        <f t="shared" si="49"/>
        <v>4.2425593626159408</v>
      </c>
      <c r="AB14" s="965">
        <f t="shared" si="49"/>
        <v>4.2425593626159408</v>
      </c>
      <c r="AC14" s="965">
        <f t="shared" si="49"/>
        <v>4.2425593626159408</v>
      </c>
      <c r="AD14" s="965">
        <f t="shared" si="49"/>
        <v>4.2425593626159408</v>
      </c>
      <c r="AE14" s="965">
        <f t="shared" si="49"/>
        <v>4.2425593626159408</v>
      </c>
      <c r="AF14" s="965">
        <f t="shared" si="49"/>
        <v>4.2425593626159408</v>
      </c>
      <c r="AG14" s="965">
        <f t="shared" si="49"/>
        <v>4.2425593626159408</v>
      </c>
      <c r="AH14" s="965">
        <f t="shared" si="49"/>
        <v>4.2425593626159408</v>
      </c>
      <c r="AI14" s="965">
        <f t="shared" si="49"/>
        <v>4.2425593626159408</v>
      </c>
      <c r="AJ14" s="965">
        <f t="shared" si="49"/>
        <v>4.2425593626159408</v>
      </c>
      <c r="AK14" s="965">
        <f t="shared" si="49"/>
        <v>4.2425593626159408</v>
      </c>
      <c r="AL14" s="965">
        <f t="shared" si="49"/>
        <v>4.2425593626159408</v>
      </c>
      <c r="AM14" s="965">
        <f t="shared" si="49"/>
        <v>4.2425593626159408</v>
      </c>
      <c r="AN14" s="965">
        <f t="shared" si="49"/>
        <v>4.2425593626159408</v>
      </c>
      <c r="AO14" s="965">
        <f t="shared" si="49"/>
        <v>4.2425593626159408</v>
      </c>
      <c r="AP14" s="965">
        <f t="shared" si="49"/>
        <v>4.2425593626159408</v>
      </c>
      <c r="AQ14" s="965">
        <f t="shared" si="49"/>
        <v>4.2425593626159408</v>
      </c>
      <c r="AR14" s="965">
        <f t="shared" si="49"/>
        <v>4.2425593626159408</v>
      </c>
      <c r="AS14" s="965">
        <f t="shared" si="49"/>
        <v>4.2425593626159408</v>
      </c>
      <c r="AT14" s="965">
        <f t="shared" si="49"/>
        <v>4.2425593626159408</v>
      </c>
      <c r="AU14" s="965">
        <f t="shared" si="49"/>
        <v>4.2425593626159408</v>
      </c>
      <c r="AV14" s="965">
        <f t="shared" si="49"/>
        <v>4.2425593626159408</v>
      </c>
      <c r="AW14" s="965">
        <f t="shared" si="49"/>
        <v>4.2425593626159408</v>
      </c>
      <c r="AX14" s="965">
        <f t="shared" si="49"/>
        <v>4.2425593626159408</v>
      </c>
      <c r="AY14" s="965">
        <f t="shared" si="49"/>
        <v>4.2425593626159408</v>
      </c>
      <c r="AZ14" s="965">
        <f t="shared" si="49"/>
        <v>4.2425593626159408</v>
      </c>
      <c r="BA14" s="965">
        <f t="shared" si="49"/>
        <v>4.2425593626159408</v>
      </c>
      <c r="BB14" s="965">
        <f t="shared" si="49"/>
        <v>4.2425593626159408</v>
      </c>
      <c r="BC14" s="965">
        <f t="shared" si="49"/>
        <v>4.2425593626159408</v>
      </c>
      <c r="BD14" s="965">
        <f t="shared" si="49"/>
        <v>4.2425593626159408</v>
      </c>
      <c r="BE14" s="965">
        <f t="shared" si="49"/>
        <v>4.2425593626159408</v>
      </c>
      <c r="BF14" s="965">
        <f t="shared" si="49"/>
        <v>4.2425593626159408</v>
      </c>
      <c r="BG14" s="965">
        <f t="shared" si="49"/>
        <v>4.2425593626159408</v>
      </c>
      <c r="BH14" s="965">
        <f t="shared" si="49"/>
        <v>4.2425593626159408</v>
      </c>
      <c r="BI14" s="965">
        <f t="shared" si="49"/>
        <v>4.2425593626159408</v>
      </c>
      <c r="BJ14" s="965">
        <f t="shared" si="49"/>
        <v>4.2425593626159408</v>
      </c>
      <c r="BK14" s="965">
        <f t="shared" si="49"/>
        <v>4.2425593626159408</v>
      </c>
      <c r="BL14" s="965">
        <f t="shared" si="49"/>
        <v>4.2425593626159408</v>
      </c>
      <c r="BM14" s="965">
        <f t="shared" si="49"/>
        <v>4.2425593626159408</v>
      </c>
      <c r="BN14" s="965">
        <f t="shared" si="49"/>
        <v>4.2425593626159408</v>
      </c>
      <c r="BO14" s="965">
        <f t="shared" si="49"/>
        <v>4.2425593626159408</v>
      </c>
      <c r="BP14" s="965">
        <f t="shared" si="49"/>
        <v>4.2425593626159408</v>
      </c>
      <c r="BQ14" s="965">
        <f t="shared" si="49"/>
        <v>4.2425593626159408</v>
      </c>
      <c r="BR14" s="965">
        <f t="shared" si="49"/>
        <v>4.2425593626159408</v>
      </c>
      <c r="BS14" s="965">
        <f t="shared" si="49"/>
        <v>4.2425593626159408</v>
      </c>
      <c r="BT14" s="965">
        <f t="shared" si="49"/>
        <v>4.2425593626159408</v>
      </c>
      <c r="BU14" s="965">
        <f t="shared" si="49"/>
        <v>4.2425593626159408</v>
      </c>
      <c r="BV14" s="965">
        <f t="shared" si="49"/>
        <v>4.2425593626159408</v>
      </c>
      <c r="BW14" s="1398">
        <f>+BV14*BW$137/BV$137</f>
        <v>4.2527568062628252</v>
      </c>
      <c r="BX14" s="1398">
        <f t="shared" ref="BX14:CZ14" si="50">+BW14*BX$137/BW$137</f>
        <v>4.2629787605524712</v>
      </c>
      <c r="BY14" s="1398">
        <f t="shared" si="50"/>
        <v>4.2732252843988219</v>
      </c>
      <c r="BZ14" s="1398">
        <f t="shared" si="50"/>
        <v>4.2834964368574244</v>
      </c>
      <c r="CA14" s="1398">
        <f t="shared" si="50"/>
        <v>4.2937922771257746</v>
      </c>
      <c r="CB14" s="1398">
        <f t="shared" si="50"/>
        <v>4.302804903291757</v>
      </c>
      <c r="CC14" s="1398">
        <f t="shared" si="50"/>
        <v>4.3118364468680763</v>
      </c>
      <c r="CD14" s="1398">
        <f t="shared" si="50"/>
        <v>4.3208869475621841</v>
      </c>
      <c r="CE14" s="1398">
        <f t="shared" si="50"/>
        <v>4.3299564451648767</v>
      </c>
      <c r="CF14" s="1398">
        <f t="shared" si="50"/>
        <v>4.3390449795504713</v>
      </c>
      <c r="CG14" s="1398">
        <f t="shared" si="50"/>
        <v>4.3502256342328796</v>
      </c>
      <c r="CH14" s="1398">
        <f t="shared" si="50"/>
        <v>4.361435098720146</v>
      </c>
      <c r="CI14" s="1398">
        <f t="shared" si="50"/>
        <v>4.3726734472480695</v>
      </c>
      <c r="CJ14" s="1398">
        <f t="shared" si="50"/>
        <v>4.3839407542437394</v>
      </c>
      <c r="CK14" s="1398">
        <f t="shared" si="50"/>
        <v>4.3952370943260251</v>
      </c>
      <c r="CL14" s="1398">
        <f t="shared" si="50"/>
        <v>4.4046447412304142</v>
      </c>
      <c r="CM14" s="1398">
        <f t="shared" si="50"/>
        <v>4.4140725244365262</v>
      </c>
      <c r="CN14" s="1398">
        <f t="shared" si="50"/>
        <v>4.4235204870444758</v>
      </c>
      <c r="CO14" s="1398">
        <f t="shared" si="50"/>
        <v>4.4329886722466272</v>
      </c>
      <c r="CP14" s="1398">
        <f t="shared" si="50"/>
        <v>4.4424771233277953</v>
      </c>
      <c r="CQ14" s="1398">
        <f t="shared" si="50"/>
        <v>4.4511618127714661</v>
      </c>
      <c r="CR14" s="1398">
        <f t="shared" si="50"/>
        <v>4.4598634800922632</v>
      </c>
      <c r="CS14" s="1398">
        <f t="shared" si="50"/>
        <v>4.4685821584805847</v>
      </c>
      <c r="CT14" s="1398">
        <f t="shared" si="50"/>
        <v>4.4773178811917154</v>
      </c>
      <c r="CU14" s="1398">
        <f t="shared" si="50"/>
        <v>4.486070681545951</v>
      </c>
      <c r="CV14" s="1398">
        <f t="shared" si="50"/>
        <v>4.4964044657748525</v>
      </c>
      <c r="CW14" s="1398">
        <f t="shared" si="50"/>
        <v>4.5067620541531026</v>
      </c>
      <c r="CX14" s="1398">
        <f t="shared" si="50"/>
        <v>4.5171435015141972</v>
      </c>
      <c r="CY14" s="1398">
        <f t="shared" si="50"/>
        <v>4.5275488628179446</v>
      </c>
      <c r="CZ14" s="1398">
        <f t="shared" si="50"/>
        <v>4.537978193150753</v>
      </c>
    </row>
    <row r="15" spans="1:104" x14ac:dyDescent="0.25">
      <c r="A15" s="970" t="str">
        <f>'HyARC Physical Property Data'!A79</f>
        <v>Electric Utility Steam Coal</v>
      </c>
      <c r="B15" s="260">
        <v>2007</v>
      </c>
      <c r="C15" s="874">
        <f>VLOOKUP(ref_year,DeflatorTable,2,FALSE)/VLOOKUP(B15,DeflatorTable,2,FALSE)</f>
        <v>1.1446359956438654</v>
      </c>
      <c r="D15" s="1260" t="str">
        <f>+'HyARC Physical Property Data'!$H$79</f>
        <v>kg</v>
      </c>
      <c r="E15" s="901" t="s">
        <v>1052</v>
      </c>
      <c r="F15" s="260">
        <f>'HyARC Physical Property Data'!E42</f>
        <v>22.7322030001394</v>
      </c>
      <c r="G15" s="260">
        <f>'HyARC Physical Property Data'!I42</f>
        <v>23.967615189707661</v>
      </c>
      <c r="H15" s="260">
        <f>1.73552525043488*($C$15/mmBTU_to_GJ*$G$15/$F$15)</f>
        <v>1.9853138567637905</v>
      </c>
      <c r="I15" s="260">
        <f>1.73552525043488*($C$15/mmBTU_to_GJ*$G$15/$F$15)</f>
        <v>1.9853138567637905</v>
      </c>
      <c r="J15" s="260">
        <f>1.73552525043488*($C$15/mmBTU_to_GJ*$G$15/$F$15)</f>
        <v>1.9853138567637905</v>
      </c>
      <c r="K15" s="260">
        <f>1.78000020980835*($C$15/mmBTU_to_GJ*$G$15/$F$15)</f>
        <v>2.0361899549945894</v>
      </c>
      <c r="L15" s="260">
        <f>1.9310736656189*($C$15/mmBTU_to_GJ*$G$15/$F$15)</f>
        <v>2.2090069307975759</v>
      </c>
      <c r="M15" s="260">
        <f>1.98230564594269*($C$15/mmBTU_to_GJ*$G$15/$F$15)</f>
        <v>2.2676125664233231</v>
      </c>
      <c r="N15" s="260">
        <f>1.86225914955139*($C$15/mmBTU_to_GJ*$G$15/$F$15)</f>
        <v>2.13028816121408</v>
      </c>
      <c r="O15" s="260">
        <f>1.87335216999054*($C$15/mmBTU_to_GJ*$G$15/$F$15)</f>
        <v>2.1429777646558565</v>
      </c>
      <c r="P15" s="260">
        <f>1.85759365558624*($C$15/mmBTU_to_GJ*$G$15/$F$15)</f>
        <v>2.1249511776033034</v>
      </c>
      <c r="Q15" s="260">
        <f>1.88174879550934*($C$15/mmBTU_to_GJ*$G$15/$F$15)</f>
        <v>2.152582889668214</v>
      </c>
      <c r="R15" s="260">
        <f>1.90431761741638*($C$15/mmBTU_to_GJ*$G$15/$F$15)</f>
        <v>2.1783999700314376</v>
      </c>
      <c r="S15" s="260">
        <f>1.90719401836395*($C$15/mmBTU_to_GJ*$G$15/$F$15)</f>
        <v>2.1816903621806665</v>
      </c>
      <c r="T15" s="260">
        <f>1.91704928874969*($C$15/mmBTU_to_GJ*$G$15/$F$15)</f>
        <v>2.1929640701570041</v>
      </c>
      <c r="U15" s="260">
        <f>1.92595064640045*($C$15/mmBTU_to_GJ*$G$15/$F$15)</f>
        <v>2.203146571785048</v>
      </c>
      <c r="V15" s="260">
        <f>1.94080138206482*($C$15/mmBTU_to_GJ*$G$15/$F$15)</f>
        <v>2.2201347264029208</v>
      </c>
      <c r="W15" s="260">
        <f>1.94636797904968*($C$15/mmBTU_to_GJ*$G$15/$F$15)</f>
        <v>2.2265025059130679</v>
      </c>
      <c r="X15" s="260">
        <f>1.95628917217255*($C$15/mmBTU_to_GJ*$G$15/$F$15)</f>
        <v>2.2378516246755447</v>
      </c>
      <c r="Y15" s="260">
        <f>1.96225011348724*($C$15/mmBTU_to_GJ*$G$15/$F$15)</f>
        <v>2.2446705052354474</v>
      </c>
      <c r="Z15" s="260">
        <f>1.97535526752472*($C$15/mmBTU_to_GJ*$G$15/$F$15)</f>
        <v>2.2596618422379557</v>
      </c>
      <c r="AA15" s="260">
        <f>1.98115420341492*($C$15/mmBTU_to_GJ*$G$15/$F$15)</f>
        <v>2.2662954004500389</v>
      </c>
      <c r="AB15" s="260">
        <f>1.98549652099609*($C$15/mmBTU_to_GJ*$G$15/$F$15)</f>
        <v>2.2712626939320582</v>
      </c>
      <c r="AC15" s="260">
        <f>1.98988306522369*($C$15/mmBTU_to_GJ*$G$15/$F$15)</f>
        <v>2.2762805794604768</v>
      </c>
      <c r="AD15" s="260">
        <f>1.99634909629822*($C$15/mmBTU_to_GJ*$G$15/$F$15)</f>
        <v>2.2836772457361834</v>
      </c>
      <c r="AE15" s="260">
        <f>2.00744533538818*($C$15/mmBTU_to_GJ*$G$15/$F$15)</f>
        <v>2.2963705310789013</v>
      </c>
      <c r="AF15" s="260">
        <f>2.02021908760071*($C$15/mmBTU_to_GJ*$G$15/$F$15)</f>
        <v>2.3109827686502347</v>
      </c>
      <c r="AG15" s="260">
        <f>2.03361201286316*($C$15/mmBTU_to_GJ*$G$15/$F$15)</f>
        <v>2.3263032948710327</v>
      </c>
      <c r="AH15" s="260">
        <f>2.04451942443848*($C$15/mmBTU_to_GJ*$G$15/$F$15)</f>
        <v>2.3387805753580104</v>
      </c>
      <c r="AI15" s="260">
        <f>(($BB$15-$AH$15)/20+AH15)</f>
        <v>2.3439232584530902</v>
      </c>
      <c r="AJ15" s="260">
        <f t="shared" ref="AJ15:BA15" si="51">(($BB$15-$AH$15)/20+AI15)</f>
        <v>2.3490659415481701</v>
      </c>
      <c r="AK15" s="260">
        <f t="shared" si="51"/>
        <v>2.3542086246432499</v>
      </c>
      <c r="AL15" s="260">
        <f t="shared" si="51"/>
        <v>2.3593513077383297</v>
      </c>
      <c r="AM15" s="260">
        <f t="shared" si="51"/>
        <v>2.3644939908334095</v>
      </c>
      <c r="AN15" s="260">
        <f t="shared" si="51"/>
        <v>2.3696366739284893</v>
      </c>
      <c r="AO15" s="260">
        <f t="shared" si="51"/>
        <v>2.3747793570235691</v>
      </c>
      <c r="AP15" s="260">
        <f t="shared" si="51"/>
        <v>2.3799220401186489</v>
      </c>
      <c r="AQ15" s="260">
        <f t="shared" si="51"/>
        <v>2.3850647232137288</v>
      </c>
      <c r="AR15" s="260">
        <f t="shared" si="51"/>
        <v>2.3902074063088086</v>
      </c>
      <c r="AS15" s="260">
        <f t="shared" si="51"/>
        <v>2.3953500894038884</v>
      </c>
      <c r="AT15" s="260">
        <f t="shared" si="51"/>
        <v>2.4004927724989682</v>
      </c>
      <c r="AU15" s="260">
        <f t="shared" si="51"/>
        <v>2.405635455594048</v>
      </c>
      <c r="AV15" s="260">
        <f t="shared" si="51"/>
        <v>2.4107781386891278</v>
      </c>
      <c r="AW15" s="260">
        <f t="shared" si="51"/>
        <v>2.4159208217842076</v>
      </c>
      <c r="AX15" s="260">
        <f t="shared" si="51"/>
        <v>2.4210635048792875</v>
      </c>
      <c r="AY15" s="260">
        <f t="shared" si="51"/>
        <v>2.4262061879743673</v>
      </c>
      <c r="AZ15" s="260">
        <f t="shared" si="51"/>
        <v>2.4313488710694471</v>
      </c>
      <c r="BA15" s="260">
        <f t="shared" si="51"/>
        <v>2.4364915541645269</v>
      </c>
      <c r="BB15" s="1076">
        <f>(1.04397747398165*AH15)</f>
        <v>2.4416342372596058</v>
      </c>
      <c r="BC15" s="260">
        <f>(($BQ$15-$BB$15)/15+BB15)</f>
        <v>2.4462649790511035</v>
      </c>
      <c r="BD15" s="260">
        <f t="shared" ref="BD15:BP15" si="52">(($BQ$15-$BB$15)/15+BC15)</f>
        <v>2.4508957208426012</v>
      </c>
      <c r="BE15" s="260">
        <f t="shared" si="52"/>
        <v>2.4555264626340989</v>
      </c>
      <c r="BF15" s="260">
        <f t="shared" si="52"/>
        <v>2.4601572044255966</v>
      </c>
      <c r="BG15" s="260">
        <f t="shared" si="52"/>
        <v>2.4647879462170943</v>
      </c>
      <c r="BH15" s="260">
        <f t="shared" si="52"/>
        <v>2.469418688008592</v>
      </c>
      <c r="BI15" s="260">
        <f t="shared" si="52"/>
        <v>2.4740494298000897</v>
      </c>
      <c r="BJ15" s="260">
        <f t="shared" si="52"/>
        <v>2.4786801715915874</v>
      </c>
      <c r="BK15" s="260">
        <f t="shared" si="52"/>
        <v>2.4833109133830851</v>
      </c>
      <c r="BL15" s="260">
        <f t="shared" si="52"/>
        <v>2.4879416551745828</v>
      </c>
      <c r="BM15" s="260">
        <f t="shared" si="52"/>
        <v>2.4925723969660805</v>
      </c>
      <c r="BN15" s="260">
        <f t="shared" si="52"/>
        <v>2.4972031387575782</v>
      </c>
      <c r="BO15" s="260">
        <f t="shared" si="52"/>
        <v>2.5018338805490759</v>
      </c>
      <c r="BP15" s="260">
        <f t="shared" si="52"/>
        <v>2.5064646223405735</v>
      </c>
      <c r="BQ15" s="1076">
        <f>(1.02844862093285*BB15)</f>
        <v>2.511095364132073</v>
      </c>
      <c r="BR15" s="260">
        <f>(($BV$15-$BQ$15)/5+BQ15)</f>
        <v>2.5158578441414332</v>
      </c>
      <c r="BS15" s="260">
        <f>(($BV$15-$BQ$15)/5+BR15)</f>
        <v>2.5206203241507934</v>
      </c>
      <c r="BT15" s="260">
        <f>(($BV$15-$BQ$15)/5+BS15)</f>
        <v>2.5253828041601536</v>
      </c>
      <c r="BU15" s="260">
        <f>(($BV$15-$BQ$15)/5+BT15)</f>
        <v>2.5301452841695138</v>
      </c>
      <c r="BV15" s="1079">
        <f>(1.00948287364428*BQ15)</f>
        <v>2.5349077641788749</v>
      </c>
      <c r="BW15" s="1398">
        <f>+BV15*BW$138/BV$138</f>
        <v>2.5434781738814416</v>
      </c>
      <c r="BX15" s="1398">
        <f t="shared" ref="BX15:CZ15" si="53">+BW15*BX$138/BW$138</f>
        <v>2.5520775597556495</v>
      </c>
      <c r="BY15" s="1398">
        <f t="shared" si="53"/>
        <v>2.5607060197686384</v>
      </c>
      <c r="BZ15" s="1398">
        <f t="shared" si="53"/>
        <v>2.5693636522187702</v>
      </c>
      <c r="CA15" s="1398">
        <f t="shared" si="53"/>
        <v>2.5780505557367492</v>
      </c>
      <c r="CB15" s="1398">
        <f t="shared" si="53"/>
        <v>2.5854319192311639</v>
      </c>
      <c r="CC15" s="1398">
        <f t="shared" si="53"/>
        <v>2.592834416728135</v>
      </c>
      <c r="CD15" s="1398">
        <f t="shared" si="53"/>
        <v>2.6002581087376306</v>
      </c>
      <c r="CE15" s="1398">
        <f t="shared" si="53"/>
        <v>2.6077030559428676</v>
      </c>
      <c r="CF15" s="1398">
        <f t="shared" si="53"/>
        <v>2.6151693192008074</v>
      </c>
      <c r="CG15" s="1398">
        <f t="shared" si="53"/>
        <v>2.620869818974227</v>
      </c>
      <c r="CH15" s="1398">
        <f t="shared" si="53"/>
        <v>2.6265827445961101</v>
      </c>
      <c r="CI15" s="1398">
        <f t="shared" si="53"/>
        <v>2.6323081231521006</v>
      </c>
      <c r="CJ15" s="1398">
        <f t="shared" si="53"/>
        <v>2.6380459817868847</v>
      </c>
      <c r="CK15" s="1398">
        <f t="shared" si="53"/>
        <v>2.6437963477043169</v>
      </c>
      <c r="CL15" s="1398">
        <f t="shared" si="53"/>
        <v>2.6476946163242814</v>
      </c>
      <c r="CM15" s="1398">
        <f t="shared" si="53"/>
        <v>2.6515986329279162</v>
      </c>
      <c r="CN15" s="1398">
        <f t="shared" si="53"/>
        <v>2.6555084059906031</v>
      </c>
      <c r="CO15" s="1398">
        <f t="shared" si="53"/>
        <v>2.6594239440002214</v>
      </c>
      <c r="CP15" s="1398">
        <f t="shared" si="53"/>
        <v>2.6633452554571648</v>
      </c>
      <c r="CQ15" s="1398">
        <f t="shared" si="53"/>
        <v>2.6646584413422429</v>
      </c>
      <c r="CR15" s="1398">
        <f t="shared" si="53"/>
        <v>2.6659722747052119</v>
      </c>
      <c r="CS15" s="1398">
        <f t="shared" si="53"/>
        <v>2.6672867558653164</v>
      </c>
      <c r="CT15" s="1398">
        <f t="shared" si="53"/>
        <v>2.6686018851419582</v>
      </c>
      <c r="CU15" s="1398">
        <f t="shared" si="53"/>
        <v>2.6699176628546981</v>
      </c>
      <c r="CV15" s="1398">
        <f t="shared" si="53"/>
        <v>2.6680266065225413</v>
      </c>
      <c r="CW15" s="1398">
        <f t="shared" si="53"/>
        <v>2.6661368895927571</v>
      </c>
      <c r="CX15" s="1398">
        <f t="shared" si="53"/>
        <v>2.6642485111166696</v>
      </c>
      <c r="CY15" s="1398">
        <f t="shared" si="53"/>
        <v>2.662361470146275</v>
      </c>
      <c r="CZ15" s="1398">
        <f t="shared" si="53"/>
        <v>2.6604757657342417</v>
      </c>
    </row>
    <row r="16" spans="1:104" x14ac:dyDescent="0.25">
      <c r="A16" s="964" t="str">
        <f>'HyARC Physical Property Data'!A76</f>
        <v>Commercial Electricity</v>
      </c>
      <c r="B16" s="260">
        <v>2007</v>
      </c>
      <c r="C16" s="874">
        <f t="shared" si="37"/>
        <v>1.1446359956438654</v>
      </c>
      <c r="D16" s="1260" t="str">
        <f>'HyARC Physical Property Data'!$H$76</f>
        <v>kWh</v>
      </c>
      <c r="E16" s="874" t="s">
        <v>1071</v>
      </c>
      <c r="F16" s="874"/>
      <c r="G16" s="874"/>
      <c r="H16" s="260">
        <f>(28.3762531280518/(mmBTU_to_GJ))*($C$16)</f>
        <v>30.787185546796138</v>
      </c>
      <c r="I16" s="260">
        <f>(28.3762531280518/(mmBTU_to_GJ))*($C$16)</f>
        <v>30.787185546796138</v>
      </c>
      <c r="J16" s="260">
        <f>(28.3762531280518/(mmBTU_to_GJ))*($C$16)</f>
        <v>30.787185546796138</v>
      </c>
      <c r="K16" s="260">
        <f>(28.0297355651855/(mmBTU_to_GJ))*($C$16)</f>
        <v>30.411226802170969</v>
      </c>
      <c r="L16" s="260">
        <f>(29.057315826416/(mmBTU_to_GJ))*($C$16)</f>
        <v>31.52611339498382</v>
      </c>
      <c r="M16" s="260">
        <f>(27.6067714691162/(mmBTU_to_GJ))*($C$16)</f>
        <v>29.952326395321784</v>
      </c>
      <c r="N16" s="260">
        <f>(24.8355846405029/(mmBTU_to_GJ))*($C$16)</f>
        <v>26.94569113969624</v>
      </c>
      <c r="O16" s="260">
        <f>(25.5812511444092/(mmBTU_to_GJ))*($C$16)</f>
        <v>27.754711728432792</v>
      </c>
      <c r="P16" s="260">
        <f>(25.4402256011963/(mmBTU_to_GJ))*($C$16)</f>
        <v>27.601704227895624</v>
      </c>
      <c r="Q16" s="260">
        <f>(25.4701290130615/(mmBTU_to_GJ))*($C$16)</f>
        <v>27.634148324211708</v>
      </c>
      <c r="R16" s="260">
        <f>(25.6722831726074/(mmBTU_to_GJ))*($C$16)</f>
        <v>27.853478113486943</v>
      </c>
      <c r="S16" s="260">
        <f>(25.7632827758789/(mmBTU_to_GJ))*($C$16)</f>
        <v>27.952209318694404</v>
      </c>
      <c r="T16" s="260">
        <f>(26.1006698608398/(mmBTU_to_GJ))*($C$16)</f>
        <v>28.31826183235469</v>
      </c>
      <c r="U16" s="260">
        <f>(26.4680442810059/(mmBTU_to_GJ))*($C$16)</f>
        <v>28.716849496052234</v>
      </c>
      <c r="V16" s="260">
        <f>(26.885612487793/(mmBTU_to_GJ))*($C$16)</f>
        <v>29.169895562521408</v>
      </c>
      <c r="W16" s="260">
        <f>(27.1694507598877/(mmBTU_to_GJ))*($C$16)</f>
        <v>29.477849593972547</v>
      </c>
      <c r="X16" s="260">
        <f>(27.6201095581055/(mmBTU_to_GJ))*($C$16)</f>
        <v>29.966797728753303</v>
      </c>
      <c r="Y16" s="260">
        <f>(28.0024471282958/(mmBTU_to_GJ))*($C$16)</f>
        <v>30.381619857025179</v>
      </c>
      <c r="Z16" s="260">
        <f>(28.2454071044922/(mmBTU_to_GJ))*($C$16)</f>
        <v>30.645222448736249</v>
      </c>
      <c r="AA16" s="260">
        <f>(28.1863746643066/(mmBTU_to_GJ))*($C$16)</f>
        <v>30.581174433620486</v>
      </c>
      <c r="AB16" s="260">
        <f>(28.2032489776611/(mmBTU_to_GJ))*($C$16)</f>
        <v>30.599482439750659</v>
      </c>
      <c r="AC16" s="260">
        <f>(28.1397113800049/(mmBTU_to_GJ))*($C$16)</f>
        <v>30.530546495339259</v>
      </c>
      <c r="AD16" s="260">
        <f>(28.178466796875/(mmBTU_to_GJ))*($C$16)</f>
        <v>30.572594689818597</v>
      </c>
      <c r="AE16" s="260">
        <f>(28.4951820373535/(mmBTU_to_GJ))*($C$16)</f>
        <v>30.916219016473285</v>
      </c>
      <c r="AF16" s="260">
        <f>(28.9155654907227/(mmBTU_to_GJ))*($C$16)</f>
        <v>31.372319521401678</v>
      </c>
      <c r="AG16" s="260">
        <f>(29.2894115447998/(mmBTU_to_GJ))*($C$16)</f>
        <v>31.777928668630185</v>
      </c>
      <c r="AH16" s="260">
        <f>(29.6516952514648/(mmBTU_to_GJ))*($C$16)</f>
        <v>32.170993096387576</v>
      </c>
      <c r="AI16" s="260">
        <f t="shared" ref="AI16:BA18" si="54">($BB16-$AH16)/20+AH16</f>
        <v>32.16150778317737</v>
      </c>
      <c r="AJ16" s="260">
        <f t="shared" si="54"/>
        <v>32.152022469967164</v>
      </c>
      <c r="AK16" s="260">
        <f t="shared" si="54"/>
        <v>32.142537156756958</v>
      </c>
      <c r="AL16" s="260">
        <f t="shared" si="54"/>
        <v>32.133051843546752</v>
      </c>
      <c r="AM16" s="260">
        <f t="shared" si="54"/>
        <v>32.123566530336547</v>
      </c>
      <c r="AN16" s="260">
        <f t="shared" si="54"/>
        <v>32.114081217126341</v>
      </c>
      <c r="AO16" s="260">
        <f t="shared" si="54"/>
        <v>32.104595903916135</v>
      </c>
      <c r="AP16" s="260">
        <f t="shared" si="54"/>
        <v>32.095110590705929</v>
      </c>
      <c r="AQ16" s="260">
        <f t="shared" si="54"/>
        <v>32.085625277495723</v>
      </c>
      <c r="AR16" s="260">
        <f t="shared" si="54"/>
        <v>32.076139964285517</v>
      </c>
      <c r="AS16" s="260">
        <f t="shared" si="54"/>
        <v>32.066654651075311</v>
      </c>
      <c r="AT16" s="260">
        <f t="shared" si="54"/>
        <v>32.057169337865105</v>
      </c>
      <c r="AU16" s="260">
        <f t="shared" si="54"/>
        <v>32.047684024654899</v>
      </c>
      <c r="AV16" s="260">
        <f t="shared" si="54"/>
        <v>32.038198711444693</v>
      </c>
      <c r="AW16" s="260">
        <f t="shared" si="54"/>
        <v>32.028713398234487</v>
      </c>
      <c r="AX16" s="260">
        <f t="shared" si="54"/>
        <v>32.019228085024281</v>
      </c>
      <c r="AY16" s="260">
        <f t="shared" si="54"/>
        <v>32.009742771814075</v>
      </c>
      <c r="AZ16" s="260">
        <f t="shared" si="54"/>
        <v>32.000257458603869</v>
      </c>
      <c r="BA16" s="260">
        <f t="shared" si="54"/>
        <v>31.990772145393663</v>
      </c>
      <c r="BB16" s="1076">
        <f>0.994103189054944*AH16</f>
        <v>31.981286832183478</v>
      </c>
      <c r="BC16" s="260">
        <f t="shared" ref="BC16:BP18" si="55">($BQ16-$BB16)/15+BB16</f>
        <v>32.001602863802262</v>
      </c>
      <c r="BD16" s="260">
        <f t="shared" si="55"/>
        <v>32.021918895421045</v>
      </c>
      <c r="BE16" s="260">
        <f t="shared" si="55"/>
        <v>32.042234927039829</v>
      </c>
      <c r="BF16" s="260">
        <f t="shared" si="55"/>
        <v>32.062550958658612</v>
      </c>
      <c r="BG16" s="260">
        <f t="shared" si="55"/>
        <v>32.082866990277395</v>
      </c>
      <c r="BH16" s="260">
        <f t="shared" si="55"/>
        <v>32.103183021896179</v>
      </c>
      <c r="BI16" s="260">
        <f t="shared" si="55"/>
        <v>32.123499053514962</v>
      </c>
      <c r="BJ16" s="260">
        <f t="shared" si="55"/>
        <v>32.143815085133745</v>
      </c>
      <c r="BK16" s="260">
        <f t="shared" si="55"/>
        <v>32.164131116752529</v>
      </c>
      <c r="BL16" s="260">
        <f t="shared" si="55"/>
        <v>32.184447148371312</v>
      </c>
      <c r="BM16" s="260">
        <f t="shared" si="55"/>
        <v>32.204763179990096</v>
      </c>
      <c r="BN16" s="260">
        <f t="shared" si="55"/>
        <v>32.225079211608879</v>
      </c>
      <c r="BO16" s="260">
        <f t="shared" si="55"/>
        <v>32.245395243227662</v>
      </c>
      <c r="BP16" s="260">
        <f t="shared" si="55"/>
        <v>32.265711274846446</v>
      </c>
      <c r="BQ16" s="1076">
        <f>1.00952871208344*BB16</f>
        <v>32.286027306465265</v>
      </c>
      <c r="BR16" s="260">
        <f t="shared" ref="BR16:BU18" si="56">($BV16-$BQ16)/5+BQ16</f>
        <v>32.306536923700044</v>
      </c>
      <c r="BS16" s="260">
        <f t="shared" si="56"/>
        <v>32.327046540934823</v>
      </c>
      <c r="BT16" s="260">
        <f t="shared" si="56"/>
        <v>32.347556158169603</v>
      </c>
      <c r="BU16" s="260">
        <f t="shared" si="56"/>
        <v>32.368065775404382</v>
      </c>
      <c r="BV16" s="1079">
        <f>1.00317623736115*BQ16</f>
        <v>32.388575392639169</v>
      </c>
      <c r="BW16" s="1398">
        <f>+BV16*BW$139/BV$139</f>
        <v>32.37431458077026</v>
      </c>
      <c r="BX16" s="1398">
        <f t="shared" ref="BX16:CZ16" si="57">+BW16*BX$139/BW$139</f>
        <v>32.360060047990594</v>
      </c>
      <c r="BY16" s="1398">
        <f t="shared" si="57"/>
        <v>32.345811791535453</v>
      </c>
      <c r="BZ16" s="1398">
        <f t="shared" si="57"/>
        <v>32.331569808641355</v>
      </c>
      <c r="CA16" s="1398">
        <f t="shared" si="57"/>
        <v>32.317334096546027</v>
      </c>
      <c r="CB16" s="1398">
        <f t="shared" si="57"/>
        <v>32.291448416621037</v>
      </c>
      <c r="CC16" s="1398">
        <f t="shared" si="57"/>
        <v>32.265583470721417</v>
      </c>
      <c r="CD16" s="1398">
        <f t="shared" si="57"/>
        <v>32.239739242239537</v>
      </c>
      <c r="CE16" s="1398">
        <f t="shared" si="57"/>
        <v>32.213915714581077</v>
      </c>
      <c r="CF16" s="1398">
        <f t="shared" si="57"/>
        <v>32.188112871164996</v>
      </c>
      <c r="CG16" s="1398">
        <f t="shared" si="57"/>
        <v>32.152568008354812</v>
      </c>
      <c r="CH16" s="1398">
        <f t="shared" si="57"/>
        <v>32.11706239721736</v>
      </c>
      <c r="CI16" s="1398">
        <f t="shared" si="57"/>
        <v>32.081595994407593</v>
      </c>
      <c r="CJ16" s="1398">
        <f t="shared" si="57"/>
        <v>32.046168756628319</v>
      </c>
      <c r="CK16" s="1398">
        <f t="shared" si="57"/>
        <v>32.010780640630173</v>
      </c>
      <c r="CL16" s="1398">
        <f t="shared" si="57"/>
        <v>31.972198945666406</v>
      </c>
      <c r="CM16" s="1398">
        <f t="shared" si="57"/>
        <v>31.933663752136113</v>
      </c>
      <c r="CN16" s="1398">
        <f t="shared" si="57"/>
        <v>31.895175003992414</v>
      </c>
      <c r="CO16" s="1398">
        <f t="shared" si="57"/>
        <v>31.856732645255992</v>
      </c>
      <c r="CP16" s="1398">
        <f t="shared" si="57"/>
        <v>31.818336620015</v>
      </c>
      <c r="CQ16" s="1398">
        <f t="shared" si="57"/>
        <v>31.773863996680806</v>
      </c>
      <c r="CR16" s="1398">
        <f t="shared" si="57"/>
        <v>31.729453532919873</v>
      </c>
      <c r="CS16" s="1398">
        <f t="shared" si="57"/>
        <v>31.685105141851508</v>
      </c>
      <c r="CT16" s="1398">
        <f t="shared" si="57"/>
        <v>31.640818736716444</v>
      </c>
      <c r="CU16" s="1398">
        <f t="shared" si="57"/>
        <v>31.596594230876679</v>
      </c>
      <c r="CV16" s="1398">
        <f t="shared" si="57"/>
        <v>31.553423239824536</v>
      </c>
      <c r="CW16" s="1398">
        <f t="shared" si="57"/>
        <v>31.510311234068549</v>
      </c>
      <c r="CX16" s="1398">
        <f t="shared" si="57"/>
        <v>31.467258133016063</v>
      </c>
      <c r="CY16" s="1398">
        <f t="shared" si="57"/>
        <v>31.424263856184528</v>
      </c>
      <c r="CZ16" s="1398">
        <f t="shared" si="57"/>
        <v>31.381328323201359</v>
      </c>
    </row>
    <row r="17" spans="1:104" x14ac:dyDescent="0.25">
      <c r="A17" s="964" t="str">
        <f>'HyARC Physical Property Data'!A77</f>
        <v>Industrial Electricity</v>
      </c>
      <c r="B17" s="260">
        <v>2007</v>
      </c>
      <c r="C17" s="874">
        <f t="shared" si="37"/>
        <v>1.1446359956438654</v>
      </c>
      <c r="D17" s="964" t="str">
        <f>'HyARC Physical Property Data'!$H$77</f>
        <v>kWh</v>
      </c>
      <c r="E17" s="874" t="s">
        <v>1071</v>
      </c>
      <c r="F17" s="874"/>
      <c r="G17" s="874"/>
      <c r="H17" s="260">
        <f>(18.4008941650391/(mmBTU_to_GJ))*($C$17)</f>
        <v>19.964289870461542</v>
      </c>
      <c r="I17" s="260">
        <f>(18.4008941650391/(mmBTU_to_GJ))*($C$17)</f>
        <v>19.964289870461542</v>
      </c>
      <c r="J17" s="260">
        <f>(18.4008941650391/(mmBTU_to_GJ))*($C$17)</f>
        <v>19.964289870461542</v>
      </c>
      <c r="K17" s="260">
        <f>(18.6226921081543/(mmBTU_to_GJ))*($C$17)</f>
        <v>20.204932438660048</v>
      </c>
      <c r="L17" s="260">
        <f>(20.3344097137451/(mmBTU_to_GJ))*($C$17)</f>
        <v>22.062082756893755</v>
      </c>
      <c r="M17" s="260">
        <f>(19.1594867706299/(mmBTU_to_GJ))*($C$17)</f>
        <v>20.787334801635478</v>
      </c>
      <c r="N17" s="260">
        <f>(16.8281726837158/(mmBTU_to_GJ))*($C$17)</f>
        <v>18.257945208238802</v>
      </c>
      <c r="O17" s="260">
        <f>(17.2643089294434/(mmBTU_to_GJ))*($C$17)</f>
        <v>18.731136910480302</v>
      </c>
      <c r="P17" s="260">
        <f>(17.1560707092285/(mmBTU_to_GJ))*($C$17)</f>
        <v>18.61370244321737</v>
      </c>
      <c r="Q17" s="260">
        <f>(17.0836048126221/(mmBTU_to_GJ))*($C$17)</f>
        <v>18.535079624532727</v>
      </c>
      <c r="R17" s="260">
        <f>(17.1988334655762/(mmBTU_to_GJ))*($C$17)</f>
        <v>18.660098452874735</v>
      </c>
      <c r="S17" s="260">
        <f>(17.3181438446045/(mmBTU_to_GJ))*($C$17)</f>
        <v>18.789545803101944</v>
      </c>
      <c r="T17" s="260">
        <f>(17.6150741577148/(mmBTU_to_GJ))*($C$17)</f>
        <v>19.111704215029771</v>
      </c>
      <c r="U17" s="260">
        <f>(17.9101543426514/(mmBTU_to_GJ))*($C$17)</f>
        <v>19.431855306290132</v>
      </c>
      <c r="V17" s="260">
        <f>(18.2101707458496/(mmBTU_to_GJ))*($C$17)</f>
        <v>19.757362011867627</v>
      </c>
      <c r="W17" s="260">
        <f>(18.456880569458/(mmBTU_to_GJ))*($C$17)</f>
        <v>20.025033049385286</v>
      </c>
      <c r="X17" s="260">
        <f>(18.8030014038086/(mmBTU_to_GJ))*($C$17)</f>
        <v>20.400561358238349</v>
      </c>
      <c r="Y17" s="260">
        <f>(19.0852069854736/(mmBTU_to_GJ))*($C$17)</f>
        <v>20.706743980935386</v>
      </c>
      <c r="Z17" s="260">
        <f>(19.30615234375/(mmBTU_to_GJ))*($C$17)</f>
        <v>20.946461526104674</v>
      </c>
      <c r="AA17" s="260">
        <f>(19.3043308258057/(mmBTU_to_GJ))*($C$17)</f>
        <v>20.944485246478358</v>
      </c>
      <c r="AB17" s="260">
        <f>(19.3253479003906/(mmBTU_to_GJ))*($C$17)</f>
        <v>20.967287995381685</v>
      </c>
      <c r="AC17" s="260">
        <f>(19.3248138427734/(mmBTU_to_GJ))*($C$17)</f>
        <v>20.966708562611643</v>
      </c>
      <c r="AD17" s="260">
        <f>(19.3542194366455/(mmBTU_to_GJ))*($C$17)</f>
        <v>20.998612544810026</v>
      </c>
      <c r="AE17" s="260">
        <f>(19.6148834228516/(mmBTU_to_GJ))*($C$17)</f>
        <v>21.281423332847481</v>
      </c>
      <c r="AF17" s="260">
        <f>(19.97239112854/(mmBTU_to_GJ))*($C$17)</f>
        <v>21.669305976118565</v>
      </c>
      <c r="AG17" s="260">
        <f>(20.29469871521/(mmBTU_to_GJ))*($C$17)</f>
        <v>22.018997791636661</v>
      </c>
      <c r="AH17" s="260">
        <f>(20.5609893798828/(mmBTU_to_GJ))*($C$17)</f>
        <v>22.307913317786817</v>
      </c>
      <c r="AI17" s="260">
        <f t="shared" si="54"/>
        <v>22.301336040416132</v>
      </c>
      <c r="AJ17" s="260">
        <f t="shared" si="54"/>
        <v>22.294758763045447</v>
      </c>
      <c r="AK17" s="260">
        <f t="shared" si="54"/>
        <v>22.288181485674762</v>
      </c>
      <c r="AL17" s="260">
        <f t="shared" si="54"/>
        <v>22.281604208304078</v>
      </c>
      <c r="AM17" s="260">
        <f t="shared" si="54"/>
        <v>22.275026930933393</v>
      </c>
      <c r="AN17" s="260">
        <f t="shared" si="54"/>
        <v>22.268449653562708</v>
      </c>
      <c r="AO17" s="260">
        <f t="shared" si="54"/>
        <v>22.261872376192024</v>
      </c>
      <c r="AP17" s="260">
        <f t="shared" si="54"/>
        <v>22.255295098821339</v>
      </c>
      <c r="AQ17" s="260">
        <f t="shared" si="54"/>
        <v>22.248717821450654</v>
      </c>
      <c r="AR17" s="260">
        <f t="shared" si="54"/>
        <v>22.24214054407997</v>
      </c>
      <c r="AS17" s="260">
        <f t="shared" si="54"/>
        <v>22.235563266709285</v>
      </c>
      <c r="AT17" s="260">
        <f t="shared" si="54"/>
        <v>22.2289859893386</v>
      </c>
      <c r="AU17" s="260">
        <f t="shared" si="54"/>
        <v>22.222408711967915</v>
      </c>
      <c r="AV17" s="260">
        <f t="shared" si="54"/>
        <v>22.215831434597231</v>
      </c>
      <c r="AW17" s="260">
        <f t="shared" si="54"/>
        <v>22.209254157226546</v>
      </c>
      <c r="AX17" s="260">
        <f t="shared" si="54"/>
        <v>22.202676879855861</v>
      </c>
      <c r="AY17" s="260">
        <f t="shared" si="54"/>
        <v>22.196099602485177</v>
      </c>
      <c r="AZ17" s="260">
        <f t="shared" si="54"/>
        <v>22.189522325114492</v>
      </c>
      <c r="BA17" s="260">
        <f t="shared" si="54"/>
        <v>22.182945047743807</v>
      </c>
      <c r="BB17" s="1076">
        <f>0.994103189054944*AH17</f>
        <v>22.17636777037313</v>
      </c>
      <c r="BC17" s="260">
        <f t="shared" si="55"/>
        <v>22.190455251942488</v>
      </c>
      <c r="BD17" s="260">
        <f t="shared" si="55"/>
        <v>22.204542733511847</v>
      </c>
      <c r="BE17" s="260">
        <f t="shared" si="55"/>
        <v>22.218630215081205</v>
      </c>
      <c r="BF17" s="260">
        <f t="shared" si="55"/>
        <v>22.232717696650564</v>
      </c>
      <c r="BG17" s="260">
        <f t="shared" si="55"/>
        <v>22.246805178219923</v>
      </c>
      <c r="BH17" s="260">
        <f t="shared" si="55"/>
        <v>22.260892659789281</v>
      </c>
      <c r="BI17" s="260">
        <f t="shared" si="55"/>
        <v>22.27498014135864</v>
      </c>
      <c r="BJ17" s="260">
        <f t="shared" si="55"/>
        <v>22.289067622927998</v>
      </c>
      <c r="BK17" s="260">
        <f t="shared" si="55"/>
        <v>22.303155104497357</v>
      </c>
      <c r="BL17" s="260">
        <f t="shared" si="55"/>
        <v>22.317242586066715</v>
      </c>
      <c r="BM17" s="260">
        <f t="shared" si="55"/>
        <v>22.331330067636074</v>
      </c>
      <c r="BN17" s="260">
        <f t="shared" si="55"/>
        <v>22.345417549205433</v>
      </c>
      <c r="BO17" s="260">
        <f t="shared" si="55"/>
        <v>22.359505030774791</v>
      </c>
      <c r="BP17" s="260">
        <f t="shared" si="55"/>
        <v>22.37359251234415</v>
      </c>
      <c r="BQ17" s="1076">
        <f>1.00952871208344*BB17</f>
        <v>22.387679993913494</v>
      </c>
      <c r="BR17" s="260">
        <f t="shared" si="56"/>
        <v>22.401901711038722</v>
      </c>
      <c r="BS17" s="260">
        <f t="shared" si="56"/>
        <v>22.416123428163949</v>
      </c>
      <c r="BT17" s="260">
        <f t="shared" si="56"/>
        <v>22.430345145289177</v>
      </c>
      <c r="BU17" s="260">
        <f t="shared" si="56"/>
        <v>22.444566862414405</v>
      </c>
      <c r="BV17" s="1079">
        <f>1.00317623736115*BQ17</f>
        <v>22.458788579539629</v>
      </c>
      <c r="BW17" s="1398">
        <f>+BV17*BW$140/BV$140</f>
        <v>22.465574719294207</v>
      </c>
      <c r="BX17" s="1398">
        <f t="shared" ref="BX17:CZ17" si="58">+BW17*BX$140/BW$140</f>
        <v>22.472362909546415</v>
      </c>
      <c r="BY17" s="1398">
        <f t="shared" si="58"/>
        <v>22.479153150915831</v>
      </c>
      <c r="BZ17" s="1398">
        <f t="shared" si="58"/>
        <v>22.485945444022224</v>
      </c>
      <c r="CA17" s="1398">
        <f t="shared" si="58"/>
        <v>22.492739789485537</v>
      </c>
      <c r="CB17" s="1398">
        <f t="shared" si="58"/>
        <v>22.49019603346196</v>
      </c>
      <c r="CC17" s="1398">
        <f t="shared" si="58"/>
        <v>22.487652565117642</v>
      </c>
      <c r="CD17" s="1398">
        <f t="shared" si="58"/>
        <v>22.485109384420049</v>
      </c>
      <c r="CE17" s="1398">
        <f t="shared" si="58"/>
        <v>22.482566491336648</v>
      </c>
      <c r="CF17" s="1398">
        <f t="shared" si="58"/>
        <v>22.480023885834914</v>
      </c>
      <c r="CG17" s="1398">
        <f t="shared" si="58"/>
        <v>22.469826748009918</v>
      </c>
      <c r="CH17" s="1398">
        <f t="shared" si="58"/>
        <v>22.459634235696903</v>
      </c>
      <c r="CI17" s="1398">
        <f t="shared" si="58"/>
        <v>22.449446346797696</v>
      </c>
      <c r="CJ17" s="1398">
        <f t="shared" si="58"/>
        <v>22.439263079215074</v>
      </c>
      <c r="CK17" s="1398">
        <f t="shared" si="58"/>
        <v>22.429084430852768</v>
      </c>
      <c r="CL17" s="1398">
        <f t="shared" si="58"/>
        <v>22.41659732007183</v>
      </c>
      <c r="CM17" s="1398">
        <f t="shared" si="58"/>
        <v>22.404117161332831</v>
      </c>
      <c r="CN17" s="1398">
        <f t="shared" si="58"/>
        <v>22.39164395076531</v>
      </c>
      <c r="CO17" s="1398">
        <f t="shared" si="58"/>
        <v>22.379177684500963</v>
      </c>
      <c r="CP17" s="1398">
        <f t="shared" si="58"/>
        <v>22.36671835867363</v>
      </c>
      <c r="CQ17" s="1398">
        <f t="shared" si="58"/>
        <v>22.349648462331068</v>
      </c>
      <c r="CR17" s="1398">
        <f t="shared" si="58"/>
        <v>22.332591593441013</v>
      </c>
      <c r="CS17" s="1398">
        <f t="shared" si="58"/>
        <v>22.315547742061138</v>
      </c>
      <c r="CT17" s="1398">
        <f t="shared" si="58"/>
        <v>22.2985168982567</v>
      </c>
      <c r="CU17" s="1398">
        <f t="shared" si="58"/>
        <v>22.281499052100536</v>
      </c>
      <c r="CV17" s="1398">
        <f t="shared" si="58"/>
        <v>22.265499049909142</v>
      </c>
      <c r="CW17" s="1398">
        <f t="shared" si="58"/>
        <v>22.249510537073537</v>
      </c>
      <c r="CX17" s="1398">
        <f t="shared" si="58"/>
        <v>22.233533505343395</v>
      </c>
      <c r="CY17" s="1398">
        <f t="shared" si="58"/>
        <v>22.217567946474304</v>
      </c>
      <c r="CZ17" s="1398">
        <f t="shared" si="58"/>
        <v>22.20161385222778</v>
      </c>
    </row>
    <row r="18" spans="1:104" ht="13" thickBot="1" x14ac:dyDescent="0.3">
      <c r="A18" s="967" t="str">
        <f>'HyARC Physical Property Data'!A78</f>
        <v>Residential Electricity</v>
      </c>
      <c r="B18" s="880">
        <v>2007</v>
      </c>
      <c r="C18" s="881">
        <f t="shared" si="37"/>
        <v>1.1446359956438654</v>
      </c>
      <c r="D18" s="967" t="str">
        <f>'HyARC Physical Property Data'!$H$78</f>
        <v>kWh</v>
      </c>
      <c r="E18" s="881" t="s">
        <v>1071</v>
      </c>
      <c r="F18" s="880"/>
      <c r="G18" s="880"/>
      <c r="H18" s="880">
        <f>(31.2067794799805/(mmBTU_to_GJ))*($C$18)</f>
        <v>33.858201991380128</v>
      </c>
      <c r="I18" s="880">
        <f>(31.2067794799805/(mmBTU_to_GJ))*($C$18)</f>
        <v>33.858201991380128</v>
      </c>
      <c r="J18" s="880">
        <f>(31.2067794799805/(mmBTU_to_GJ))*($C$18)</f>
        <v>33.858201991380128</v>
      </c>
      <c r="K18" s="880">
        <f>(31.181957244873/(mmBTU_to_GJ))*($C$18)</f>
        <v>33.831270783990192</v>
      </c>
      <c r="L18" s="880">
        <f>(31.772819519043/(mmBTU_to_GJ))*($C$18)</f>
        <v>34.472334506722866</v>
      </c>
      <c r="M18" s="880">
        <f>(30.736837387085/(mmBTU_to_GJ))*($C$18)</f>
        <v>33.348332194795859</v>
      </c>
      <c r="N18" s="880">
        <f>(28.6163578033447/(mmBTU_to_GJ))*($C$18)</f>
        <v>31.047690242590104</v>
      </c>
      <c r="O18" s="880">
        <f>(29.8736190795898/(mmBTU_to_GJ))*($C$18)</f>
        <v>32.411772245167633</v>
      </c>
      <c r="P18" s="880">
        <f>(30.101655960083/(mmBTU_to_GJ))*($C$18)</f>
        <v>32.659183829761808</v>
      </c>
      <c r="Q18" s="880">
        <f>(30.4253902435303/(mmBTU_to_GJ))*($C$18)</f>
        <v>33.010423558536921</v>
      </c>
      <c r="R18" s="880">
        <f>(30.7938537597656/(mmBTU_to_GJ))*($C$18)</f>
        <v>33.410192851204634</v>
      </c>
      <c r="S18" s="880">
        <f>(30.8830280303955/(mmBTU_to_GJ))*($C$18)</f>
        <v>33.50694363798025</v>
      </c>
      <c r="T18" s="880">
        <f>(31.1491451263428/(mmBTU_to_GJ))*($C$18)</f>
        <v>33.795670848480235</v>
      </c>
      <c r="U18" s="880">
        <f>(31.4898681640625/(mmBTU_to_GJ))*($C$18)</f>
        <v>34.165342747550469</v>
      </c>
      <c r="V18" s="880">
        <f>(31.8156299591064/(mmBTU_to_GJ))*($C$18)</f>
        <v>34.518782251448862</v>
      </c>
      <c r="W18" s="880">
        <f>(32.0206985473633/(mmBTU_to_GJ))*($C$18)</f>
        <v>34.741274088126325</v>
      </c>
      <c r="X18" s="880">
        <f>(32.4303588867188/(mmBTU_to_GJ))*($C$18)</f>
        <v>35.185740410793606</v>
      </c>
      <c r="Y18" s="880">
        <f>(32.7907905578613/(mmBTU_to_GJ))*($C$18)</f>
        <v>35.576795448480595</v>
      </c>
      <c r="Z18" s="880">
        <f>(32.9940071105957/(mmBTU_to_GJ))*($C$18)</f>
        <v>35.797277895087667</v>
      </c>
      <c r="AA18" s="880">
        <f>(32.9234657287598/(mmBTU_to_GJ))*($C$18)</f>
        <v>35.720743103777878</v>
      </c>
      <c r="AB18" s="880">
        <f>(32.9201545715332/(mmBTU_to_GJ))*($C$18)</f>
        <v>35.717150620603661</v>
      </c>
      <c r="AC18" s="880">
        <f>(32.902271270752/(mmBTU_to_GJ))*($C$18)</f>
        <v>35.69774790041874</v>
      </c>
      <c r="AD18" s="880">
        <f>(32.9582405090332/(mmBTU_to_GJ))*($C$18)</f>
        <v>35.758472454717726</v>
      </c>
      <c r="AE18" s="880">
        <f>(33.321102142334/(mmBTU_to_GJ))*($C$18)</f>
        <v>36.152163911508453</v>
      </c>
      <c r="AF18" s="880">
        <f>(33.7343635559082/(mmBTU_to_GJ))*($C$18)</f>
        <v>36.600537266567883</v>
      </c>
      <c r="AG18" s="880">
        <f>(34.1495399475098/(mmBTU_to_GJ))*($C$18)</f>
        <v>37.050988301988475</v>
      </c>
      <c r="AH18" s="880">
        <f>(34.4904899597167/(mmBTU_to_GJ))*($C$18)</f>
        <v>37.420906459985844</v>
      </c>
      <c r="AI18" s="880">
        <f t="shared" si="54"/>
        <v>37.409873259446485</v>
      </c>
      <c r="AJ18" s="880">
        <f t="shared" si="54"/>
        <v>37.398840058907126</v>
      </c>
      <c r="AK18" s="880">
        <f t="shared" si="54"/>
        <v>37.387806858367767</v>
      </c>
      <c r="AL18" s="880">
        <f t="shared" si="54"/>
        <v>37.376773657828409</v>
      </c>
      <c r="AM18" s="880">
        <f t="shared" si="54"/>
        <v>37.36574045728905</v>
      </c>
      <c r="AN18" s="880">
        <f t="shared" si="54"/>
        <v>37.354707256749691</v>
      </c>
      <c r="AO18" s="880">
        <f t="shared" si="54"/>
        <v>37.343674056210332</v>
      </c>
      <c r="AP18" s="880">
        <f t="shared" si="54"/>
        <v>37.332640855670974</v>
      </c>
      <c r="AQ18" s="880">
        <f t="shared" si="54"/>
        <v>37.321607655131615</v>
      </c>
      <c r="AR18" s="880">
        <f t="shared" si="54"/>
        <v>37.310574454592256</v>
      </c>
      <c r="AS18" s="880">
        <f t="shared" si="54"/>
        <v>37.299541254052897</v>
      </c>
      <c r="AT18" s="880">
        <f t="shared" si="54"/>
        <v>37.288508053513539</v>
      </c>
      <c r="AU18" s="880">
        <f t="shared" si="54"/>
        <v>37.27747485297418</v>
      </c>
      <c r="AV18" s="880">
        <f t="shared" si="54"/>
        <v>37.266441652434821</v>
      </c>
      <c r="AW18" s="880">
        <f t="shared" si="54"/>
        <v>37.255408451895462</v>
      </c>
      <c r="AX18" s="880">
        <f t="shared" si="54"/>
        <v>37.244375251356104</v>
      </c>
      <c r="AY18" s="880">
        <f t="shared" si="54"/>
        <v>37.233342050816745</v>
      </c>
      <c r="AZ18" s="880">
        <f t="shared" si="54"/>
        <v>37.222308850277386</v>
      </c>
      <c r="BA18" s="880">
        <f t="shared" si="54"/>
        <v>37.211275649738027</v>
      </c>
      <c r="BB18" s="1080">
        <f>0.994103189054944*AH18</f>
        <v>37.200242449198683</v>
      </c>
      <c r="BC18" s="880">
        <f t="shared" si="55"/>
        <v>37.223873809180851</v>
      </c>
      <c r="BD18" s="880">
        <f t="shared" si="55"/>
        <v>37.24750516916302</v>
      </c>
      <c r="BE18" s="880">
        <f t="shared" si="55"/>
        <v>37.271136529145188</v>
      </c>
      <c r="BF18" s="880">
        <f t="shared" si="55"/>
        <v>37.294767889127357</v>
      </c>
      <c r="BG18" s="880">
        <f t="shared" si="55"/>
        <v>37.318399249109525</v>
      </c>
      <c r="BH18" s="880">
        <f t="shared" si="55"/>
        <v>37.342030609091694</v>
      </c>
      <c r="BI18" s="880">
        <f t="shared" si="55"/>
        <v>37.365661969073862</v>
      </c>
      <c r="BJ18" s="880">
        <f t="shared" si="55"/>
        <v>37.389293329056031</v>
      </c>
      <c r="BK18" s="880">
        <f t="shared" si="55"/>
        <v>37.412924689038199</v>
      </c>
      <c r="BL18" s="880">
        <f t="shared" si="55"/>
        <v>37.436556049020368</v>
      </c>
      <c r="BM18" s="880">
        <f t="shared" si="55"/>
        <v>37.460187409002536</v>
      </c>
      <c r="BN18" s="880">
        <f t="shared" si="55"/>
        <v>37.483818768984705</v>
      </c>
      <c r="BO18" s="880">
        <f t="shared" si="55"/>
        <v>37.507450128966873</v>
      </c>
      <c r="BP18" s="880">
        <f t="shared" si="55"/>
        <v>37.531081488949042</v>
      </c>
      <c r="BQ18" s="1080">
        <f>1.00952871208344*BB18</f>
        <v>37.55471284893126</v>
      </c>
      <c r="BR18" s="880">
        <f t="shared" si="56"/>
        <v>37.578569385338866</v>
      </c>
      <c r="BS18" s="880">
        <f t="shared" si="56"/>
        <v>37.602425921746473</v>
      </c>
      <c r="BT18" s="880">
        <f t="shared" si="56"/>
        <v>37.62628245815408</v>
      </c>
      <c r="BU18" s="880">
        <f t="shared" si="56"/>
        <v>37.650138994561686</v>
      </c>
      <c r="BV18" s="1081">
        <f>1.00317623736115*BQ18</f>
        <v>37.673995530969293</v>
      </c>
      <c r="BW18" s="1398">
        <f>+BV18*BW$141/BV$141</f>
        <v>37.657407528684409</v>
      </c>
      <c r="BX18" s="1398">
        <f t="shared" ref="BX18:CZ18" si="59">+BW18*BX$141/BW$141</f>
        <v>37.640826830159476</v>
      </c>
      <c r="BY18" s="1398">
        <f t="shared" si="59"/>
        <v>37.62425343217862</v>
      </c>
      <c r="BZ18" s="1398">
        <f t="shared" si="59"/>
        <v>37.607687331527387</v>
      </c>
      <c r="CA18" s="1398">
        <f t="shared" si="59"/>
        <v>37.59112852499274</v>
      </c>
      <c r="CB18" s="1398">
        <f t="shared" si="59"/>
        <v>37.561018618089207</v>
      </c>
      <c r="CC18" s="1398">
        <f t="shared" si="59"/>
        <v>37.530932828750899</v>
      </c>
      <c r="CD18" s="1398">
        <f t="shared" si="59"/>
        <v>37.500871137660013</v>
      </c>
      <c r="CE18" s="1398">
        <f t="shared" si="59"/>
        <v>37.47083352551423</v>
      </c>
      <c r="CF18" s="1398">
        <f t="shared" si="59"/>
        <v>37.440819973026684</v>
      </c>
      <c r="CG18" s="1398">
        <f t="shared" si="59"/>
        <v>37.399474622500279</v>
      </c>
      <c r="CH18" s="1398">
        <f t="shared" si="59"/>
        <v>37.358174929040445</v>
      </c>
      <c r="CI18" s="1398">
        <f t="shared" si="59"/>
        <v>37.316920842228761</v>
      </c>
      <c r="CJ18" s="1398">
        <f t="shared" si="59"/>
        <v>37.275712311702456</v>
      </c>
      <c r="CK18" s="1398">
        <f t="shared" si="59"/>
        <v>37.234549287154408</v>
      </c>
      <c r="CL18" s="1398">
        <f t="shared" si="59"/>
        <v>37.189671530537417</v>
      </c>
      <c r="CM18" s="1398">
        <f t="shared" si="59"/>
        <v>37.144847863820196</v>
      </c>
      <c r="CN18" s="1398">
        <f t="shared" si="59"/>
        <v>37.100078221809703</v>
      </c>
      <c r="CO18" s="1398">
        <f t="shared" si="59"/>
        <v>37.055362539391488</v>
      </c>
      <c r="CP18" s="1398">
        <f t="shared" si="59"/>
        <v>37.010700751529562</v>
      </c>
      <c r="CQ18" s="1398">
        <f t="shared" si="59"/>
        <v>36.958970738942355</v>
      </c>
      <c r="CR18" s="1398">
        <f t="shared" si="59"/>
        <v>36.907313029611991</v>
      </c>
      <c r="CS18" s="1398">
        <f t="shared" si="59"/>
        <v>36.855727522479896</v>
      </c>
      <c r="CT18" s="1398">
        <f t="shared" si="59"/>
        <v>36.804214116628756</v>
      </c>
      <c r="CU18" s="1398">
        <f t="shared" si="59"/>
        <v>36.752772711282311</v>
      </c>
      <c r="CV18" s="1398">
        <f t="shared" si="59"/>
        <v>36.70255674147662</v>
      </c>
      <c r="CW18" s="1398">
        <f t="shared" si="59"/>
        <v>36.652409382647399</v>
      </c>
      <c r="CX18" s="1398">
        <f t="shared" si="59"/>
        <v>36.602330541050243</v>
      </c>
      <c r="CY18" s="1398">
        <f t="shared" si="59"/>
        <v>36.552320123068824</v>
      </c>
      <c r="CZ18" s="1398">
        <f t="shared" si="59"/>
        <v>36.502378035214747</v>
      </c>
    </row>
    <row r="19" spans="1:104" ht="13" thickTop="1" x14ac:dyDescent="0.25">
      <c r="AH19" s="260"/>
    </row>
    <row r="20" spans="1:104" x14ac:dyDescent="0.25">
      <c r="E20" s="260"/>
    </row>
    <row r="21" spans="1:104" ht="13" thickBot="1" x14ac:dyDescent="0.3"/>
    <row r="22" spans="1:104" ht="13.5" thickTop="1" x14ac:dyDescent="0.3">
      <c r="A22" s="867" t="s">
        <v>1105</v>
      </c>
      <c r="B22" s="868" t="str">
        <f>"Prices are in $(" &amp; ref_year&amp;")/GJ LHV"</f>
        <v>Prices are in $(2016)/GJ LHV</v>
      </c>
      <c r="C22" s="869"/>
      <c r="D22" s="869"/>
      <c r="E22" s="869"/>
      <c r="F22" s="869"/>
      <c r="G22" s="869"/>
      <c r="H22" s="869"/>
      <c r="I22" s="869"/>
      <c r="J22" s="869"/>
      <c r="K22" s="869"/>
      <c r="L22" s="869"/>
      <c r="M22" s="869"/>
      <c r="N22" s="869"/>
      <c r="O22" s="869"/>
      <c r="P22" s="869"/>
      <c r="Q22" s="869"/>
      <c r="R22" s="869"/>
      <c r="S22" s="869"/>
      <c r="T22" s="869"/>
      <c r="U22" s="869"/>
      <c r="V22" s="869"/>
      <c r="W22" s="869"/>
      <c r="X22" s="869"/>
      <c r="Y22" s="869"/>
      <c r="Z22" s="869"/>
      <c r="AA22" s="869"/>
      <c r="AB22" s="869"/>
      <c r="AC22" s="869"/>
      <c r="AD22" s="869"/>
      <c r="AE22" s="869"/>
      <c r="AF22" s="869"/>
      <c r="AG22" s="869"/>
      <c r="AH22" s="869"/>
      <c r="AI22" s="869"/>
      <c r="AJ22" s="869"/>
      <c r="AK22" s="869"/>
      <c r="AL22" s="869"/>
      <c r="AM22" s="869"/>
      <c r="AN22" s="869"/>
      <c r="AO22" s="869"/>
      <c r="AP22" s="869"/>
      <c r="AQ22" s="869"/>
      <c r="AR22" s="869"/>
      <c r="AS22" s="882" t="s">
        <v>772</v>
      </c>
      <c r="AT22" s="883"/>
      <c r="AU22" s="883"/>
      <c r="AV22" s="883"/>
      <c r="AW22" s="883"/>
      <c r="AX22" s="883"/>
      <c r="AY22" s="883"/>
      <c r="AZ22" s="883"/>
      <c r="BA22" s="883"/>
      <c r="BB22" s="883"/>
      <c r="BC22" s="883"/>
      <c r="BD22" s="883"/>
      <c r="BE22" s="883"/>
      <c r="BF22" s="883"/>
      <c r="BG22" s="883"/>
      <c r="BH22" s="883"/>
      <c r="BI22" s="883"/>
      <c r="BJ22" s="883"/>
      <c r="BK22" s="883"/>
      <c r="BL22" s="883"/>
      <c r="BM22" s="883"/>
      <c r="BN22" s="883"/>
      <c r="BO22" s="883"/>
      <c r="BP22" s="883"/>
      <c r="BQ22" s="883"/>
      <c r="BR22" s="883"/>
      <c r="BS22" s="883"/>
      <c r="BT22" s="883"/>
      <c r="BU22" s="883"/>
      <c r="BV22" s="884"/>
    </row>
    <row r="23" spans="1:104" ht="39.5" thickBot="1" x14ac:dyDescent="0.35">
      <c r="A23" s="887" t="s">
        <v>1084</v>
      </c>
      <c r="B23" s="888" t="s">
        <v>678</v>
      </c>
      <c r="C23" s="888" t="s">
        <v>679</v>
      </c>
      <c r="D23" s="888" t="s">
        <v>690</v>
      </c>
      <c r="E23" s="888" t="s">
        <v>691</v>
      </c>
      <c r="F23" s="889" t="s">
        <v>680</v>
      </c>
      <c r="G23" s="889" t="s">
        <v>692</v>
      </c>
      <c r="H23" s="1067">
        <v>2004</v>
      </c>
      <c r="I23" s="1067">
        <v>2005</v>
      </c>
      <c r="J23" s="1067">
        <v>2006</v>
      </c>
      <c r="K23" s="1067">
        <v>2007</v>
      </c>
      <c r="L23" s="1067">
        <v>2008</v>
      </c>
      <c r="M23" s="1067">
        <v>2009</v>
      </c>
      <c r="N23" s="889">
        <v>2010</v>
      </c>
      <c r="O23" s="889">
        <v>2011</v>
      </c>
      <c r="P23" s="889">
        <v>2012</v>
      </c>
      <c r="Q23" s="889">
        <v>2013</v>
      </c>
      <c r="R23" s="889">
        <v>2014</v>
      </c>
      <c r="S23" s="889">
        <v>2015</v>
      </c>
      <c r="T23" s="889">
        <v>2016</v>
      </c>
      <c r="U23" s="889">
        <v>2017</v>
      </c>
      <c r="V23" s="889">
        <v>2018</v>
      </c>
      <c r="W23" s="889">
        <v>2019</v>
      </c>
      <c r="X23" s="889">
        <v>2020</v>
      </c>
      <c r="Y23" s="889">
        <v>2021</v>
      </c>
      <c r="Z23" s="889">
        <v>2022</v>
      </c>
      <c r="AA23" s="889">
        <v>2023</v>
      </c>
      <c r="AB23" s="889">
        <v>2024</v>
      </c>
      <c r="AC23" s="889">
        <v>2025</v>
      </c>
      <c r="AD23" s="889">
        <v>2026</v>
      </c>
      <c r="AE23" s="889">
        <v>2027</v>
      </c>
      <c r="AF23" s="889">
        <v>2028</v>
      </c>
      <c r="AG23" s="889">
        <v>2029</v>
      </c>
      <c r="AH23" s="889">
        <v>2030</v>
      </c>
      <c r="AI23" s="889">
        <v>2031</v>
      </c>
      <c r="AJ23" s="889">
        <v>2032</v>
      </c>
      <c r="AK23" s="889">
        <v>2033</v>
      </c>
      <c r="AL23" s="889">
        <v>2034</v>
      </c>
      <c r="AM23" s="889">
        <v>2035</v>
      </c>
      <c r="AN23" s="889">
        <v>2036</v>
      </c>
      <c r="AO23" s="889">
        <v>2037</v>
      </c>
      <c r="AP23" s="889">
        <v>2038</v>
      </c>
      <c r="AQ23" s="889">
        <v>2039</v>
      </c>
      <c r="AR23" s="889">
        <v>2040</v>
      </c>
      <c r="AS23" s="889">
        <v>2041</v>
      </c>
      <c r="AT23" s="889">
        <v>2042</v>
      </c>
      <c r="AU23" s="889">
        <v>2043</v>
      </c>
      <c r="AV23" s="889">
        <v>2044</v>
      </c>
      <c r="AW23" s="889">
        <v>2045</v>
      </c>
      <c r="AX23" s="889">
        <v>2046</v>
      </c>
      <c r="AY23" s="889">
        <v>2047</v>
      </c>
      <c r="AZ23" s="889">
        <v>2048</v>
      </c>
      <c r="BA23" s="889">
        <v>2049</v>
      </c>
      <c r="BB23" s="889">
        <v>2050</v>
      </c>
      <c r="BC23" s="889">
        <v>2051</v>
      </c>
      <c r="BD23" s="889">
        <v>2052</v>
      </c>
      <c r="BE23" s="889">
        <v>2053</v>
      </c>
      <c r="BF23" s="889">
        <v>2054</v>
      </c>
      <c r="BG23" s="889">
        <v>2055</v>
      </c>
      <c r="BH23" s="889">
        <v>2056</v>
      </c>
      <c r="BI23" s="889">
        <v>2057</v>
      </c>
      <c r="BJ23" s="889">
        <v>2058</v>
      </c>
      <c r="BK23" s="889">
        <v>2059</v>
      </c>
      <c r="BL23" s="889">
        <v>2060</v>
      </c>
      <c r="BM23" s="889">
        <v>2061</v>
      </c>
      <c r="BN23" s="889">
        <v>2062</v>
      </c>
      <c r="BO23" s="889">
        <v>2063</v>
      </c>
      <c r="BP23" s="889">
        <v>2064</v>
      </c>
      <c r="BQ23" s="889">
        <v>2065</v>
      </c>
      <c r="BR23" s="889">
        <v>2066</v>
      </c>
      <c r="BS23" s="889">
        <v>2067</v>
      </c>
      <c r="BT23" s="889">
        <v>2068</v>
      </c>
      <c r="BU23" s="889">
        <v>2069</v>
      </c>
      <c r="BV23" s="890">
        <v>2070</v>
      </c>
      <c r="BW23" s="1399">
        <f t="shared" ref="BW23" si="60">+BV23+1</f>
        <v>2071</v>
      </c>
      <c r="BX23" s="1399">
        <f t="shared" ref="BX23" si="61">+BW23+1</f>
        <v>2072</v>
      </c>
      <c r="BY23" s="1399">
        <f t="shared" ref="BY23" si="62">+BX23+1</f>
        <v>2073</v>
      </c>
      <c r="BZ23" s="1399">
        <f t="shared" ref="BZ23" si="63">+BY23+1</f>
        <v>2074</v>
      </c>
      <c r="CA23" s="1399">
        <f t="shared" ref="CA23" si="64">+BZ23+1</f>
        <v>2075</v>
      </c>
      <c r="CB23" s="1399">
        <f t="shared" ref="CB23" si="65">+CA23+1</f>
        <v>2076</v>
      </c>
      <c r="CC23" s="1399">
        <f t="shared" ref="CC23" si="66">+CB23+1</f>
        <v>2077</v>
      </c>
      <c r="CD23" s="1399">
        <f t="shared" ref="CD23" si="67">+CC23+1</f>
        <v>2078</v>
      </c>
      <c r="CE23" s="1399">
        <f t="shared" ref="CE23" si="68">+CD23+1</f>
        <v>2079</v>
      </c>
      <c r="CF23" s="1399">
        <f t="shared" ref="CF23" si="69">+CE23+1</f>
        <v>2080</v>
      </c>
      <c r="CG23" s="1399">
        <f t="shared" ref="CG23" si="70">+CF23+1</f>
        <v>2081</v>
      </c>
      <c r="CH23" s="1399">
        <f t="shared" ref="CH23" si="71">+CG23+1</f>
        <v>2082</v>
      </c>
      <c r="CI23" s="1399">
        <f t="shared" ref="CI23" si="72">+CH23+1</f>
        <v>2083</v>
      </c>
      <c r="CJ23" s="1399">
        <f t="shared" ref="CJ23" si="73">+CI23+1</f>
        <v>2084</v>
      </c>
      <c r="CK23" s="1399">
        <f t="shared" ref="CK23" si="74">+CJ23+1</f>
        <v>2085</v>
      </c>
      <c r="CL23" s="1399">
        <f t="shared" ref="CL23" si="75">+CK23+1</f>
        <v>2086</v>
      </c>
      <c r="CM23" s="1399">
        <f t="shared" ref="CM23" si="76">+CL23+1</f>
        <v>2087</v>
      </c>
      <c r="CN23" s="1399">
        <f t="shared" ref="CN23" si="77">+CM23+1</f>
        <v>2088</v>
      </c>
      <c r="CO23" s="1399">
        <f t="shared" ref="CO23" si="78">+CN23+1</f>
        <v>2089</v>
      </c>
      <c r="CP23" s="1399">
        <f t="shared" ref="CP23" si="79">+CO23+1</f>
        <v>2090</v>
      </c>
      <c r="CQ23" s="1399">
        <f t="shared" ref="CQ23" si="80">+CP23+1</f>
        <v>2091</v>
      </c>
      <c r="CR23" s="1399">
        <f t="shared" ref="CR23" si="81">+CQ23+1</f>
        <v>2092</v>
      </c>
      <c r="CS23" s="1399">
        <f t="shared" ref="CS23" si="82">+CR23+1</f>
        <v>2093</v>
      </c>
      <c r="CT23" s="1399">
        <f t="shared" ref="CT23" si="83">+CS23+1</f>
        <v>2094</v>
      </c>
      <c r="CU23" s="1399">
        <f t="shared" ref="CU23" si="84">+CT23+1</f>
        <v>2095</v>
      </c>
      <c r="CV23" s="1399">
        <f t="shared" ref="CV23" si="85">+CU23+1</f>
        <v>2096</v>
      </c>
      <c r="CW23" s="1399">
        <f t="shared" ref="CW23" si="86">+CV23+1</f>
        <v>2097</v>
      </c>
      <c r="CX23" s="1399">
        <f t="shared" ref="CX23" si="87">+CW23+1</f>
        <v>2098</v>
      </c>
      <c r="CY23" s="1399">
        <f t="shared" ref="CY23" si="88">+CX23+1</f>
        <v>2099</v>
      </c>
      <c r="CZ23" s="1399">
        <f t="shared" ref="CZ23" si="89">+CY23+1</f>
        <v>2100</v>
      </c>
    </row>
    <row r="24" spans="1:104" ht="13" thickBot="1" x14ac:dyDescent="0.3">
      <c r="A24" s="958" t="s">
        <v>1090</v>
      </c>
      <c r="B24" s="959"/>
      <c r="C24" s="959"/>
      <c r="D24" s="959"/>
      <c r="E24" s="959"/>
      <c r="F24" s="871"/>
      <c r="G24" s="959"/>
      <c r="H24" s="959"/>
      <c r="I24" s="959"/>
      <c r="J24" s="959"/>
      <c r="K24" s="959"/>
      <c r="L24" s="959"/>
      <c r="M24" s="959"/>
      <c r="N24" s="959"/>
      <c r="O24" s="959"/>
      <c r="P24" s="959"/>
      <c r="Q24" s="959"/>
      <c r="R24" s="959"/>
      <c r="S24" s="959"/>
      <c r="T24" s="959"/>
      <c r="U24" s="959"/>
      <c r="V24" s="959"/>
      <c r="W24" s="959"/>
      <c r="X24" s="959"/>
      <c r="Y24" s="959"/>
      <c r="Z24" s="959"/>
      <c r="AA24" s="959"/>
      <c r="AB24" s="959"/>
      <c r="AC24" s="959"/>
      <c r="AD24" s="959"/>
      <c r="AE24" s="959"/>
      <c r="AF24" s="959"/>
      <c r="AG24" s="959"/>
      <c r="AH24" s="959"/>
      <c r="AI24" s="959"/>
      <c r="AJ24" s="959"/>
      <c r="AK24" s="959"/>
      <c r="AL24" s="959"/>
      <c r="AM24" s="959"/>
      <c r="AN24" s="959"/>
      <c r="AO24" s="959"/>
      <c r="AP24" s="959"/>
      <c r="AQ24" s="959"/>
      <c r="AR24" s="959"/>
      <c r="AS24" s="959"/>
      <c r="AT24" s="959"/>
      <c r="AU24" s="959"/>
      <c r="AV24" s="959"/>
      <c r="AW24" s="959"/>
      <c r="AX24" s="959"/>
      <c r="AY24" s="959"/>
      <c r="AZ24" s="959"/>
      <c r="BA24" s="959"/>
      <c r="BC24" s="959"/>
      <c r="BD24" s="959"/>
      <c r="BE24" s="959"/>
      <c r="BF24" s="959"/>
      <c r="BG24" s="959"/>
      <c r="BH24" s="959"/>
      <c r="BI24" s="959"/>
      <c r="BJ24" s="959"/>
      <c r="BK24" s="959"/>
      <c r="BL24" s="959"/>
      <c r="BM24" s="959"/>
      <c r="BN24" s="959"/>
      <c r="BO24" s="959"/>
      <c r="BP24" s="959"/>
      <c r="BR24" s="959"/>
      <c r="BS24" s="959"/>
      <c r="BT24" s="959"/>
      <c r="BU24" s="959"/>
    </row>
    <row r="25" spans="1:104" ht="13" x14ac:dyDescent="0.3">
      <c r="A25" s="978" t="str">
        <f>'HyARC Physical Property Data'!A73</f>
        <v>Residential Natural Gas</v>
      </c>
      <c r="B25" s="959">
        <v>2011</v>
      </c>
      <c r="C25" s="960">
        <f>VLOOKUP(ref_year,DeflatorTable,2,FALSE)/VLOOKUP(B25,DeflatorTable,2,FALSE)</f>
        <v>1.0784554773635862</v>
      </c>
      <c r="D25" s="1246" t="str">
        <f>'HyARC Physical Property Data'!H73</f>
        <v>mmBtu</v>
      </c>
      <c r="E25" s="960" t="s">
        <v>1058</v>
      </c>
      <c r="F25" s="959">
        <f>'HyARC Physical Property Data'!$E$6</f>
        <v>47.141269049911173</v>
      </c>
      <c r="G25" s="959">
        <f>'HyARC Physical Property Data'!$I$6</f>
        <v>52.224661236371581</v>
      </c>
      <c r="H25" s="1068">
        <v>14.386141835345208</v>
      </c>
      <c r="I25" s="1068">
        <v>14.386141835345208</v>
      </c>
      <c r="J25" s="1068">
        <v>14.386141835345208</v>
      </c>
      <c r="K25" s="1068">
        <v>13.326716630976858</v>
      </c>
      <c r="L25" s="1068">
        <v>13.627764477872551</v>
      </c>
      <c r="M25" s="1068">
        <v>11.254339733155913</v>
      </c>
      <c r="N25" s="959">
        <f t="shared" ref="N25:AR25" si="90">((N42/(mmBTU_to_GJ))*($C25))*($G25/$F25)</f>
        <v>12.864072624231563</v>
      </c>
      <c r="O25" s="959">
        <f t="shared" si="90"/>
        <v>12.23325661230241</v>
      </c>
      <c r="P25" s="959">
        <f t="shared" si="90"/>
        <v>11.850527062684614</v>
      </c>
      <c r="Q25" s="959">
        <f t="shared" si="90"/>
        <v>11.865842495866545</v>
      </c>
      <c r="R25" s="959">
        <f t="shared" si="90"/>
        <v>11.611695090166418</v>
      </c>
      <c r="S25" s="959">
        <f t="shared" si="90"/>
        <v>11.50138750593943</v>
      </c>
      <c r="T25" s="959">
        <f t="shared" si="90"/>
        <v>12.075204376866452</v>
      </c>
      <c r="U25" s="959">
        <f t="shared" si="90"/>
        <v>12.446344297440779</v>
      </c>
      <c r="V25" s="959">
        <f t="shared" si="90"/>
        <v>12.907270435435697</v>
      </c>
      <c r="W25" s="959">
        <f t="shared" si="90"/>
        <v>13.164777859640022</v>
      </c>
      <c r="X25" s="959">
        <f t="shared" si="90"/>
        <v>13.336162585082695</v>
      </c>
      <c r="Y25" s="959">
        <f t="shared" si="90"/>
        <v>13.544264034469807</v>
      </c>
      <c r="Z25" s="959">
        <f t="shared" si="90"/>
        <v>13.819651921148951</v>
      </c>
      <c r="AA25" s="959">
        <f t="shared" si="90"/>
        <v>14.079086797828554</v>
      </c>
      <c r="AB25" s="959">
        <f t="shared" si="90"/>
        <v>14.2515190517904</v>
      </c>
      <c r="AC25" s="959">
        <f t="shared" si="90"/>
        <v>14.353207458115314</v>
      </c>
      <c r="AD25" s="959">
        <f t="shared" si="90"/>
        <v>14.54298904928118</v>
      </c>
      <c r="AE25" s="959">
        <f t="shared" si="90"/>
        <v>14.646583391279357</v>
      </c>
      <c r="AF25" s="959">
        <f t="shared" si="90"/>
        <v>14.81893750527599</v>
      </c>
      <c r="AG25" s="959">
        <f t="shared" si="90"/>
        <v>14.987454833734297</v>
      </c>
      <c r="AH25" s="959">
        <f t="shared" si="90"/>
        <v>15.139899111087075</v>
      </c>
      <c r="AI25" s="959">
        <f t="shared" si="90"/>
        <v>15.341580626230741</v>
      </c>
      <c r="AJ25" s="959">
        <f t="shared" si="90"/>
        <v>15.539442342785032</v>
      </c>
      <c r="AK25" s="959">
        <f t="shared" si="90"/>
        <v>15.781889138041823</v>
      </c>
      <c r="AL25" s="959">
        <f t="shared" si="90"/>
        <v>16.136390908341905</v>
      </c>
      <c r="AM25" s="959">
        <f t="shared" si="90"/>
        <v>16.532635274551915</v>
      </c>
      <c r="AN25" s="959">
        <f t="shared" si="90"/>
        <v>17.01379173629439</v>
      </c>
      <c r="AO25" s="959">
        <f t="shared" si="90"/>
        <v>17.457934768717273</v>
      </c>
      <c r="AP25" s="959">
        <f t="shared" si="90"/>
        <v>17.940794455208763</v>
      </c>
      <c r="AQ25" s="959">
        <f t="shared" si="90"/>
        <v>18.182559507580642</v>
      </c>
      <c r="AR25" s="959">
        <f t="shared" si="90"/>
        <v>18.530579058157759</v>
      </c>
      <c r="AS25" s="959">
        <f>($BB25-$AR25)/10+AR25</f>
        <v>18.537819201300856</v>
      </c>
      <c r="AT25" s="959">
        <f t="shared" ref="AT25:BA25" si="91">($BB25-$AR25)/10+AS25</f>
        <v>18.545059344443953</v>
      </c>
      <c r="AU25" s="959">
        <f t="shared" si="91"/>
        <v>18.552299487587049</v>
      </c>
      <c r="AV25" s="959">
        <f t="shared" si="91"/>
        <v>18.559539630730146</v>
      </c>
      <c r="AW25" s="959">
        <f t="shared" si="91"/>
        <v>18.566779773873243</v>
      </c>
      <c r="AX25" s="959">
        <f t="shared" si="91"/>
        <v>18.57401991701634</v>
      </c>
      <c r="AY25" s="959">
        <f t="shared" si="91"/>
        <v>18.581260060159437</v>
      </c>
      <c r="AZ25" s="959">
        <f t="shared" si="91"/>
        <v>18.588500203302534</v>
      </c>
      <c r="BA25" s="959">
        <f t="shared" si="91"/>
        <v>18.595740346445631</v>
      </c>
      <c r="BB25" s="961">
        <f>'AEO Data'!$B$30*AM25</f>
        <v>18.602980489588727</v>
      </c>
      <c r="BC25" s="959">
        <f>($BQ25-$BB25)/15+BB25</f>
        <v>18.754563729723429</v>
      </c>
      <c r="BD25" s="959">
        <f t="shared" ref="BD25:BP25" si="92">($BQ25-$BB25)/15+BC25</f>
        <v>18.906146969858131</v>
      </c>
      <c r="BE25" s="959">
        <f t="shared" si="92"/>
        <v>19.057730209992833</v>
      </c>
      <c r="BF25" s="959">
        <f t="shared" si="92"/>
        <v>19.209313450127535</v>
      </c>
      <c r="BG25" s="959">
        <f t="shared" si="92"/>
        <v>19.360896690262237</v>
      </c>
      <c r="BH25" s="959">
        <f t="shared" si="92"/>
        <v>19.512479930396939</v>
      </c>
      <c r="BI25" s="959">
        <f t="shared" si="92"/>
        <v>19.664063170531641</v>
      </c>
      <c r="BJ25" s="959">
        <f t="shared" si="92"/>
        <v>19.815646410666343</v>
      </c>
      <c r="BK25" s="959">
        <f t="shared" si="92"/>
        <v>19.967229650801045</v>
      </c>
      <c r="BL25" s="959">
        <f t="shared" si="92"/>
        <v>20.118812890935747</v>
      </c>
      <c r="BM25" s="959">
        <f t="shared" si="92"/>
        <v>20.270396131070449</v>
      </c>
      <c r="BN25" s="959">
        <f t="shared" si="92"/>
        <v>20.42197937120515</v>
      </c>
      <c r="BO25" s="959">
        <f t="shared" si="92"/>
        <v>20.573562611339852</v>
      </c>
      <c r="BP25" s="959">
        <f t="shared" si="92"/>
        <v>20.725145851474554</v>
      </c>
      <c r="BQ25" s="961">
        <f>'AEO Data'!$C$30*BB25</f>
        <v>20.876729091609249</v>
      </c>
      <c r="BR25" s="959">
        <f>($BV25-$BQ25)/5+BQ25</f>
        <v>20.996057748553792</v>
      </c>
      <c r="BS25" s="959">
        <f>($BV25-$BQ25)/5+BR25</f>
        <v>21.115386405498334</v>
      </c>
      <c r="BT25" s="959">
        <f>($BV25-$BQ25)/5+BS25</f>
        <v>21.234715062442877</v>
      </c>
      <c r="BU25" s="959">
        <f>($BV25-$BQ25)/5+BT25</f>
        <v>21.35404371938742</v>
      </c>
      <c r="BV25" s="962">
        <f>'AEO Data'!$D$30*BQ25</f>
        <v>21.473372376331962</v>
      </c>
      <c r="BW25" s="1398">
        <f>+BV25*BW$133/BV$133</f>
        <v>21.544670286660121</v>
      </c>
      <c r="BX25" s="1398">
        <f t="shared" ref="BX25:CZ25" si="93">+BW25*BX$133/BW$133</f>
        <v>21.616204927015033</v>
      </c>
      <c r="BY25" s="1398">
        <f t="shared" si="93"/>
        <v>21.687977083409997</v>
      </c>
      <c r="BZ25" s="1398">
        <f t="shared" si="93"/>
        <v>21.759987544468107</v>
      </c>
      <c r="CA25" s="1398">
        <f t="shared" si="93"/>
        <v>21.832237101430913</v>
      </c>
      <c r="CB25" s="1398">
        <f t="shared" si="93"/>
        <v>21.878825528741867</v>
      </c>
      <c r="CC25" s="1398">
        <f t="shared" si="93"/>
        <v>21.925513372413558</v>
      </c>
      <c r="CD25" s="1398">
        <f t="shared" si="93"/>
        <v>21.972300844593363</v>
      </c>
      <c r="CE25" s="1398">
        <f t="shared" si="93"/>
        <v>22.01918815788137</v>
      </c>
      <c r="CF25" s="1398">
        <f t="shared" si="93"/>
        <v>22.066175525331335</v>
      </c>
      <c r="CG25" s="1398">
        <f t="shared" si="93"/>
        <v>22.081432025482624</v>
      </c>
      <c r="CH25" s="1398">
        <f t="shared" si="93"/>
        <v>22.096699073941053</v>
      </c>
      <c r="CI25" s="1398">
        <f t="shared" si="93"/>
        <v>22.111976677999699</v>
      </c>
      <c r="CJ25" s="1398">
        <f t="shared" si="93"/>
        <v>22.127264844956677</v>
      </c>
      <c r="CK25" s="1398">
        <f t="shared" si="93"/>
        <v>22.142563582115145</v>
      </c>
      <c r="CL25" s="1398">
        <f t="shared" si="93"/>
        <v>22.147749174896123</v>
      </c>
      <c r="CM25" s="1398">
        <f t="shared" si="93"/>
        <v>22.152935982097123</v>
      </c>
      <c r="CN25" s="1398">
        <f t="shared" si="93"/>
        <v>22.158124004002548</v>
      </c>
      <c r="CO25" s="1398">
        <f t="shared" si="93"/>
        <v>22.163313240896873</v>
      </c>
      <c r="CP25" s="1398">
        <f t="shared" si="93"/>
        <v>22.16850369306464</v>
      </c>
      <c r="CQ25" s="1398">
        <f t="shared" si="93"/>
        <v>22.176370321670593</v>
      </c>
      <c r="CR25" s="1398">
        <f t="shared" si="93"/>
        <v>22.184239741797636</v>
      </c>
      <c r="CS25" s="1398">
        <f t="shared" si="93"/>
        <v>22.19211195443636</v>
      </c>
      <c r="CT25" s="1398">
        <f t="shared" si="93"/>
        <v>22.199986960577704</v>
      </c>
      <c r="CU25" s="1398">
        <f t="shared" si="93"/>
        <v>22.207864761212956</v>
      </c>
      <c r="CV25" s="1398">
        <f t="shared" si="93"/>
        <v>22.219988729743012</v>
      </c>
      <c r="CW25" s="1398">
        <f t="shared" si="93"/>
        <v>22.232119317126994</v>
      </c>
      <c r="CX25" s="1398">
        <f t="shared" si="93"/>
        <v>22.244256526978344</v>
      </c>
      <c r="CY25" s="1398">
        <f t="shared" si="93"/>
        <v>22.256400362912476</v>
      </c>
      <c r="CZ25" s="1398">
        <f t="shared" si="93"/>
        <v>22.268550828546775</v>
      </c>
    </row>
    <row r="26" spans="1:104" ht="13" x14ac:dyDescent="0.3">
      <c r="A26" s="875" t="str">
        <f>'HyARC Physical Property Data'!A71</f>
        <v>Commercial Natural Gas</v>
      </c>
      <c r="B26" s="260">
        <v>2011</v>
      </c>
      <c r="C26" s="874">
        <f>VLOOKUP(ref_year,DeflatorTable,2,FALSE)/VLOOKUP(B26,DeflatorTable,2,FALSE)</f>
        <v>1.0784554773635862</v>
      </c>
      <c r="D26" s="1247" t="str">
        <f>'HyARC Physical Property Data'!H71</f>
        <v>mmBtu</v>
      </c>
      <c r="E26" s="874" t="s">
        <v>1058</v>
      </c>
      <c r="F26" s="260">
        <f>'HyARC Physical Property Data'!$E$6</f>
        <v>47.141269049911173</v>
      </c>
      <c r="G26" s="260">
        <f>'HyARC Physical Property Data'!$I$6</f>
        <v>52.224661236371581</v>
      </c>
      <c r="H26" s="1069">
        <v>12.491836786393147</v>
      </c>
      <c r="I26" s="1069">
        <v>12.491836786393147</v>
      </c>
      <c r="J26" s="1069">
        <v>12.491836786393147</v>
      </c>
      <c r="K26" s="1069">
        <v>11.540201846875071</v>
      </c>
      <c r="L26" s="1069">
        <v>11.906633267965836</v>
      </c>
      <c r="M26" s="1069">
        <v>9.3536765847618941</v>
      </c>
      <c r="N26" s="260">
        <f t="shared" ref="N26:AR26" si="94">((N43/(mmBTU_to_GJ))*($C26))*($G26/$F26)</f>
        <v>10.64172897994356</v>
      </c>
      <c r="O26" s="260">
        <f t="shared" si="94"/>
        <v>10.007420451308324</v>
      </c>
      <c r="P26" s="260">
        <f t="shared" si="94"/>
        <v>9.1421449075231607</v>
      </c>
      <c r="Q26" s="260">
        <f t="shared" si="94"/>
        <v>9.5837353677490551</v>
      </c>
      <c r="R26" s="260">
        <f t="shared" si="94"/>
        <v>9.3261316841672954</v>
      </c>
      <c r="S26" s="260">
        <f t="shared" si="94"/>
        <v>9.1778922429136323</v>
      </c>
      <c r="T26" s="260">
        <f t="shared" si="94"/>
        <v>9.6950621689136156</v>
      </c>
      <c r="U26" s="260">
        <f t="shared" si="94"/>
        <v>9.9937516197122047</v>
      </c>
      <c r="V26" s="260">
        <f t="shared" si="94"/>
        <v>10.387270146845841</v>
      </c>
      <c r="W26" s="260">
        <f t="shared" si="94"/>
        <v>10.589454475678709</v>
      </c>
      <c r="X26" s="260">
        <f t="shared" si="94"/>
        <v>10.722185964995566</v>
      </c>
      <c r="Y26" s="260">
        <f t="shared" si="94"/>
        <v>10.884038747145405</v>
      </c>
      <c r="Z26" s="260">
        <f t="shared" si="94"/>
        <v>11.119862897234498</v>
      </c>
      <c r="AA26" s="260">
        <f t="shared" si="94"/>
        <v>11.337766948634531</v>
      </c>
      <c r="AB26" s="260">
        <f t="shared" si="94"/>
        <v>11.475270638145757</v>
      </c>
      <c r="AC26" s="260">
        <f t="shared" si="94"/>
        <v>11.543938680619837</v>
      </c>
      <c r="AD26" s="260">
        <f t="shared" si="94"/>
        <v>11.704619363291469</v>
      </c>
      <c r="AE26" s="260">
        <f t="shared" si="94"/>
        <v>11.764049902921345</v>
      </c>
      <c r="AF26" s="260">
        <f t="shared" si="94"/>
        <v>11.890869934000278</v>
      </c>
      <c r="AG26" s="260">
        <f t="shared" si="94"/>
        <v>12.010138700035061</v>
      </c>
      <c r="AH26" s="260">
        <f t="shared" si="94"/>
        <v>12.114209809067368</v>
      </c>
      <c r="AI26" s="260">
        <f t="shared" si="94"/>
        <v>12.267307517723458</v>
      </c>
      <c r="AJ26" s="260">
        <f t="shared" si="94"/>
        <v>12.405684336411204</v>
      </c>
      <c r="AK26" s="260">
        <f t="shared" si="94"/>
        <v>12.591270151184064</v>
      </c>
      <c r="AL26" s="260">
        <f t="shared" si="94"/>
        <v>12.891290246317817</v>
      </c>
      <c r="AM26" s="260">
        <f t="shared" si="94"/>
        <v>13.22904741479684</v>
      </c>
      <c r="AN26" s="260">
        <f t="shared" si="94"/>
        <v>13.658744745824521</v>
      </c>
      <c r="AO26" s="260">
        <f t="shared" si="94"/>
        <v>14.044020072859722</v>
      </c>
      <c r="AP26" s="260">
        <f t="shared" si="94"/>
        <v>14.474602990159831</v>
      </c>
      <c r="AQ26" s="260">
        <f t="shared" si="94"/>
        <v>14.664146764040265</v>
      </c>
      <c r="AR26" s="260">
        <f t="shared" si="94"/>
        <v>14.963148774699713</v>
      </c>
      <c r="AS26" s="260">
        <f t="shared" ref="AS26:BA26" si="95">($BB26-$AR26)/10+AR26</f>
        <v>14.955403062800835</v>
      </c>
      <c r="AT26" s="260">
        <f t="shared" si="95"/>
        <v>14.947657350901958</v>
      </c>
      <c r="AU26" s="260">
        <f t="shared" si="95"/>
        <v>14.93991163900308</v>
      </c>
      <c r="AV26" s="260">
        <f t="shared" si="95"/>
        <v>14.932165927104203</v>
      </c>
      <c r="AW26" s="260">
        <f t="shared" si="95"/>
        <v>14.924420215205325</v>
      </c>
      <c r="AX26" s="260">
        <f t="shared" si="95"/>
        <v>14.916674503306448</v>
      </c>
      <c r="AY26" s="260">
        <f t="shared" si="95"/>
        <v>14.90892879140757</v>
      </c>
      <c r="AZ26" s="260">
        <f t="shared" si="95"/>
        <v>14.901183079508693</v>
      </c>
      <c r="BA26" s="260">
        <f t="shared" si="95"/>
        <v>14.893437367609815</v>
      </c>
      <c r="BB26" s="939">
        <f>'AEO Data'!$B$30*AM26</f>
        <v>14.885691655710941</v>
      </c>
      <c r="BC26" s="260">
        <f t="shared" ref="BC26:BP28" si="96">($BQ26-$BB26)/15+BB26</f>
        <v>15.006985196500363</v>
      </c>
      <c r="BD26" s="260">
        <f t="shared" si="96"/>
        <v>15.128278737289785</v>
      </c>
      <c r="BE26" s="260">
        <f t="shared" si="96"/>
        <v>15.249572278079206</v>
      </c>
      <c r="BF26" s="260">
        <f t="shared" si="96"/>
        <v>15.370865818868628</v>
      </c>
      <c r="BG26" s="260">
        <f t="shared" si="96"/>
        <v>15.49215935965805</v>
      </c>
      <c r="BH26" s="260">
        <f t="shared" si="96"/>
        <v>15.613452900447472</v>
      </c>
      <c r="BI26" s="260">
        <f t="shared" si="96"/>
        <v>15.734746441236894</v>
      </c>
      <c r="BJ26" s="260">
        <f t="shared" si="96"/>
        <v>15.856039982026315</v>
      </c>
      <c r="BK26" s="260">
        <f t="shared" si="96"/>
        <v>15.977333522815737</v>
      </c>
      <c r="BL26" s="260">
        <f t="shared" si="96"/>
        <v>16.098627063605161</v>
      </c>
      <c r="BM26" s="260">
        <f t="shared" si="96"/>
        <v>16.219920604394584</v>
      </c>
      <c r="BN26" s="260">
        <f t="shared" si="96"/>
        <v>16.341214145184008</v>
      </c>
      <c r="BO26" s="260">
        <f t="shared" si="96"/>
        <v>16.462507685973431</v>
      </c>
      <c r="BP26" s="260">
        <f t="shared" si="96"/>
        <v>16.583801226762855</v>
      </c>
      <c r="BQ26" s="939">
        <f>'AEO Data'!$C$30*BB26</f>
        <v>16.705094767552271</v>
      </c>
      <c r="BR26" s="260">
        <f t="shared" ref="BR26:BU28" si="97">($BV26-$BQ26)/5+BQ26</f>
        <v>16.800578907524393</v>
      </c>
      <c r="BS26" s="260">
        <f t="shared" si="97"/>
        <v>16.896063047496515</v>
      </c>
      <c r="BT26" s="260">
        <f t="shared" si="97"/>
        <v>16.991547187468637</v>
      </c>
      <c r="BU26" s="260">
        <f t="shared" si="97"/>
        <v>17.087031327440759</v>
      </c>
      <c r="BV26" s="963">
        <f>'AEO Data'!$D$30*BQ26</f>
        <v>17.182515467412887</v>
      </c>
      <c r="BW26" s="1398">
        <f>+BV26*BW$134/BV$134</f>
        <v>17.239566471118206</v>
      </c>
      <c r="BX26" s="1398">
        <f t="shared" ref="BX26:CZ26" si="98">+BW26*BX$134/BW$134</f>
        <v>17.296806900931124</v>
      </c>
      <c r="BY26" s="1398">
        <f t="shared" si="98"/>
        <v>17.354237385802019</v>
      </c>
      <c r="BZ26" s="1398">
        <f t="shared" si="98"/>
        <v>17.41185855676957</v>
      </c>
      <c r="CA26" s="1398">
        <f t="shared" si="98"/>
        <v>17.469671046967683</v>
      </c>
      <c r="CB26" s="1398">
        <f t="shared" si="98"/>
        <v>17.506950071372589</v>
      </c>
      <c r="CC26" s="1398">
        <f t="shared" si="98"/>
        <v>17.544308646540465</v>
      </c>
      <c r="CD26" s="1398">
        <f t="shared" si="98"/>
        <v>17.581746942226928</v>
      </c>
      <c r="CE26" s="1398">
        <f t="shared" si="98"/>
        <v>17.619265128549845</v>
      </c>
      <c r="CF26" s="1398">
        <f t="shared" si="98"/>
        <v>17.656863375990099</v>
      </c>
      <c r="CG26" s="1398">
        <f t="shared" si="98"/>
        <v>17.669071288433191</v>
      </c>
      <c r="CH26" s="1398">
        <f t="shared" si="98"/>
        <v>17.681287641397287</v>
      </c>
      <c r="CI26" s="1398">
        <f t="shared" si="98"/>
        <v>17.693512440718141</v>
      </c>
      <c r="CJ26" s="1398">
        <f t="shared" si="98"/>
        <v>17.705745692235549</v>
      </c>
      <c r="CK26" s="1398">
        <f t="shared" si="98"/>
        <v>17.717987401793337</v>
      </c>
      <c r="CL26" s="1398">
        <f t="shared" si="98"/>
        <v>17.722136797920101</v>
      </c>
      <c r="CM26" s="1398">
        <f t="shared" si="98"/>
        <v>17.726287165798784</v>
      </c>
      <c r="CN26" s="1398">
        <f t="shared" si="98"/>
        <v>17.730438505656959</v>
      </c>
      <c r="CO26" s="1398">
        <f t="shared" si="98"/>
        <v>17.734590817722253</v>
      </c>
      <c r="CP26" s="1398">
        <f t="shared" si="98"/>
        <v>17.738744102222352</v>
      </c>
      <c r="CQ26" s="1398">
        <f t="shared" si="98"/>
        <v>17.745038803647411</v>
      </c>
      <c r="CR26" s="1398">
        <f t="shared" si="98"/>
        <v>17.751335738785624</v>
      </c>
      <c r="CS26" s="1398">
        <f t="shared" si="98"/>
        <v>17.75763490842964</v>
      </c>
      <c r="CT26" s="1398">
        <f t="shared" si="98"/>
        <v>17.763936313372383</v>
      </c>
      <c r="CU26" s="1398">
        <f t="shared" si="98"/>
        <v>17.770239954407064</v>
      </c>
      <c r="CV26" s="1398">
        <f t="shared" si="98"/>
        <v>17.779941284647286</v>
      </c>
      <c r="CW26" s="1398">
        <f t="shared" si="98"/>
        <v>17.789647911147362</v>
      </c>
      <c r="CX26" s="1398">
        <f t="shared" si="98"/>
        <v>17.799359836798683</v>
      </c>
      <c r="CY26" s="1398">
        <f t="shared" si="98"/>
        <v>17.809077064494225</v>
      </c>
      <c r="CZ26" s="1398">
        <f t="shared" si="98"/>
        <v>17.818799597128535</v>
      </c>
    </row>
    <row r="27" spans="1:104" ht="13" x14ac:dyDescent="0.3">
      <c r="A27" s="875" t="str">
        <f>'HyARC Physical Property Data'!A72</f>
        <v>Industrial Natural Gas</v>
      </c>
      <c r="B27" s="260">
        <v>2011</v>
      </c>
      <c r="C27" s="874">
        <f t="shared" ref="C27:C35" si="99">VLOOKUP(ref_year,DeflatorTable,2,FALSE)/VLOOKUP(B27,DeflatorTable,2,FALSE)</f>
        <v>1.0784554773635862</v>
      </c>
      <c r="D27" s="1247" t="str">
        <f>'HyARC Physical Property Data'!H72</f>
        <v>mmBtu</v>
      </c>
      <c r="E27" s="874" t="s">
        <v>1058</v>
      </c>
      <c r="F27" s="260">
        <f>'HyARC Physical Property Data'!$E$6</f>
        <v>47.141269049911173</v>
      </c>
      <c r="G27" s="260">
        <f>'HyARC Physical Property Data'!$I$6</f>
        <v>52.224661236371581</v>
      </c>
      <c r="H27" s="1069">
        <v>8.3524006010892204</v>
      </c>
      <c r="I27" s="1069">
        <v>8.3524006010892204</v>
      </c>
      <c r="J27" s="1069">
        <v>8.3524006010892204</v>
      </c>
      <c r="K27" s="1069">
        <v>7.891606632326889</v>
      </c>
      <c r="L27" s="1069">
        <v>9.2420298006250725</v>
      </c>
      <c r="M27" s="1069">
        <v>5.091378564817072</v>
      </c>
      <c r="N27" s="260">
        <f t="shared" ref="N27:AR27" si="100">((N44/(mmBTU_to_GJ))*($C27))*($G27/$F27)</f>
        <v>6.2103832410803772</v>
      </c>
      <c r="O27" s="260">
        <f t="shared" si="100"/>
        <v>5.5375335901824529</v>
      </c>
      <c r="P27" s="260">
        <f t="shared" si="100"/>
        <v>4.2577062790619404</v>
      </c>
      <c r="Q27" s="260">
        <f t="shared" si="100"/>
        <v>4.9080821964863821</v>
      </c>
      <c r="R27" s="260">
        <f t="shared" si="100"/>
        <v>4.9545856679580433</v>
      </c>
      <c r="S27" s="260">
        <f t="shared" si="100"/>
        <v>5.0083584211211258</v>
      </c>
      <c r="T27" s="260">
        <f t="shared" si="100"/>
        <v>5.5106070111550416</v>
      </c>
      <c r="U27" s="260">
        <f t="shared" si="100"/>
        <v>5.7392570064668833</v>
      </c>
      <c r="V27" s="260">
        <f t="shared" si="100"/>
        <v>6.0261280706426819</v>
      </c>
      <c r="W27" s="260">
        <f t="shared" si="100"/>
        <v>6.171696031056638</v>
      </c>
      <c r="X27" s="260">
        <f t="shared" si="100"/>
        <v>6.2618559613543372</v>
      </c>
      <c r="Y27" s="260">
        <f t="shared" si="100"/>
        <v>6.3878674136627964</v>
      </c>
      <c r="Z27" s="260">
        <f t="shared" si="100"/>
        <v>6.5997410981821893</v>
      </c>
      <c r="AA27" s="260">
        <f t="shared" si="100"/>
        <v>6.8069026030602018</v>
      </c>
      <c r="AB27" s="260">
        <f t="shared" si="100"/>
        <v>6.91936073502547</v>
      </c>
      <c r="AC27" s="260">
        <f t="shared" si="100"/>
        <v>6.9660068968683904</v>
      </c>
      <c r="AD27" s="260">
        <f t="shared" si="100"/>
        <v>7.0844183882123479</v>
      </c>
      <c r="AE27" s="260">
        <f t="shared" si="100"/>
        <v>7.1287611197763514</v>
      </c>
      <c r="AF27" s="260">
        <f t="shared" si="100"/>
        <v>7.2441206226239103</v>
      </c>
      <c r="AG27" s="260">
        <f t="shared" si="100"/>
        <v>7.3454421108512973</v>
      </c>
      <c r="AH27" s="260">
        <f t="shared" si="100"/>
        <v>7.4306384546630166</v>
      </c>
      <c r="AI27" s="260">
        <f t="shared" si="100"/>
        <v>7.5610393345826239</v>
      </c>
      <c r="AJ27" s="260">
        <f t="shared" si="100"/>
        <v>7.6680605104175692</v>
      </c>
      <c r="AK27" s="260">
        <f t="shared" si="100"/>
        <v>7.8321068739097237</v>
      </c>
      <c r="AL27" s="260">
        <f t="shared" si="100"/>
        <v>8.1183505534372813</v>
      </c>
      <c r="AM27" s="260">
        <f t="shared" si="100"/>
        <v>8.4316589725104603</v>
      </c>
      <c r="AN27" s="260">
        <f t="shared" si="100"/>
        <v>8.8481676363659503</v>
      </c>
      <c r="AO27" s="260">
        <f t="shared" si="100"/>
        <v>9.2337204169008231</v>
      </c>
      <c r="AP27" s="260">
        <f t="shared" si="100"/>
        <v>9.6247135509558071</v>
      </c>
      <c r="AQ27" s="260">
        <f t="shared" si="100"/>
        <v>9.783781605939545</v>
      </c>
      <c r="AR27" s="260">
        <f t="shared" si="100"/>
        <v>10.057511566400239</v>
      </c>
      <c r="AS27" s="260">
        <f t="shared" ref="AS27:BA27" si="101">($BB27-$AR27)/10+AR27</f>
        <v>10.000514100600522</v>
      </c>
      <c r="AT27" s="260">
        <f t="shared" si="101"/>
        <v>9.9435166348008064</v>
      </c>
      <c r="AU27" s="260">
        <f t="shared" si="101"/>
        <v>9.8865191690010903</v>
      </c>
      <c r="AV27" s="260">
        <f t="shared" si="101"/>
        <v>9.8295217032013742</v>
      </c>
      <c r="AW27" s="260">
        <f t="shared" si="101"/>
        <v>9.7725242374016581</v>
      </c>
      <c r="AX27" s="260">
        <f t="shared" si="101"/>
        <v>9.715526771601942</v>
      </c>
      <c r="AY27" s="260">
        <f t="shared" si="101"/>
        <v>9.6585293058022259</v>
      </c>
      <c r="AZ27" s="260">
        <f t="shared" si="101"/>
        <v>9.6015318400025098</v>
      </c>
      <c r="BA27" s="260">
        <f t="shared" si="101"/>
        <v>9.5445343742027937</v>
      </c>
      <c r="BB27" s="939">
        <f>'AEO Data'!$B$30*AM27</f>
        <v>9.4875369084030705</v>
      </c>
      <c r="BC27" s="260">
        <f t="shared" si="96"/>
        <v>9.5648444982421381</v>
      </c>
      <c r="BD27" s="260">
        <f t="shared" si="96"/>
        <v>9.6421520880812057</v>
      </c>
      <c r="BE27" s="260">
        <f t="shared" si="96"/>
        <v>9.7194596779202733</v>
      </c>
      <c r="BF27" s="260">
        <f t="shared" si="96"/>
        <v>9.7967672677593409</v>
      </c>
      <c r="BG27" s="260">
        <f t="shared" si="96"/>
        <v>9.8740748575984085</v>
      </c>
      <c r="BH27" s="260">
        <f t="shared" si="96"/>
        <v>9.9513824474374761</v>
      </c>
      <c r="BI27" s="260">
        <f t="shared" si="96"/>
        <v>10.028690037276544</v>
      </c>
      <c r="BJ27" s="260">
        <f t="shared" si="96"/>
        <v>10.105997627115611</v>
      </c>
      <c r="BK27" s="260">
        <f t="shared" si="96"/>
        <v>10.183305216954679</v>
      </c>
      <c r="BL27" s="260">
        <f t="shared" si="96"/>
        <v>10.260612806793747</v>
      </c>
      <c r="BM27" s="260">
        <f t="shared" si="96"/>
        <v>10.337920396632814</v>
      </c>
      <c r="BN27" s="260">
        <f t="shared" si="96"/>
        <v>10.415227986471882</v>
      </c>
      <c r="BO27" s="260">
        <f t="shared" si="96"/>
        <v>10.492535576310949</v>
      </c>
      <c r="BP27" s="260">
        <f t="shared" si="96"/>
        <v>10.569843166150017</v>
      </c>
      <c r="BQ27" s="939">
        <f>'AEO Data'!$C$30*BB27</f>
        <v>10.647150755989088</v>
      </c>
      <c r="BR27" s="260">
        <f t="shared" si="97"/>
        <v>10.708008479170871</v>
      </c>
      <c r="BS27" s="260">
        <f t="shared" si="97"/>
        <v>10.768866202352655</v>
      </c>
      <c r="BT27" s="260">
        <f t="shared" si="97"/>
        <v>10.829723925534438</v>
      </c>
      <c r="BU27" s="260">
        <f t="shared" si="97"/>
        <v>10.890581648716221</v>
      </c>
      <c r="BV27" s="963">
        <f>'AEO Data'!$D$30*BQ27</f>
        <v>10.951439371898008</v>
      </c>
      <c r="BW27" s="1398">
        <f>+BV27*BW$135/BV$135</f>
        <v>10.987801370778188</v>
      </c>
      <c r="BX27" s="1398">
        <f t="shared" ref="BX27:CZ27" si="102">+BW27*BX$135/BW$135</f>
        <v>11.024284102186545</v>
      </c>
      <c r="BY27" s="1398">
        <f t="shared" si="102"/>
        <v>11.060887966990576</v>
      </c>
      <c r="BZ27" s="1398">
        <f t="shared" si="102"/>
        <v>11.097613367388767</v>
      </c>
      <c r="CA27" s="1398">
        <f t="shared" si="102"/>
        <v>11.134460706915034</v>
      </c>
      <c r="CB27" s="1398">
        <f t="shared" si="102"/>
        <v>11.158220847063788</v>
      </c>
      <c r="CC27" s="1398">
        <f t="shared" si="102"/>
        <v>11.18203168964661</v>
      </c>
      <c r="CD27" s="1398">
        <f t="shared" si="102"/>
        <v>11.205893342858859</v>
      </c>
      <c r="CE27" s="1398">
        <f t="shared" si="102"/>
        <v>11.229805915126768</v>
      </c>
      <c r="CF27" s="1398">
        <f t="shared" si="102"/>
        <v>11.253769515107949</v>
      </c>
      <c r="CG27" s="1398">
        <f t="shared" si="102"/>
        <v>11.261550344011113</v>
      </c>
      <c r="CH27" s="1398">
        <f t="shared" si="102"/>
        <v>11.26933655256048</v>
      </c>
      <c r="CI27" s="1398">
        <f t="shared" si="102"/>
        <v>11.277128144475522</v>
      </c>
      <c r="CJ27" s="1398">
        <f t="shared" si="102"/>
        <v>11.284925123478285</v>
      </c>
      <c r="CK27" s="1398">
        <f t="shared" si="102"/>
        <v>11.292727493293389</v>
      </c>
      <c r="CL27" s="1398">
        <f t="shared" si="102"/>
        <v>11.295372150311067</v>
      </c>
      <c r="CM27" s="1398">
        <f t="shared" si="102"/>
        <v>11.298017426684055</v>
      </c>
      <c r="CN27" s="1398">
        <f t="shared" si="102"/>
        <v>11.300663322557401</v>
      </c>
      <c r="CO27" s="1398">
        <f t="shared" si="102"/>
        <v>11.303309838076188</v>
      </c>
      <c r="CP27" s="1398">
        <f t="shared" si="102"/>
        <v>11.305956973385531</v>
      </c>
      <c r="CQ27" s="1398">
        <f t="shared" si="102"/>
        <v>11.309968961103596</v>
      </c>
      <c r="CR27" s="1398">
        <f t="shared" si="102"/>
        <v>11.31398237249995</v>
      </c>
      <c r="CS27" s="1398">
        <f t="shared" si="102"/>
        <v>11.317997208079792</v>
      </c>
      <c r="CT27" s="1398">
        <f t="shared" si="102"/>
        <v>11.3220134683485</v>
      </c>
      <c r="CU27" s="1398">
        <f t="shared" si="102"/>
        <v>11.326031153811636</v>
      </c>
      <c r="CV27" s="1398">
        <f t="shared" si="102"/>
        <v>11.332214388749156</v>
      </c>
      <c r="CW27" s="1398">
        <f t="shared" si="102"/>
        <v>11.338400999308178</v>
      </c>
      <c r="CX27" s="1398">
        <f t="shared" si="102"/>
        <v>11.344590987331557</v>
      </c>
      <c r="CY27" s="1398">
        <f t="shared" si="102"/>
        <v>11.350784354663158</v>
      </c>
      <c r="CZ27" s="1398">
        <f t="shared" si="102"/>
        <v>11.356981103147852</v>
      </c>
    </row>
    <row r="28" spans="1:104" ht="13" x14ac:dyDescent="0.3">
      <c r="A28" s="875" t="str">
        <f>'HyARC Physical Property Data'!A74</f>
        <v>Electric Utility Natural Gas</v>
      </c>
      <c r="B28" s="260">
        <v>2011</v>
      </c>
      <c r="C28" s="874">
        <f t="shared" si="99"/>
        <v>1.0784554773635862</v>
      </c>
      <c r="D28" s="1260" t="str">
        <f>'HyARC Physical Property Data'!H74</f>
        <v>mmBtu</v>
      </c>
      <c r="E28" s="874" t="s">
        <v>1058</v>
      </c>
      <c r="F28" s="260">
        <f>'HyARC Physical Property Data'!$E$6</f>
        <v>47.141269049911173</v>
      </c>
      <c r="G28" s="260">
        <f>'HyARC Physical Property Data'!$I$6</f>
        <v>52.224661236371581</v>
      </c>
      <c r="H28" s="1069">
        <v>7.4079259090132386</v>
      </c>
      <c r="I28" s="1069">
        <v>7.4079259090132386</v>
      </c>
      <c r="J28" s="1069">
        <v>7.4079259090132386</v>
      </c>
      <c r="K28" s="1069">
        <v>7.3706710915002853</v>
      </c>
      <c r="L28" s="1069">
        <v>9.3158925097981644</v>
      </c>
      <c r="M28" s="1069">
        <v>4.7837623175056114</v>
      </c>
      <c r="N28" s="260">
        <f t="shared" ref="N28:AR28" si="103">((N45/(mmBTU_to_GJ))*($C28))*($G28/$F28)</f>
        <v>5.9546786983922937</v>
      </c>
      <c r="O28" s="260">
        <f t="shared" si="103"/>
        <v>5.4071882009627821</v>
      </c>
      <c r="P28" s="260">
        <f t="shared" si="103"/>
        <v>3.7617666418716023</v>
      </c>
      <c r="Q28" s="260">
        <f t="shared" si="103"/>
        <v>4.2077012311780857</v>
      </c>
      <c r="R28" s="260">
        <f t="shared" si="103"/>
        <v>4.2560449554536968</v>
      </c>
      <c r="S28" s="260">
        <f t="shared" si="103"/>
        <v>4.351004265064101</v>
      </c>
      <c r="T28" s="260">
        <f t="shared" si="103"/>
        <v>4.8499075586162492</v>
      </c>
      <c r="U28" s="260">
        <f t="shared" si="103"/>
        <v>5.0379587459147714</v>
      </c>
      <c r="V28" s="260">
        <f t="shared" si="103"/>
        <v>5.3255342022407595</v>
      </c>
      <c r="W28" s="260">
        <f t="shared" si="103"/>
        <v>5.4610005903401024</v>
      </c>
      <c r="X28" s="260">
        <f t="shared" si="103"/>
        <v>5.5453996800139871</v>
      </c>
      <c r="Y28" s="260">
        <f t="shared" si="103"/>
        <v>5.6707180648048965</v>
      </c>
      <c r="Z28" s="260">
        <f t="shared" si="103"/>
        <v>5.8914702613138141</v>
      </c>
      <c r="AA28" s="260">
        <f t="shared" si="103"/>
        <v>6.1025908577626655</v>
      </c>
      <c r="AB28" s="260">
        <f t="shared" si="103"/>
        <v>6.248858680473754</v>
      </c>
      <c r="AC28" s="260">
        <f t="shared" si="103"/>
        <v>6.3168359203568114</v>
      </c>
      <c r="AD28" s="260">
        <f t="shared" si="103"/>
        <v>6.465015341057482</v>
      </c>
      <c r="AE28" s="260">
        <f t="shared" si="103"/>
        <v>6.5238626621064135</v>
      </c>
      <c r="AF28" s="260">
        <f t="shared" si="103"/>
        <v>6.6439853054422287</v>
      </c>
      <c r="AG28" s="260">
        <f t="shared" si="103"/>
        <v>6.7551648863824747</v>
      </c>
      <c r="AH28" s="260">
        <f t="shared" si="103"/>
        <v>6.8546302673202151</v>
      </c>
      <c r="AI28" s="260">
        <f t="shared" si="103"/>
        <v>7.0027927010719244</v>
      </c>
      <c r="AJ28" s="260">
        <f t="shared" si="103"/>
        <v>7.1267928986235729</v>
      </c>
      <c r="AK28" s="260">
        <f t="shared" si="103"/>
        <v>7.2997143767154569</v>
      </c>
      <c r="AL28" s="260">
        <f t="shared" si="103"/>
        <v>7.5856330392862574</v>
      </c>
      <c r="AM28" s="260">
        <f t="shared" si="103"/>
        <v>7.9050986611256384</v>
      </c>
      <c r="AN28" s="260">
        <f t="shared" si="103"/>
        <v>8.3181385900035885</v>
      </c>
      <c r="AO28" s="260">
        <f t="shared" si="103"/>
        <v>8.6915977953425259</v>
      </c>
      <c r="AP28" s="260">
        <f t="shared" si="103"/>
        <v>9.0845976543012643</v>
      </c>
      <c r="AQ28" s="260">
        <f t="shared" si="103"/>
        <v>9.2352243281153736</v>
      </c>
      <c r="AR28" s="260">
        <f t="shared" si="103"/>
        <v>9.4875314810115476</v>
      </c>
      <c r="AS28" s="260">
        <f t="shared" ref="AS28:BA28" si="104">($BB28-$AR28)/10+AR28</f>
        <v>9.4282819947225889</v>
      </c>
      <c r="AT28" s="260">
        <f t="shared" si="104"/>
        <v>9.3690325084336301</v>
      </c>
      <c r="AU28" s="260">
        <f t="shared" si="104"/>
        <v>9.3097830221446713</v>
      </c>
      <c r="AV28" s="260">
        <f t="shared" si="104"/>
        <v>9.2505335358557126</v>
      </c>
      <c r="AW28" s="260">
        <f t="shared" si="104"/>
        <v>9.1912840495667538</v>
      </c>
      <c r="AX28" s="260">
        <f t="shared" si="104"/>
        <v>9.1320345632777951</v>
      </c>
      <c r="AY28" s="260">
        <f t="shared" si="104"/>
        <v>9.0727850769888363</v>
      </c>
      <c r="AZ28" s="260">
        <f t="shared" si="104"/>
        <v>9.0135355906998775</v>
      </c>
      <c r="BA28" s="260">
        <f t="shared" si="104"/>
        <v>8.9542861044109188</v>
      </c>
      <c r="BB28" s="939">
        <f>'AEO Data'!$B$30*AM28</f>
        <v>8.8950366181219671</v>
      </c>
      <c r="BC28" s="260">
        <f t="shared" si="96"/>
        <v>8.967516319557248</v>
      </c>
      <c r="BD28" s="260">
        <f t="shared" si="96"/>
        <v>9.039996020992529</v>
      </c>
      <c r="BE28" s="260">
        <f t="shared" si="96"/>
        <v>9.1124757224278099</v>
      </c>
      <c r="BF28" s="260">
        <f t="shared" si="96"/>
        <v>9.1849554238630908</v>
      </c>
      <c r="BG28" s="260">
        <f t="shared" si="96"/>
        <v>9.2574351252983718</v>
      </c>
      <c r="BH28" s="260">
        <f t="shared" si="96"/>
        <v>9.3299148267336527</v>
      </c>
      <c r="BI28" s="260">
        <f t="shared" si="96"/>
        <v>9.4023945281689336</v>
      </c>
      <c r="BJ28" s="260">
        <f t="shared" si="96"/>
        <v>9.4748742296042145</v>
      </c>
      <c r="BK28" s="260">
        <f t="shared" si="96"/>
        <v>9.5473539310394955</v>
      </c>
      <c r="BL28" s="260">
        <f t="shared" si="96"/>
        <v>9.6198336324747764</v>
      </c>
      <c r="BM28" s="260">
        <f t="shared" si="96"/>
        <v>9.6923133339100573</v>
      </c>
      <c r="BN28" s="260">
        <f t="shared" si="96"/>
        <v>9.7647930353453383</v>
      </c>
      <c r="BO28" s="260">
        <f t="shared" si="96"/>
        <v>9.8372727367806192</v>
      </c>
      <c r="BP28" s="260">
        <f t="shared" si="96"/>
        <v>9.9097524382159001</v>
      </c>
      <c r="BQ28" s="939">
        <f>'AEO Data'!$C$30*BB28</f>
        <v>9.9822321396511793</v>
      </c>
      <c r="BR28" s="260">
        <f t="shared" si="97"/>
        <v>10.039289274861693</v>
      </c>
      <c r="BS28" s="260">
        <f t="shared" si="97"/>
        <v>10.096346410072206</v>
      </c>
      <c r="BT28" s="260">
        <f t="shared" si="97"/>
        <v>10.153403545282719</v>
      </c>
      <c r="BU28" s="260">
        <f t="shared" si="97"/>
        <v>10.210460680493233</v>
      </c>
      <c r="BV28" s="963">
        <f>'AEO Data'!$D$30*BQ28</f>
        <v>10.26751781570375</v>
      </c>
      <c r="BW28" s="1398">
        <f>+BV28*BW$136/BV$136</f>
        <v>10.301608993916805</v>
      </c>
      <c r="BX28" s="1398">
        <f t="shared" ref="BX28:CZ28" si="105">+BW28*BX$136/BW$136</f>
        <v>10.335813364865709</v>
      </c>
      <c r="BY28" s="1398">
        <f t="shared" si="105"/>
        <v>10.37013130438363</v>
      </c>
      <c r="BZ28" s="1398">
        <f t="shared" si="105"/>
        <v>10.404563189551611</v>
      </c>
      <c r="CA28" s="1398">
        <f t="shared" si="105"/>
        <v>10.439109398702717</v>
      </c>
      <c r="CB28" s="1398">
        <f t="shared" si="105"/>
        <v>10.461385709057588</v>
      </c>
      <c r="CC28" s="1398">
        <f t="shared" si="105"/>
        <v>10.483709555460226</v>
      </c>
      <c r="CD28" s="1398">
        <f t="shared" si="105"/>
        <v>10.506081039349146</v>
      </c>
      <c r="CE28" s="1398">
        <f t="shared" si="105"/>
        <v>10.528500262379325</v>
      </c>
      <c r="CF28" s="1398">
        <f t="shared" si="105"/>
        <v>10.550967326422667</v>
      </c>
      <c r="CG28" s="1398">
        <f t="shared" si="105"/>
        <v>10.558262239599943</v>
      </c>
      <c r="CH28" s="1398">
        <f t="shared" si="105"/>
        <v>10.565562196462466</v>
      </c>
      <c r="CI28" s="1398">
        <f t="shared" si="105"/>
        <v>10.572867200497431</v>
      </c>
      <c r="CJ28" s="1398">
        <f t="shared" si="105"/>
        <v>10.580177255194439</v>
      </c>
      <c r="CK28" s="1398">
        <f t="shared" si="105"/>
        <v>10.587492364045506</v>
      </c>
      <c r="CL28" s="1398">
        <f t="shared" si="105"/>
        <v>10.589971861226042</v>
      </c>
      <c r="CM28" s="1398">
        <f t="shared" si="105"/>
        <v>10.592451939082915</v>
      </c>
      <c r="CN28" s="1398">
        <f t="shared" si="105"/>
        <v>10.594932597752113</v>
      </c>
      <c r="CO28" s="1398">
        <f t="shared" si="105"/>
        <v>10.597413837369656</v>
      </c>
      <c r="CP28" s="1398">
        <f t="shared" si="105"/>
        <v>10.599895658071597</v>
      </c>
      <c r="CQ28" s="1398">
        <f t="shared" si="105"/>
        <v>10.603657095629963</v>
      </c>
      <c r="CR28" s="1398">
        <f t="shared" si="105"/>
        <v>10.607419867957365</v>
      </c>
      <c r="CS28" s="1398">
        <f t="shared" si="105"/>
        <v>10.611183975527453</v>
      </c>
      <c r="CT28" s="1398">
        <f t="shared" si="105"/>
        <v>10.614949418814046</v>
      </c>
      <c r="CU28" s="1398">
        <f t="shared" si="105"/>
        <v>10.618716198291134</v>
      </c>
      <c r="CV28" s="1398">
        <f t="shared" si="105"/>
        <v>10.624513287853858</v>
      </c>
      <c r="CW28" s="1398">
        <f t="shared" si="105"/>
        <v>10.630313542229239</v>
      </c>
      <c r="CX28" s="1398">
        <f t="shared" si="105"/>
        <v>10.636116963145044</v>
      </c>
      <c r="CY28" s="1398">
        <f t="shared" si="105"/>
        <v>10.641923552329986</v>
      </c>
      <c r="CZ28" s="1398">
        <f t="shared" si="105"/>
        <v>10.647733311513726</v>
      </c>
    </row>
    <row r="29" spans="1:104" ht="13" x14ac:dyDescent="0.3">
      <c r="A29" s="875" t="str">
        <f>'HyARC Physical Property Data'!A75</f>
        <v>Bio Methane</v>
      </c>
      <c r="B29" s="260">
        <v>2007</v>
      </c>
      <c r="C29" s="874">
        <f t="shared" si="99"/>
        <v>1.1446359956438654</v>
      </c>
      <c r="D29" s="1260" t="str">
        <f>'HyARC Physical Property Data'!H75</f>
        <v>mmBtu</v>
      </c>
      <c r="E29" s="874" t="s">
        <v>1058</v>
      </c>
      <c r="F29" s="260">
        <f>'HyARC Physical Property Data'!$E$6</f>
        <v>47.141269049911173</v>
      </c>
      <c r="G29" s="260">
        <f>'HyARC Physical Property Data'!$I$6</f>
        <v>52.224661236371581</v>
      </c>
      <c r="H29" s="1069">
        <v>12.42654028436019</v>
      </c>
      <c r="I29" s="1069">
        <v>12.42654028436019</v>
      </c>
      <c r="J29" s="1069">
        <v>12.42654028436019</v>
      </c>
      <c r="K29" s="1069">
        <v>12.42654028436019</v>
      </c>
      <c r="L29" s="1069">
        <v>12.42654028436019</v>
      </c>
      <c r="M29" s="1069">
        <v>12.42654028436019</v>
      </c>
      <c r="N29" s="260">
        <f t="shared" ref="N29:AM29" si="106">13.11*($C$29/mmBTU_to_GJ)</f>
        <v>14.223865310797228</v>
      </c>
      <c r="O29" s="260">
        <f t="shared" si="106"/>
        <v>14.223865310797228</v>
      </c>
      <c r="P29" s="260">
        <f t="shared" si="106"/>
        <v>14.223865310797228</v>
      </c>
      <c r="Q29" s="260">
        <f t="shared" si="106"/>
        <v>14.223865310797228</v>
      </c>
      <c r="R29" s="260">
        <f t="shared" si="106"/>
        <v>14.223865310797228</v>
      </c>
      <c r="S29" s="260">
        <f t="shared" si="106"/>
        <v>14.223865310797228</v>
      </c>
      <c r="T29" s="260">
        <f t="shared" si="106"/>
        <v>14.223865310797228</v>
      </c>
      <c r="U29" s="260">
        <f t="shared" si="106"/>
        <v>14.223865310797228</v>
      </c>
      <c r="V29" s="260">
        <f t="shared" si="106"/>
        <v>14.223865310797228</v>
      </c>
      <c r="W29" s="260">
        <f t="shared" si="106"/>
        <v>14.223865310797228</v>
      </c>
      <c r="X29" s="260">
        <f t="shared" si="106"/>
        <v>14.223865310797228</v>
      </c>
      <c r="Y29" s="260">
        <f t="shared" si="106"/>
        <v>14.223865310797228</v>
      </c>
      <c r="Z29" s="260">
        <f t="shared" si="106"/>
        <v>14.223865310797228</v>
      </c>
      <c r="AA29" s="260">
        <f t="shared" si="106"/>
        <v>14.223865310797228</v>
      </c>
      <c r="AB29" s="260">
        <f t="shared" si="106"/>
        <v>14.223865310797228</v>
      </c>
      <c r="AC29" s="260">
        <f t="shared" si="106"/>
        <v>14.223865310797228</v>
      </c>
      <c r="AD29" s="260">
        <f t="shared" si="106"/>
        <v>14.223865310797228</v>
      </c>
      <c r="AE29" s="260">
        <f t="shared" si="106"/>
        <v>14.223865310797228</v>
      </c>
      <c r="AF29" s="260">
        <f t="shared" si="106"/>
        <v>14.223865310797228</v>
      </c>
      <c r="AG29" s="260">
        <f t="shared" si="106"/>
        <v>14.223865310797228</v>
      </c>
      <c r="AH29" s="260">
        <f t="shared" si="106"/>
        <v>14.223865310797228</v>
      </c>
      <c r="AI29" s="260">
        <f t="shared" si="106"/>
        <v>14.223865310797228</v>
      </c>
      <c r="AJ29" s="260">
        <f t="shared" si="106"/>
        <v>14.223865310797228</v>
      </c>
      <c r="AK29" s="260">
        <f t="shared" si="106"/>
        <v>14.223865310797228</v>
      </c>
      <c r="AL29" s="260">
        <f t="shared" si="106"/>
        <v>14.223865310797228</v>
      </c>
      <c r="AM29" s="260">
        <f t="shared" si="106"/>
        <v>14.223865310797228</v>
      </c>
      <c r="AN29" s="260">
        <f t="shared" ref="AN29:BV29" si="107">13.11*($C$29/mmBTU_to_GJ)</f>
        <v>14.223865310797228</v>
      </c>
      <c r="AO29" s="260">
        <f t="shared" si="107"/>
        <v>14.223865310797228</v>
      </c>
      <c r="AP29" s="260">
        <f t="shared" si="107"/>
        <v>14.223865310797228</v>
      </c>
      <c r="AQ29" s="260">
        <f t="shared" si="107"/>
        <v>14.223865310797228</v>
      </c>
      <c r="AR29" s="260">
        <f t="shared" si="107"/>
        <v>14.223865310797228</v>
      </c>
      <c r="AS29" s="260">
        <f t="shared" si="107"/>
        <v>14.223865310797228</v>
      </c>
      <c r="AT29" s="260">
        <f t="shared" si="107"/>
        <v>14.223865310797228</v>
      </c>
      <c r="AU29" s="260">
        <f t="shared" si="107"/>
        <v>14.223865310797228</v>
      </c>
      <c r="AV29" s="260">
        <f t="shared" si="107"/>
        <v>14.223865310797228</v>
      </c>
      <c r="AW29" s="260">
        <f t="shared" si="107"/>
        <v>14.223865310797228</v>
      </c>
      <c r="AX29" s="260">
        <f t="shared" si="107"/>
        <v>14.223865310797228</v>
      </c>
      <c r="AY29" s="260">
        <f t="shared" si="107"/>
        <v>14.223865310797228</v>
      </c>
      <c r="AZ29" s="260">
        <f t="shared" si="107"/>
        <v>14.223865310797228</v>
      </c>
      <c r="BA29" s="260">
        <f t="shared" si="107"/>
        <v>14.223865310797228</v>
      </c>
      <c r="BB29" s="260">
        <f t="shared" si="107"/>
        <v>14.223865310797228</v>
      </c>
      <c r="BC29" s="260">
        <f t="shared" si="107"/>
        <v>14.223865310797228</v>
      </c>
      <c r="BD29" s="260">
        <f t="shared" si="107"/>
        <v>14.223865310797228</v>
      </c>
      <c r="BE29" s="260">
        <f t="shared" si="107"/>
        <v>14.223865310797228</v>
      </c>
      <c r="BF29" s="260">
        <f t="shared" si="107"/>
        <v>14.223865310797228</v>
      </c>
      <c r="BG29" s="260">
        <f t="shared" si="107"/>
        <v>14.223865310797228</v>
      </c>
      <c r="BH29" s="260">
        <f t="shared" si="107"/>
        <v>14.223865310797228</v>
      </c>
      <c r="BI29" s="260">
        <f t="shared" si="107"/>
        <v>14.223865310797228</v>
      </c>
      <c r="BJ29" s="260">
        <f t="shared" si="107"/>
        <v>14.223865310797228</v>
      </c>
      <c r="BK29" s="260">
        <f t="shared" si="107"/>
        <v>14.223865310797228</v>
      </c>
      <c r="BL29" s="260">
        <f t="shared" si="107"/>
        <v>14.223865310797228</v>
      </c>
      <c r="BM29" s="260">
        <f t="shared" si="107"/>
        <v>14.223865310797228</v>
      </c>
      <c r="BN29" s="260">
        <f t="shared" si="107"/>
        <v>14.223865310797228</v>
      </c>
      <c r="BO29" s="260">
        <f t="shared" si="107"/>
        <v>14.223865310797228</v>
      </c>
      <c r="BP29" s="260">
        <f t="shared" si="107"/>
        <v>14.223865310797228</v>
      </c>
      <c r="BQ29" s="260">
        <f t="shared" si="107"/>
        <v>14.223865310797228</v>
      </c>
      <c r="BR29" s="260">
        <f t="shared" si="107"/>
        <v>14.223865310797228</v>
      </c>
      <c r="BS29" s="260">
        <f t="shared" si="107"/>
        <v>14.223865310797228</v>
      </c>
      <c r="BT29" s="260">
        <f t="shared" si="107"/>
        <v>14.223865310797228</v>
      </c>
      <c r="BU29" s="260">
        <f t="shared" si="107"/>
        <v>14.223865310797228</v>
      </c>
      <c r="BV29" s="260">
        <f t="shared" si="107"/>
        <v>14.223865310797228</v>
      </c>
      <c r="BW29" s="1398">
        <f>+BV29*BW$136/BV$136</f>
        <v>14.271092726019944</v>
      </c>
      <c r="BX29" s="1398">
        <f t="shared" ref="BX29:CZ29" si="108">+BW29*BX$136/BW$136</f>
        <v>14.318476950147966</v>
      </c>
      <c r="BY29" s="1398">
        <f t="shared" si="108"/>
        <v>14.366018503832969</v>
      </c>
      <c r="BZ29" s="1398">
        <f t="shared" si="108"/>
        <v>14.413717909455341</v>
      </c>
      <c r="CA29" s="1398">
        <f t="shared" si="108"/>
        <v>14.461575691129934</v>
      </c>
      <c r="CB29" s="1398">
        <f t="shared" si="108"/>
        <v>14.49243565590395</v>
      </c>
      <c r="CC29" s="1398">
        <f t="shared" si="108"/>
        <v>14.523361473628309</v>
      </c>
      <c r="CD29" s="1398">
        <f t="shared" si="108"/>
        <v>14.554353284828478</v>
      </c>
      <c r="CE29" s="1398">
        <f t="shared" si="108"/>
        <v>14.585411230329802</v>
      </c>
      <c r="CF29" s="1398">
        <f t="shared" si="108"/>
        <v>14.616535451258134</v>
      </c>
      <c r="CG29" s="1398">
        <f t="shared" si="108"/>
        <v>14.626641288360148</v>
      </c>
      <c r="CH29" s="1398">
        <f t="shared" si="108"/>
        <v>14.636754112613382</v>
      </c>
      <c r="CI29" s="1398">
        <f t="shared" si="108"/>
        <v>14.646873928848736</v>
      </c>
      <c r="CJ29" s="1398">
        <f t="shared" si="108"/>
        <v>14.657000741900452</v>
      </c>
      <c r="CK29" s="1398">
        <f t="shared" si="108"/>
        <v>14.667134556606111</v>
      </c>
      <c r="CL29" s="1398">
        <f t="shared" si="108"/>
        <v>14.670569469948116</v>
      </c>
      <c r="CM29" s="1398">
        <f t="shared" si="108"/>
        <v>14.674005187716483</v>
      </c>
      <c r="CN29" s="1398">
        <f t="shared" si="108"/>
        <v>14.6774417100996</v>
      </c>
      <c r="CO29" s="1398">
        <f t="shared" si="108"/>
        <v>14.6808790372859</v>
      </c>
      <c r="CP29" s="1398">
        <f t="shared" si="108"/>
        <v>14.684317169463862</v>
      </c>
      <c r="CQ29" s="1398">
        <f t="shared" si="108"/>
        <v>14.689527988881515</v>
      </c>
      <c r="CR29" s="1398">
        <f t="shared" si="108"/>
        <v>14.69474065739019</v>
      </c>
      <c r="CS29" s="1398">
        <f t="shared" si="108"/>
        <v>14.699955175646044</v>
      </c>
      <c r="CT29" s="1398">
        <f t="shared" si="108"/>
        <v>14.705171544305472</v>
      </c>
      <c r="CU29" s="1398">
        <f t="shared" si="108"/>
        <v>14.710389764025104</v>
      </c>
      <c r="CV29" s="1398">
        <f t="shared" si="108"/>
        <v>14.718420626266095</v>
      </c>
      <c r="CW29" s="1398">
        <f t="shared" si="108"/>
        <v>14.726455872806168</v>
      </c>
      <c r="CX29" s="1398">
        <f t="shared" si="108"/>
        <v>14.734495506038849</v>
      </c>
      <c r="CY29" s="1398">
        <f t="shared" si="108"/>
        <v>14.74253952835897</v>
      </c>
      <c r="CZ29" s="1398">
        <f t="shared" si="108"/>
        <v>14.750587942162673</v>
      </c>
    </row>
    <row r="30" spans="1:104" ht="13" x14ac:dyDescent="0.3">
      <c r="A30" s="964" t="str">
        <f>'HyARC Physical Property Data'!A85</f>
        <v>Woody Biomass</v>
      </c>
      <c r="B30" s="260">
        <v>2005</v>
      </c>
      <c r="C30" s="874">
        <f>VLOOKUP(ref_year,DeflatorTable,2,FALSE)/VLOOKUP(B30,DeflatorTable,2,FALSE)</f>
        <v>1.2112501494873942</v>
      </c>
      <c r="D30" s="1260" t="str">
        <f>+'HyARC Physical Property Data'!$H$85</f>
        <v>kg</v>
      </c>
      <c r="E30" s="901" t="s">
        <v>1052</v>
      </c>
      <c r="F30" s="260">
        <f>'HyARC Physical Property Data'!$E$45</f>
        <v>19.551069237418005</v>
      </c>
      <c r="G30" s="260">
        <f>'HyARC Physical Property Data'!$I$45</f>
        <v>20.588656379262464</v>
      </c>
      <c r="H30" s="1070">
        <v>1.3438238843289665</v>
      </c>
      <c r="I30" s="1070">
        <v>1.3438238843289665</v>
      </c>
      <c r="J30" s="1070">
        <v>1.3438238843289665</v>
      </c>
      <c r="K30" s="1070">
        <v>1.3438238843289665</v>
      </c>
      <c r="L30" s="1070">
        <v>1.3438238843289665</v>
      </c>
      <c r="M30" s="1070">
        <v>1.3438238843289665</v>
      </c>
      <c r="N30" s="965">
        <f>1.27*($C$30)</f>
        <v>1.5382876898489906</v>
      </c>
      <c r="O30" s="965">
        <f>1.27*($C$30)</f>
        <v>1.5382876898489906</v>
      </c>
      <c r="P30" s="965">
        <f>1.28*($C$30)</f>
        <v>1.5504001913438645</v>
      </c>
      <c r="Q30" s="965">
        <f>1.32*($C$30)</f>
        <v>1.5988501973233604</v>
      </c>
      <c r="R30" s="965">
        <f>1.32*($C$30)</f>
        <v>1.5988501973233604</v>
      </c>
      <c r="S30" s="965">
        <f>1.34*($C$30)</f>
        <v>1.6230752003131084</v>
      </c>
      <c r="T30" s="965">
        <f>1.34*($C$30)</f>
        <v>1.6230752003131084</v>
      </c>
      <c r="U30" s="965">
        <f>1.36*($C$30)</f>
        <v>1.6473002033028561</v>
      </c>
      <c r="V30" s="965">
        <f>1.36*($C$30)</f>
        <v>1.6473002033028561</v>
      </c>
      <c r="W30" s="965">
        <f>1.38*($C$30)</f>
        <v>1.6715252062926038</v>
      </c>
      <c r="X30" s="965">
        <f>1.4*($C$30)</f>
        <v>1.6957502092823518</v>
      </c>
      <c r="Y30" s="965">
        <f>1.46*($C$30)</f>
        <v>1.7684252182515954</v>
      </c>
      <c r="Z30" s="965">
        <f>1.48*($C$30)</f>
        <v>1.7926502212413433</v>
      </c>
      <c r="AA30" s="965">
        <f>1.48*($C$30)</f>
        <v>1.7926502212413433</v>
      </c>
      <c r="AB30" s="965">
        <f>1.51*($C$30)</f>
        <v>1.8289877257259652</v>
      </c>
      <c r="AC30" s="965">
        <f>1.52*($C$30)</f>
        <v>1.8411002272208392</v>
      </c>
      <c r="AD30" s="965">
        <f>1.62*($C$30)</f>
        <v>1.9622252421695787</v>
      </c>
      <c r="AE30" s="965">
        <f>1.72*($C$30)</f>
        <v>2.083350257118318</v>
      </c>
      <c r="AF30" s="965">
        <f>1.82*($C$30)</f>
        <v>2.2044752720670573</v>
      </c>
      <c r="AG30" s="965">
        <f>1.91*($C$30)</f>
        <v>2.3134877855209228</v>
      </c>
      <c r="AH30" s="965">
        <f>2.01*($C$30)</f>
        <v>2.4346128004696621</v>
      </c>
      <c r="AI30" s="965">
        <f>2.11*($C$30)</f>
        <v>2.5557378154184014</v>
      </c>
      <c r="AJ30" s="965">
        <f>2.2*($C$30)</f>
        <v>2.6647503288722674</v>
      </c>
      <c r="AK30" s="965">
        <f>2.3*($C$30)</f>
        <v>2.7858753438210062</v>
      </c>
      <c r="AL30" s="965">
        <f>2.4*($C$30)</f>
        <v>2.9070003587697459</v>
      </c>
      <c r="AM30" s="965">
        <f>2.5*($C$30)</f>
        <v>3.0281253737184857</v>
      </c>
      <c r="AN30" s="965">
        <f>2.57*($C$30)</f>
        <v>3.1129128841826028</v>
      </c>
      <c r="AO30" s="965">
        <f>2.64*($C$30)</f>
        <v>3.1977003946467208</v>
      </c>
      <c r="AP30" s="965">
        <f>2.71*($C$30)</f>
        <v>3.282487905110838</v>
      </c>
      <c r="AQ30" s="965">
        <f>2.78*($C$30)</f>
        <v>3.3672754155749556</v>
      </c>
      <c r="AR30" s="965">
        <f>2.85*($C$30)</f>
        <v>3.4520629260390736</v>
      </c>
      <c r="AS30" s="965">
        <f>2.92*($C$30)</f>
        <v>3.5368504365031908</v>
      </c>
      <c r="AT30" s="965">
        <f>2.99*($C$30)</f>
        <v>3.6216379469673088</v>
      </c>
      <c r="AU30" s="965">
        <f>3.07*($C$30)</f>
        <v>3.7185379589263001</v>
      </c>
      <c r="AV30" s="965">
        <f>3.14*($C$30)</f>
        <v>3.8033254693904177</v>
      </c>
      <c r="AW30" s="965">
        <f>3.21*($C$30)</f>
        <v>3.8881129798545353</v>
      </c>
      <c r="AX30" s="965">
        <f>3.28*($C$30)</f>
        <v>3.9729004903186529</v>
      </c>
      <c r="AY30" s="965">
        <f>3.35*($C$30)</f>
        <v>4.0576880007827709</v>
      </c>
      <c r="AZ30" s="965">
        <f>3.42*($C$30)</f>
        <v>4.1424755112468876</v>
      </c>
      <c r="BA30" s="965">
        <f>3.49*($C$30)</f>
        <v>4.2272630217110061</v>
      </c>
      <c r="BB30" s="965">
        <f>3.56*($C$30)</f>
        <v>4.3120505321751237</v>
      </c>
      <c r="BC30" s="965">
        <f>3.64*($C$30)</f>
        <v>4.4089505441341146</v>
      </c>
      <c r="BD30" s="965">
        <f>3.71*($C$30)</f>
        <v>4.4937380545982322</v>
      </c>
      <c r="BE30" s="965">
        <f>3.78*($C$30)</f>
        <v>4.5785255650623498</v>
      </c>
      <c r="BF30" s="965">
        <f>3.85*($C$30)</f>
        <v>4.6633130755264673</v>
      </c>
      <c r="BG30" s="965">
        <f>3.92*($C$30)</f>
        <v>4.7481005859905849</v>
      </c>
      <c r="BH30" s="965">
        <f>3.99*($C$30)</f>
        <v>4.8328880964547034</v>
      </c>
      <c r="BI30" s="965">
        <f>4.06*($C$30)</f>
        <v>4.9176756069188201</v>
      </c>
      <c r="BJ30" s="965">
        <f>4.14*($C$30)</f>
        <v>5.0145756188778119</v>
      </c>
      <c r="BK30" s="965">
        <f>4.21*($C$30)</f>
        <v>5.0993631293419295</v>
      </c>
      <c r="BL30" s="965">
        <f>4.28*($C$30)</f>
        <v>5.1841506398060471</v>
      </c>
      <c r="BM30" s="965">
        <f>4.35*($C$30)</f>
        <v>5.2689381502701647</v>
      </c>
      <c r="BN30" s="965">
        <f>4.42*($C$30)</f>
        <v>5.3537256607342822</v>
      </c>
      <c r="BO30" s="965">
        <f>4.49*($C$30)</f>
        <v>5.4385131711983998</v>
      </c>
      <c r="BP30" s="965">
        <f>4.56*($C$30)</f>
        <v>5.5233006816625174</v>
      </c>
      <c r="BQ30" s="965">
        <f>4.63*($C$30)</f>
        <v>5.608088192126635</v>
      </c>
      <c r="BR30" s="965">
        <f>4.71*($C$30)</f>
        <v>5.7049882040856268</v>
      </c>
      <c r="BS30" s="965">
        <f>4.78*($C$30)</f>
        <v>5.7897757145497444</v>
      </c>
      <c r="BT30" s="965">
        <f>4.85*($C$30)</f>
        <v>5.8745632250138611</v>
      </c>
      <c r="BU30" s="965">
        <f>4.92*($C$30)</f>
        <v>5.9593507354779796</v>
      </c>
      <c r="BV30" s="966">
        <f>4.99*($C$30)</f>
        <v>6.0441382459420971</v>
      </c>
      <c r="BW30" s="1398">
        <f>+BV30*BW$137/BV$137</f>
        <v>6.0586659764672328</v>
      </c>
      <c r="BX30" s="1398">
        <f t="shared" ref="BX30:CZ30" si="109">+BW30*BX$137/BW$137</f>
        <v>6.0732286259412112</v>
      </c>
      <c r="BY30" s="1398">
        <f t="shared" si="109"/>
        <v>6.0878262782954495</v>
      </c>
      <c r="BZ30" s="1398">
        <f t="shared" si="109"/>
        <v>6.1024590176630999</v>
      </c>
      <c r="CA30" s="1398">
        <f t="shared" si="109"/>
        <v>6.1171269283795393</v>
      </c>
      <c r="CB30" s="1398">
        <f t="shared" si="109"/>
        <v>6.1299667153690152</v>
      </c>
      <c r="CC30" s="1398">
        <f t="shared" si="109"/>
        <v>6.1428334529403346</v>
      </c>
      <c r="CD30" s="1398">
        <f t="shared" si="109"/>
        <v>6.155727197662495</v>
      </c>
      <c r="CE30" s="1398">
        <f t="shared" si="109"/>
        <v>6.1686480062232301</v>
      </c>
      <c r="CF30" s="1398">
        <f t="shared" si="109"/>
        <v>6.18159593542926</v>
      </c>
      <c r="CG30" s="1398">
        <f t="shared" si="109"/>
        <v>6.197524392005751</v>
      </c>
      <c r="CH30" s="1398">
        <f t="shared" si="109"/>
        <v>6.2134938923080965</v>
      </c>
      <c r="CI30" s="1398">
        <f t="shared" si="109"/>
        <v>6.229504542095909</v>
      </c>
      <c r="CJ30" s="1398">
        <f t="shared" si="109"/>
        <v>6.245556447401321</v>
      </c>
      <c r="CK30" s="1398">
        <f t="shared" si="109"/>
        <v>6.2616497145296828</v>
      </c>
      <c r="CL30" s="1398">
        <f t="shared" si="109"/>
        <v>6.2750522655841658</v>
      </c>
      <c r="CM30" s="1398">
        <f t="shared" si="109"/>
        <v>6.2884835037072264</v>
      </c>
      <c r="CN30" s="1398">
        <f t="shared" si="109"/>
        <v>6.3019434903011975</v>
      </c>
      <c r="CO30" s="1398">
        <f t="shared" si="109"/>
        <v>6.3154322868998385</v>
      </c>
      <c r="CP30" s="1398">
        <f t="shared" si="109"/>
        <v>6.3289499551686168</v>
      </c>
      <c r="CQ30" s="1398">
        <f t="shared" si="109"/>
        <v>6.3413225489579119</v>
      </c>
      <c r="CR30" s="1398">
        <f t="shared" si="109"/>
        <v>6.3537193301840116</v>
      </c>
      <c r="CS30" s="1398">
        <f t="shared" si="109"/>
        <v>6.3661403461314299</v>
      </c>
      <c r="CT30" s="1398">
        <f t="shared" si="109"/>
        <v>6.3785856441771198</v>
      </c>
      <c r="CU30" s="1398">
        <f t="shared" si="109"/>
        <v>6.3910552717906537</v>
      </c>
      <c r="CV30" s="1398">
        <f t="shared" si="109"/>
        <v>6.4057772391562917</v>
      </c>
      <c r="CW30" s="1398">
        <f t="shared" si="109"/>
        <v>6.4205331189689208</v>
      </c>
      <c r="CX30" s="1398">
        <f t="shared" si="109"/>
        <v>6.4353229893467718</v>
      </c>
      <c r="CY30" s="1398">
        <f t="shared" si="109"/>
        <v>6.4501469285880244</v>
      </c>
      <c r="CZ30" s="1398">
        <f t="shared" si="109"/>
        <v>6.4650050151712186</v>
      </c>
    </row>
    <row r="31" spans="1:104" ht="13" x14ac:dyDescent="0.3">
      <c r="A31" s="964" t="str">
        <f>'HyARC Physical Property Data'!$A$87</f>
        <v>Woody Biomass MYPP</v>
      </c>
      <c r="B31" s="260">
        <v>2007</v>
      </c>
      <c r="C31" s="874">
        <f>VLOOKUP(ref_year,DeflatorTable,2,FALSE)/VLOOKUP(B31,DeflatorTable,2,FALSE)</f>
        <v>1.1446359956438654</v>
      </c>
      <c r="D31" s="1260" t="str">
        <f>+'HyARC Physical Property Data'!$H$87</f>
        <v>kg</v>
      </c>
      <c r="E31" s="901" t="s">
        <v>1052</v>
      </c>
      <c r="F31" s="260">
        <v>18.608000000000001</v>
      </c>
      <c r="G31" s="260"/>
      <c r="H31" s="1069">
        <v>4.4443250214961303</v>
      </c>
      <c r="I31" s="1069">
        <v>4.4443250214961303</v>
      </c>
      <c r="J31" s="1069">
        <v>4.4443250214961303</v>
      </c>
      <c r="K31" s="1069">
        <v>4.4443250214961303</v>
      </c>
      <c r="L31" s="1069">
        <v>4.4443250214961303</v>
      </c>
      <c r="M31" s="1069">
        <v>4.4443250214961303</v>
      </c>
      <c r="N31" s="260">
        <f>4.44432502149613*$C$31</f>
        <v>5.0871343959451663</v>
      </c>
      <c r="O31" s="965">
        <f t="shared" ref="O31:T31" si="110">N31-($N$31-$U$31)/7</f>
        <v>4.9664808197552768</v>
      </c>
      <c r="P31" s="965">
        <f t="shared" si="110"/>
        <v>4.8458272435653873</v>
      </c>
      <c r="Q31" s="965">
        <f t="shared" si="110"/>
        <v>4.7251736673754978</v>
      </c>
      <c r="R31" s="965">
        <f t="shared" si="110"/>
        <v>4.6045200911856083</v>
      </c>
      <c r="S31" s="965">
        <f t="shared" si="110"/>
        <v>4.4838665149957189</v>
      </c>
      <c r="T31" s="965">
        <f t="shared" si="110"/>
        <v>4.3632129388058294</v>
      </c>
      <c r="U31" s="965">
        <f>3.70647033533964*$C$31</f>
        <v>4.2425593626159408</v>
      </c>
      <c r="V31" s="965">
        <f t="shared" ref="V31:BV31" si="111">3.70647033533964*$C$31</f>
        <v>4.2425593626159408</v>
      </c>
      <c r="W31" s="965">
        <f t="shared" si="111"/>
        <v>4.2425593626159408</v>
      </c>
      <c r="X31" s="965">
        <f t="shared" si="111"/>
        <v>4.2425593626159408</v>
      </c>
      <c r="Y31" s="965">
        <f t="shared" si="111"/>
        <v>4.2425593626159408</v>
      </c>
      <c r="Z31" s="965">
        <f t="shared" si="111"/>
        <v>4.2425593626159408</v>
      </c>
      <c r="AA31" s="965">
        <f t="shared" si="111"/>
        <v>4.2425593626159408</v>
      </c>
      <c r="AB31" s="965">
        <f t="shared" si="111"/>
        <v>4.2425593626159408</v>
      </c>
      <c r="AC31" s="965">
        <f t="shared" si="111"/>
        <v>4.2425593626159408</v>
      </c>
      <c r="AD31" s="965">
        <f t="shared" si="111"/>
        <v>4.2425593626159408</v>
      </c>
      <c r="AE31" s="965">
        <f t="shared" si="111"/>
        <v>4.2425593626159408</v>
      </c>
      <c r="AF31" s="965">
        <f t="shared" si="111"/>
        <v>4.2425593626159408</v>
      </c>
      <c r="AG31" s="965">
        <f t="shared" si="111"/>
        <v>4.2425593626159408</v>
      </c>
      <c r="AH31" s="965">
        <f t="shared" si="111"/>
        <v>4.2425593626159408</v>
      </c>
      <c r="AI31" s="965">
        <f t="shared" si="111"/>
        <v>4.2425593626159408</v>
      </c>
      <c r="AJ31" s="965">
        <f t="shared" si="111"/>
        <v>4.2425593626159408</v>
      </c>
      <c r="AK31" s="965">
        <f t="shared" si="111"/>
        <v>4.2425593626159408</v>
      </c>
      <c r="AL31" s="965">
        <f t="shared" si="111"/>
        <v>4.2425593626159408</v>
      </c>
      <c r="AM31" s="965">
        <f t="shared" si="111"/>
        <v>4.2425593626159408</v>
      </c>
      <c r="AN31" s="965">
        <f t="shared" si="111"/>
        <v>4.2425593626159408</v>
      </c>
      <c r="AO31" s="965">
        <f t="shared" si="111"/>
        <v>4.2425593626159408</v>
      </c>
      <c r="AP31" s="965">
        <f t="shared" si="111"/>
        <v>4.2425593626159408</v>
      </c>
      <c r="AQ31" s="965">
        <f t="shared" si="111"/>
        <v>4.2425593626159408</v>
      </c>
      <c r="AR31" s="965">
        <f t="shared" si="111"/>
        <v>4.2425593626159408</v>
      </c>
      <c r="AS31" s="965">
        <f t="shared" si="111"/>
        <v>4.2425593626159408</v>
      </c>
      <c r="AT31" s="965">
        <f t="shared" si="111"/>
        <v>4.2425593626159408</v>
      </c>
      <c r="AU31" s="965">
        <f t="shared" si="111"/>
        <v>4.2425593626159408</v>
      </c>
      <c r="AV31" s="965">
        <f t="shared" si="111"/>
        <v>4.2425593626159408</v>
      </c>
      <c r="AW31" s="965">
        <f t="shared" si="111"/>
        <v>4.2425593626159408</v>
      </c>
      <c r="AX31" s="965">
        <f t="shared" si="111"/>
        <v>4.2425593626159408</v>
      </c>
      <c r="AY31" s="965">
        <f t="shared" si="111"/>
        <v>4.2425593626159408</v>
      </c>
      <c r="AZ31" s="965">
        <f t="shared" si="111"/>
        <v>4.2425593626159408</v>
      </c>
      <c r="BA31" s="965">
        <f t="shared" si="111"/>
        <v>4.2425593626159408</v>
      </c>
      <c r="BB31" s="965">
        <f t="shared" si="111"/>
        <v>4.2425593626159408</v>
      </c>
      <c r="BC31" s="965">
        <f t="shared" si="111"/>
        <v>4.2425593626159408</v>
      </c>
      <c r="BD31" s="965">
        <f t="shared" si="111"/>
        <v>4.2425593626159408</v>
      </c>
      <c r="BE31" s="965">
        <f t="shared" si="111"/>
        <v>4.2425593626159408</v>
      </c>
      <c r="BF31" s="965">
        <f t="shared" si="111"/>
        <v>4.2425593626159408</v>
      </c>
      <c r="BG31" s="965">
        <f t="shared" si="111"/>
        <v>4.2425593626159408</v>
      </c>
      <c r="BH31" s="965">
        <f t="shared" si="111"/>
        <v>4.2425593626159408</v>
      </c>
      <c r="BI31" s="965">
        <f t="shared" si="111"/>
        <v>4.2425593626159408</v>
      </c>
      <c r="BJ31" s="965">
        <f t="shared" si="111"/>
        <v>4.2425593626159408</v>
      </c>
      <c r="BK31" s="965">
        <f t="shared" si="111"/>
        <v>4.2425593626159408</v>
      </c>
      <c r="BL31" s="965">
        <f t="shared" si="111"/>
        <v>4.2425593626159408</v>
      </c>
      <c r="BM31" s="965">
        <f t="shared" si="111"/>
        <v>4.2425593626159408</v>
      </c>
      <c r="BN31" s="965">
        <f t="shared" si="111"/>
        <v>4.2425593626159408</v>
      </c>
      <c r="BO31" s="965">
        <f t="shared" si="111"/>
        <v>4.2425593626159408</v>
      </c>
      <c r="BP31" s="965">
        <f t="shared" si="111"/>
        <v>4.2425593626159408</v>
      </c>
      <c r="BQ31" s="965">
        <f t="shared" si="111"/>
        <v>4.2425593626159408</v>
      </c>
      <c r="BR31" s="965">
        <f t="shared" si="111"/>
        <v>4.2425593626159408</v>
      </c>
      <c r="BS31" s="965">
        <f t="shared" si="111"/>
        <v>4.2425593626159408</v>
      </c>
      <c r="BT31" s="965">
        <f t="shared" si="111"/>
        <v>4.2425593626159408</v>
      </c>
      <c r="BU31" s="965">
        <f t="shared" si="111"/>
        <v>4.2425593626159408</v>
      </c>
      <c r="BV31" s="965">
        <f t="shared" si="111"/>
        <v>4.2425593626159408</v>
      </c>
      <c r="BW31" s="1398">
        <f>+BV31*BW$137/BV$137</f>
        <v>4.2527568062628252</v>
      </c>
      <c r="BX31" s="1398">
        <f t="shared" ref="BX31:CZ31" si="112">+BW31*BX$137/BW$137</f>
        <v>4.2629787605524712</v>
      </c>
      <c r="BY31" s="1398">
        <f t="shared" si="112"/>
        <v>4.2732252843988219</v>
      </c>
      <c r="BZ31" s="1398">
        <f t="shared" si="112"/>
        <v>4.2834964368574244</v>
      </c>
      <c r="CA31" s="1398">
        <f t="shared" si="112"/>
        <v>4.2937922771257746</v>
      </c>
      <c r="CB31" s="1398">
        <f t="shared" si="112"/>
        <v>4.302804903291757</v>
      </c>
      <c r="CC31" s="1398">
        <f t="shared" si="112"/>
        <v>4.3118364468680763</v>
      </c>
      <c r="CD31" s="1398">
        <f t="shared" si="112"/>
        <v>4.3208869475621841</v>
      </c>
      <c r="CE31" s="1398">
        <f t="shared" si="112"/>
        <v>4.3299564451648767</v>
      </c>
      <c r="CF31" s="1398">
        <f t="shared" si="112"/>
        <v>4.3390449795504713</v>
      </c>
      <c r="CG31" s="1398">
        <f t="shared" si="112"/>
        <v>4.3502256342328796</v>
      </c>
      <c r="CH31" s="1398">
        <f t="shared" si="112"/>
        <v>4.361435098720146</v>
      </c>
      <c r="CI31" s="1398">
        <f t="shared" si="112"/>
        <v>4.3726734472480695</v>
      </c>
      <c r="CJ31" s="1398">
        <f t="shared" si="112"/>
        <v>4.3839407542437394</v>
      </c>
      <c r="CK31" s="1398">
        <f t="shared" si="112"/>
        <v>4.3952370943260251</v>
      </c>
      <c r="CL31" s="1398">
        <f t="shared" si="112"/>
        <v>4.4046447412304142</v>
      </c>
      <c r="CM31" s="1398">
        <f t="shared" si="112"/>
        <v>4.4140725244365262</v>
      </c>
      <c r="CN31" s="1398">
        <f t="shared" si="112"/>
        <v>4.4235204870444758</v>
      </c>
      <c r="CO31" s="1398">
        <f t="shared" si="112"/>
        <v>4.4329886722466272</v>
      </c>
      <c r="CP31" s="1398">
        <f t="shared" si="112"/>
        <v>4.4424771233277953</v>
      </c>
      <c r="CQ31" s="1398">
        <f t="shared" si="112"/>
        <v>4.4511618127714661</v>
      </c>
      <c r="CR31" s="1398">
        <f t="shared" si="112"/>
        <v>4.4598634800922632</v>
      </c>
      <c r="CS31" s="1398">
        <f t="shared" si="112"/>
        <v>4.4685821584805847</v>
      </c>
      <c r="CT31" s="1398">
        <f t="shared" si="112"/>
        <v>4.4773178811917154</v>
      </c>
      <c r="CU31" s="1398">
        <f t="shared" si="112"/>
        <v>4.486070681545951</v>
      </c>
      <c r="CV31" s="1398">
        <f t="shared" si="112"/>
        <v>4.4964044657748525</v>
      </c>
      <c r="CW31" s="1398">
        <f t="shared" si="112"/>
        <v>4.5067620541531026</v>
      </c>
      <c r="CX31" s="1398">
        <f t="shared" si="112"/>
        <v>4.5171435015141972</v>
      </c>
      <c r="CY31" s="1398">
        <f t="shared" si="112"/>
        <v>4.5275488628179446</v>
      </c>
      <c r="CZ31" s="1398">
        <f t="shared" si="112"/>
        <v>4.537978193150753</v>
      </c>
    </row>
    <row r="32" spans="1:104" ht="13" x14ac:dyDescent="0.3">
      <c r="A32" s="970" t="str">
        <f>'HyARC Physical Property Data'!A79</f>
        <v>Electric Utility Steam Coal</v>
      </c>
      <c r="B32" s="260">
        <v>2011</v>
      </c>
      <c r="C32" s="874">
        <f>VLOOKUP(ref_year,DeflatorTable,2,FALSE)/VLOOKUP(B32,DeflatorTable,2,FALSE)</f>
        <v>1.0784554773635862</v>
      </c>
      <c r="D32" s="1260" t="str">
        <f>+'HyARC Physical Property Data'!$H$79</f>
        <v>kg</v>
      </c>
      <c r="E32" s="901" t="s">
        <v>1052</v>
      </c>
      <c r="F32" s="260">
        <f>'HyARC Physical Property Data'!E42</f>
        <v>22.7322030001394</v>
      </c>
      <c r="G32" s="260">
        <f>'HyARC Physical Property Data'!I42</f>
        <v>23.967615189707661</v>
      </c>
      <c r="H32" s="1069">
        <v>1.7344499599167666</v>
      </c>
      <c r="I32" s="1069">
        <v>1.7344499599167666</v>
      </c>
      <c r="J32" s="1069">
        <v>1.7344499599167666</v>
      </c>
      <c r="K32" s="1069">
        <v>1.7788973636542149</v>
      </c>
      <c r="L32" s="1069">
        <v>1.9298772179141501</v>
      </c>
      <c r="M32" s="1069">
        <v>1.9810774561110811</v>
      </c>
      <c r="N32" s="260">
        <f t="shared" ref="N32:AR32" si="113">N50*($C32/mmBTU_to_GJ*$G32/$F32)</f>
        <v>2.4767433408545654</v>
      </c>
      <c r="O32" s="260">
        <f t="shared" si="113"/>
        <v>2.5651337544408896</v>
      </c>
      <c r="P32" s="260">
        <f t="shared" si="113"/>
        <v>2.592373750453385</v>
      </c>
      <c r="Q32" s="260">
        <f t="shared" si="113"/>
        <v>2.5186929778253004</v>
      </c>
      <c r="R32" s="260">
        <f t="shared" si="113"/>
        <v>2.5813167306269946</v>
      </c>
      <c r="S32" s="260">
        <f t="shared" si="113"/>
        <v>2.582493674349621</v>
      </c>
      <c r="T32" s="260">
        <f t="shared" si="113"/>
        <v>2.6495298883238707</v>
      </c>
      <c r="U32" s="260">
        <f t="shared" si="113"/>
        <v>2.6645951990883976</v>
      </c>
      <c r="V32" s="260">
        <f t="shared" si="113"/>
        <v>2.6731948638895253</v>
      </c>
      <c r="W32" s="260">
        <f t="shared" si="113"/>
        <v>2.6770339422228524</v>
      </c>
      <c r="X32" s="260">
        <f t="shared" si="113"/>
        <v>2.7117742599988581</v>
      </c>
      <c r="Y32" s="260">
        <f t="shared" si="113"/>
        <v>2.7445379158817356</v>
      </c>
      <c r="Z32" s="260">
        <f t="shared" si="113"/>
        <v>2.7930415773737955</v>
      </c>
      <c r="AA32" s="260">
        <f t="shared" si="113"/>
        <v>2.8325090702115565</v>
      </c>
      <c r="AB32" s="260">
        <f t="shared" si="113"/>
        <v>2.8662642904028734</v>
      </c>
      <c r="AC32" s="260">
        <f t="shared" si="113"/>
        <v>2.9010186194136725</v>
      </c>
      <c r="AD32" s="260">
        <f t="shared" si="113"/>
        <v>2.940829926397512</v>
      </c>
      <c r="AE32" s="260">
        <f t="shared" si="113"/>
        <v>2.9767170098519729</v>
      </c>
      <c r="AF32" s="260">
        <f t="shared" si="113"/>
        <v>3.0091724185694009</v>
      </c>
      <c r="AG32" s="260">
        <f t="shared" si="113"/>
        <v>3.0482659192169139</v>
      </c>
      <c r="AH32" s="260">
        <f t="shared" si="113"/>
        <v>3.0901131663949291</v>
      </c>
      <c r="AI32" s="260">
        <f t="shared" si="113"/>
        <v>3.1223497842921248</v>
      </c>
      <c r="AJ32" s="260">
        <f t="shared" si="113"/>
        <v>3.1512808285654264</v>
      </c>
      <c r="AK32" s="260">
        <f t="shared" si="113"/>
        <v>3.1840250842770517</v>
      </c>
      <c r="AL32" s="260">
        <f t="shared" si="113"/>
        <v>3.2199865350546464</v>
      </c>
      <c r="AM32" s="260">
        <f t="shared" si="113"/>
        <v>3.2659164404939314</v>
      </c>
      <c r="AN32" s="260">
        <f t="shared" si="113"/>
        <v>3.3055854795552553</v>
      </c>
      <c r="AO32" s="260">
        <f t="shared" si="113"/>
        <v>3.3425050832352436</v>
      </c>
      <c r="AP32" s="260">
        <f t="shared" si="113"/>
        <v>3.3788577707997551</v>
      </c>
      <c r="AQ32" s="260">
        <f t="shared" si="113"/>
        <v>3.4165792482248296</v>
      </c>
      <c r="AR32" s="260">
        <f t="shared" si="113"/>
        <v>3.4505834372805482</v>
      </c>
      <c r="AS32" s="260">
        <f t="shared" ref="AS32:BA32" si="114">($BB32-$AR32)/10+AR32</f>
        <v>3.4478678685678643</v>
      </c>
      <c r="AT32" s="260">
        <f t="shared" si="114"/>
        <v>3.44515229985518</v>
      </c>
      <c r="AU32" s="260">
        <f t="shared" si="114"/>
        <v>3.4424367311424957</v>
      </c>
      <c r="AV32" s="260">
        <f t="shared" si="114"/>
        <v>3.4397211624298114</v>
      </c>
      <c r="AW32" s="260">
        <f t="shared" si="114"/>
        <v>3.4370055937171271</v>
      </c>
      <c r="AX32" s="260">
        <f t="shared" si="114"/>
        <v>3.4342900250044428</v>
      </c>
      <c r="AY32" s="260">
        <f t="shared" si="114"/>
        <v>3.4315744562917585</v>
      </c>
      <c r="AZ32" s="260">
        <f t="shared" si="114"/>
        <v>3.4288588875790742</v>
      </c>
      <c r="BA32" s="260">
        <f t="shared" si="114"/>
        <v>3.4261433188663899</v>
      </c>
      <c r="BB32" s="939">
        <f>('AEO Data'!$B$28*AM32)</f>
        <v>3.4234277501537074</v>
      </c>
      <c r="BC32" s="260">
        <f>(($BQ$32-$BB$32)/15+BB32)</f>
        <v>3.435442052510095</v>
      </c>
      <c r="BD32" s="260">
        <f t="shared" ref="BD32:BP32" si="115">(($BQ$32-$BB$32)/15+BC32)</f>
        <v>3.4474563548664827</v>
      </c>
      <c r="BE32" s="260">
        <f t="shared" si="115"/>
        <v>3.4594706572228704</v>
      </c>
      <c r="BF32" s="260">
        <f t="shared" si="115"/>
        <v>3.4714849595792581</v>
      </c>
      <c r="BG32" s="260">
        <f t="shared" si="115"/>
        <v>3.4834992619356457</v>
      </c>
      <c r="BH32" s="260">
        <f t="shared" si="115"/>
        <v>3.4955135642920334</v>
      </c>
      <c r="BI32" s="260">
        <f t="shared" si="115"/>
        <v>3.5075278666484211</v>
      </c>
      <c r="BJ32" s="260">
        <f t="shared" si="115"/>
        <v>3.5195421690048088</v>
      </c>
      <c r="BK32" s="260">
        <f t="shared" si="115"/>
        <v>3.5315564713611964</v>
      </c>
      <c r="BL32" s="260">
        <f t="shared" si="115"/>
        <v>3.5435707737175841</v>
      </c>
      <c r="BM32" s="260">
        <f t="shared" si="115"/>
        <v>3.5555850760739718</v>
      </c>
      <c r="BN32" s="260">
        <f t="shared" si="115"/>
        <v>3.5675993784303595</v>
      </c>
      <c r="BO32" s="260">
        <f t="shared" si="115"/>
        <v>3.5796136807867471</v>
      </c>
      <c r="BP32" s="260">
        <f t="shared" si="115"/>
        <v>3.5916279831431348</v>
      </c>
      <c r="BQ32" s="939">
        <f>('AEO Data'!$C$28*BB32)</f>
        <v>3.6036422854995251</v>
      </c>
      <c r="BR32" s="260">
        <f>(($BV$32-$BQ$32)/5+BQ32)</f>
        <v>3.6151952056451568</v>
      </c>
      <c r="BS32" s="260">
        <f>(($BV$32-$BQ$32)/5+BR32)</f>
        <v>3.6267481257907885</v>
      </c>
      <c r="BT32" s="260">
        <f>(($BV$32-$BQ$32)/5+BS32)</f>
        <v>3.6383010459364202</v>
      </c>
      <c r="BU32" s="260">
        <f>(($BV$32-$BQ$32)/5+BT32)</f>
        <v>3.6498539660820519</v>
      </c>
      <c r="BV32" s="963">
        <f>('AEO Data'!$D$28*BQ32)</f>
        <v>3.6614068862276832</v>
      </c>
      <c r="BW32" s="1398">
        <f>+BV32*BW$138/BV$138</f>
        <v>3.6737859390461725</v>
      </c>
      <c r="BX32" s="1398">
        <f t="shared" ref="BX32:CZ32" si="116">+BW32*BX$138/BW$138</f>
        <v>3.6862068448882255</v>
      </c>
      <c r="BY32" s="1398">
        <f t="shared" si="116"/>
        <v>3.6986697452570407</v>
      </c>
      <c r="BZ32" s="1398">
        <f t="shared" si="116"/>
        <v>3.7111747821342336</v>
      </c>
      <c r="CA32" s="1398">
        <f t="shared" si="116"/>
        <v>3.7237220979814545</v>
      </c>
      <c r="CB32" s="1398">
        <f t="shared" si="116"/>
        <v>3.7343836989714818</v>
      </c>
      <c r="CC32" s="1398">
        <f t="shared" si="116"/>
        <v>3.7450758257990131</v>
      </c>
      <c r="CD32" s="1398">
        <f t="shared" si="116"/>
        <v>3.7557985658643127</v>
      </c>
      <c r="CE32" s="1398">
        <f t="shared" si="116"/>
        <v>3.766552006817887</v>
      </c>
      <c r="CF32" s="1398">
        <f t="shared" si="116"/>
        <v>3.7773362365611991</v>
      </c>
      <c r="CG32" s="1398">
        <f t="shared" si="116"/>
        <v>3.7855700072018039</v>
      </c>
      <c r="CH32" s="1398">
        <f t="shared" si="116"/>
        <v>3.7938217256698499</v>
      </c>
      <c r="CI32" s="1398">
        <f t="shared" si="116"/>
        <v>3.8020914310876934</v>
      </c>
      <c r="CJ32" s="1398">
        <f t="shared" si="116"/>
        <v>3.8103791626629699</v>
      </c>
      <c r="CK32" s="1398">
        <f t="shared" si="116"/>
        <v>3.818684959688778</v>
      </c>
      <c r="CL32" s="1398">
        <f t="shared" si="116"/>
        <v>3.8243155975254672</v>
      </c>
      <c r="CM32" s="1398">
        <f t="shared" si="116"/>
        <v>3.8299545377182778</v>
      </c>
      <c r="CN32" s="1398">
        <f t="shared" si="116"/>
        <v>3.8356017925090047</v>
      </c>
      <c r="CO32" s="1398">
        <f t="shared" si="116"/>
        <v>3.841257374157494</v>
      </c>
      <c r="CP32" s="1398">
        <f t="shared" si="116"/>
        <v>3.846921294941668</v>
      </c>
      <c r="CQ32" s="1398">
        <f t="shared" si="116"/>
        <v>3.8488180534393406</v>
      </c>
      <c r="CR32" s="1398">
        <f t="shared" si="116"/>
        <v>3.8507157471505309</v>
      </c>
      <c r="CS32" s="1398">
        <f t="shared" si="116"/>
        <v>3.852614376536355</v>
      </c>
      <c r="CT32" s="1398">
        <f t="shared" si="116"/>
        <v>3.8545139420581549</v>
      </c>
      <c r="CU32" s="1398">
        <f t="shared" si="116"/>
        <v>3.8564144441775015</v>
      </c>
      <c r="CV32" s="1398">
        <f t="shared" si="116"/>
        <v>3.853683012772128</v>
      </c>
      <c r="CW32" s="1398">
        <f t="shared" si="116"/>
        <v>3.8509535159922028</v>
      </c>
      <c r="CX32" s="1398">
        <f t="shared" si="116"/>
        <v>3.8482259524674642</v>
      </c>
      <c r="CY32" s="1398">
        <f t="shared" si="116"/>
        <v>3.8455003208286209</v>
      </c>
      <c r="CZ32" s="1398">
        <f t="shared" si="116"/>
        <v>3.8427766197073518</v>
      </c>
    </row>
    <row r="33" spans="1:106" ht="13" x14ac:dyDescent="0.3">
      <c r="A33" s="964" t="str">
        <f>'HyARC Physical Property Data'!A76</f>
        <v>Commercial Electricity</v>
      </c>
      <c r="B33" s="260">
        <v>2011</v>
      </c>
      <c r="C33" s="874">
        <f t="shared" si="99"/>
        <v>1.0784554773635862</v>
      </c>
      <c r="D33" s="1260" t="str">
        <f>'HyARC Physical Property Data'!$H$76</f>
        <v>kWh</v>
      </c>
      <c r="E33" s="874" t="s">
        <v>1071</v>
      </c>
      <c r="F33" s="874"/>
      <c r="G33" s="874"/>
      <c r="H33" s="1069">
        <v>26.896922396257633</v>
      </c>
      <c r="I33" s="1069">
        <v>26.896922396257633</v>
      </c>
      <c r="J33" s="1069">
        <v>26.896922396257633</v>
      </c>
      <c r="K33" s="1069">
        <v>26.568469730033652</v>
      </c>
      <c r="L33" s="1069">
        <v>27.542479456318485</v>
      </c>
      <c r="M33" s="1069">
        <v>26.167555894896875</v>
      </c>
      <c r="N33" s="260">
        <f t="shared" ref="N33:AR33" si="117">(N51/(mmBTU_to_GJ))*($C33)</f>
        <v>31.170510750229255</v>
      </c>
      <c r="O33" s="260">
        <f t="shared" si="117"/>
        <v>30.647202241072566</v>
      </c>
      <c r="P33" s="260">
        <f t="shared" si="117"/>
        <v>29.096288196984492</v>
      </c>
      <c r="Q33" s="260">
        <f t="shared" si="117"/>
        <v>28.387905483352725</v>
      </c>
      <c r="R33" s="260">
        <f t="shared" si="117"/>
        <v>28.463304343594306</v>
      </c>
      <c r="S33" s="260">
        <f t="shared" si="117"/>
        <v>28.350595012766668</v>
      </c>
      <c r="T33" s="260">
        <f t="shared" si="117"/>
        <v>28.857908647179944</v>
      </c>
      <c r="U33" s="260">
        <f t="shared" si="117"/>
        <v>29.151791342575894</v>
      </c>
      <c r="V33" s="260">
        <f t="shared" si="117"/>
        <v>29.281852050913265</v>
      </c>
      <c r="W33" s="260">
        <f t="shared" si="117"/>
        <v>29.2121521378625</v>
      </c>
      <c r="X33" s="260">
        <f t="shared" si="117"/>
        <v>29.201670163962135</v>
      </c>
      <c r="Y33" s="260">
        <f t="shared" si="117"/>
        <v>29.313283661356845</v>
      </c>
      <c r="Z33" s="260">
        <f t="shared" si="117"/>
        <v>29.301901100465429</v>
      </c>
      <c r="AA33" s="260">
        <f t="shared" si="117"/>
        <v>29.26493001112912</v>
      </c>
      <c r="AB33" s="260">
        <f t="shared" si="117"/>
        <v>29.269341967375848</v>
      </c>
      <c r="AC33" s="260">
        <f t="shared" si="117"/>
        <v>29.119158608733361</v>
      </c>
      <c r="AD33" s="260">
        <f t="shared" si="117"/>
        <v>29.009605932421458</v>
      </c>
      <c r="AE33" s="260">
        <f t="shared" si="117"/>
        <v>29.000424238490005</v>
      </c>
      <c r="AF33" s="260">
        <f t="shared" si="117"/>
        <v>29.116216623080415</v>
      </c>
      <c r="AG33" s="260">
        <f t="shared" si="117"/>
        <v>29.212683698856079</v>
      </c>
      <c r="AH33" s="260">
        <f t="shared" si="117"/>
        <v>29.289319460640414</v>
      </c>
      <c r="AI33" s="260">
        <f t="shared" si="117"/>
        <v>29.420953385072249</v>
      </c>
      <c r="AJ33" s="260">
        <f t="shared" si="117"/>
        <v>29.555370849091627</v>
      </c>
      <c r="AK33" s="260">
        <f t="shared" si="117"/>
        <v>29.728290707001914</v>
      </c>
      <c r="AL33" s="260">
        <f t="shared" si="117"/>
        <v>29.921887265329854</v>
      </c>
      <c r="AM33" s="260">
        <f t="shared" si="117"/>
        <v>30.317863405172005</v>
      </c>
      <c r="AN33" s="260">
        <f t="shared" si="117"/>
        <v>30.770945551447749</v>
      </c>
      <c r="AO33" s="260">
        <f t="shared" si="117"/>
        <v>31.181233971042094</v>
      </c>
      <c r="AP33" s="260">
        <f t="shared" si="117"/>
        <v>31.632038582906873</v>
      </c>
      <c r="AQ33" s="260">
        <f t="shared" si="117"/>
        <v>32.176370329359735</v>
      </c>
      <c r="AR33" s="260">
        <f t="shared" si="117"/>
        <v>32.452971159068191</v>
      </c>
      <c r="AS33" s="260">
        <f t="shared" ref="AS33:BA33" si="118">($BB33-$AR33)/10+AR33</f>
        <v>32.16388259843756</v>
      </c>
      <c r="AT33" s="260">
        <f t="shared" si="118"/>
        <v>31.874794037806929</v>
      </c>
      <c r="AU33" s="260">
        <f t="shared" si="118"/>
        <v>31.585705477176298</v>
      </c>
      <c r="AV33" s="260">
        <f t="shared" si="118"/>
        <v>31.296616916545666</v>
      </c>
      <c r="AW33" s="260">
        <f t="shared" si="118"/>
        <v>31.007528355915035</v>
      </c>
      <c r="AX33" s="260">
        <f t="shared" si="118"/>
        <v>30.718439795284404</v>
      </c>
      <c r="AY33" s="260">
        <f t="shared" si="118"/>
        <v>30.429351234653772</v>
      </c>
      <c r="AZ33" s="260">
        <f t="shared" si="118"/>
        <v>30.140262674023141</v>
      </c>
      <c r="BA33" s="260">
        <f t="shared" si="118"/>
        <v>29.85117411339251</v>
      </c>
      <c r="BB33" s="939">
        <f>'AEO Data'!$B$33*AM33</f>
        <v>29.562085552761868</v>
      </c>
      <c r="BC33" s="260">
        <f t="shared" ref="BC33:BP33" si="119">($BQ33-$BB33)/15+BB33</f>
        <v>29.579309127727463</v>
      </c>
      <c r="BD33" s="260">
        <f t="shared" si="119"/>
        <v>29.596532702693057</v>
      </c>
      <c r="BE33" s="260">
        <f t="shared" si="119"/>
        <v>29.613756277658652</v>
      </c>
      <c r="BF33" s="260">
        <f t="shared" si="119"/>
        <v>29.630979852624247</v>
      </c>
      <c r="BG33" s="260">
        <f t="shared" si="119"/>
        <v>29.648203427589841</v>
      </c>
      <c r="BH33" s="260">
        <f t="shared" si="119"/>
        <v>29.665427002555436</v>
      </c>
      <c r="BI33" s="260">
        <f t="shared" si="119"/>
        <v>29.682650577521031</v>
      </c>
      <c r="BJ33" s="260">
        <f t="shared" si="119"/>
        <v>29.699874152486625</v>
      </c>
      <c r="BK33" s="260">
        <f t="shared" si="119"/>
        <v>29.71709772745222</v>
      </c>
      <c r="BL33" s="260">
        <f t="shared" si="119"/>
        <v>29.734321302417815</v>
      </c>
      <c r="BM33" s="260">
        <f t="shared" si="119"/>
        <v>29.751544877383409</v>
      </c>
      <c r="BN33" s="260">
        <f t="shared" si="119"/>
        <v>29.768768452349004</v>
      </c>
      <c r="BO33" s="260">
        <f t="shared" si="119"/>
        <v>29.785992027314599</v>
      </c>
      <c r="BP33" s="260">
        <f t="shared" si="119"/>
        <v>29.803215602280194</v>
      </c>
      <c r="BQ33" s="939">
        <f>'AEO Data'!$C$33*BB33</f>
        <v>29.82043917724577</v>
      </c>
      <c r="BR33" s="260">
        <f t="shared" ref="BR33:BU35" si="120">($BV33-$BQ33)/5+BQ33</f>
        <v>29.800359578005001</v>
      </c>
      <c r="BS33" s="260">
        <f t="shared" si="120"/>
        <v>29.780279978764231</v>
      </c>
      <c r="BT33" s="260">
        <f t="shared" si="120"/>
        <v>29.760200379523461</v>
      </c>
      <c r="BU33" s="260">
        <f t="shared" si="120"/>
        <v>29.740120780282691</v>
      </c>
      <c r="BV33" s="963">
        <f>'AEO Data'!$D$33*BQ33</f>
        <v>29.720041181041928</v>
      </c>
      <c r="BW33" s="1398">
        <f>+BV33*BW$139/BV$139</f>
        <v>29.706955334848292</v>
      </c>
      <c r="BX33" s="1398">
        <f t="shared" ref="BX33:CZ33" si="121">+BW33*BX$139/BW$139</f>
        <v>29.693875250402076</v>
      </c>
      <c r="BY33" s="1398">
        <f t="shared" si="121"/>
        <v>29.680800925166359</v>
      </c>
      <c r="BZ33" s="1398">
        <f t="shared" si="121"/>
        <v>29.667732356605345</v>
      </c>
      <c r="CA33" s="1398">
        <f t="shared" si="121"/>
        <v>29.654669542184347</v>
      </c>
      <c r="CB33" s="1398">
        <f t="shared" si="121"/>
        <v>29.630916614985676</v>
      </c>
      <c r="CC33" s="1398">
        <f t="shared" si="121"/>
        <v>29.607182713510749</v>
      </c>
      <c r="CD33" s="1398">
        <f t="shared" si="121"/>
        <v>29.583467822520262</v>
      </c>
      <c r="CE33" s="1398">
        <f t="shared" si="121"/>
        <v>29.559771926787111</v>
      </c>
      <c r="CF33" s="1398">
        <f t="shared" si="121"/>
        <v>29.536095011096396</v>
      </c>
      <c r="CG33" s="1398">
        <f t="shared" si="121"/>
        <v>29.503478732865982</v>
      </c>
      <c r="CH33" s="1398">
        <f t="shared" si="121"/>
        <v>29.470898472315131</v>
      </c>
      <c r="CI33" s="1398">
        <f t="shared" si="121"/>
        <v>29.438354189670047</v>
      </c>
      <c r="CJ33" s="1398">
        <f t="shared" si="121"/>
        <v>29.405845845200851</v>
      </c>
      <c r="CK33" s="1398">
        <f t="shared" si="121"/>
        <v>29.373373399221538</v>
      </c>
      <c r="CL33" s="1398">
        <f t="shared" si="121"/>
        <v>29.33797049714088</v>
      </c>
      <c r="CM33" s="1398">
        <f t="shared" si="121"/>
        <v>29.302610265183901</v>
      </c>
      <c r="CN33" s="1398">
        <f t="shared" si="121"/>
        <v>29.267292651921498</v>
      </c>
      <c r="CO33" s="1398">
        <f t="shared" si="121"/>
        <v>29.232017605986552</v>
      </c>
      <c r="CP33" s="1398">
        <f t="shared" si="121"/>
        <v>29.196785076073859</v>
      </c>
      <c r="CQ33" s="1398">
        <f t="shared" si="121"/>
        <v>29.155976606392862</v>
      </c>
      <c r="CR33" s="1398">
        <f t="shared" si="121"/>
        <v>29.115225174882106</v>
      </c>
      <c r="CS33" s="1398">
        <f t="shared" si="121"/>
        <v>29.074530701819103</v>
      </c>
      <c r="CT33" s="1398">
        <f t="shared" si="121"/>
        <v>29.033893107592792</v>
      </c>
      <c r="CU33" s="1398">
        <f t="shared" si="121"/>
        <v>28.993312312703377</v>
      </c>
      <c r="CV33" s="1398">
        <f t="shared" si="121"/>
        <v>28.95369823223389</v>
      </c>
      <c r="CW33" s="1398">
        <f t="shared" si="121"/>
        <v>28.914138277190098</v>
      </c>
      <c r="CX33" s="1398">
        <f t="shared" si="121"/>
        <v>28.874632373619477</v>
      </c>
      <c r="CY33" s="1398">
        <f t="shared" si="121"/>
        <v>28.835180447670528</v>
      </c>
      <c r="CZ33" s="1398">
        <f t="shared" si="121"/>
        <v>28.795782425592659</v>
      </c>
    </row>
    <row r="34" spans="1:106" ht="13" x14ac:dyDescent="0.3">
      <c r="A34" s="964" t="str">
        <f>'HyARC Physical Property Data'!A77</f>
        <v>Industrial Electricity</v>
      </c>
      <c r="B34" s="260">
        <v>2011</v>
      </c>
      <c r="C34" s="874">
        <f t="shared" si="99"/>
        <v>1.0784554773635862</v>
      </c>
      <c r="D34" s="1248" t="str">
        <f>'HyARC Physical Property Data'!$H$77</f>
        <v>kWh</v>
      </c>
      <c r="E34" s="874" t="s">
        <v>1071</v>
      </c>
      <c r="F34" s="874"/>
      <c r="G34" s="874"/>
      <c r="H34" s="1069">
        <v>17.44160584363896</v>
      </c>
      <c r="I34" s="1069">
        <v>17.44160584363896</v>
      </c>
      <c r="J34" s="1069">
        <v>17.44160584363896</v>
      </c>
      <c r="K34" s="1069">
        <v>17.651840860809763</v>
      </c>
      <c r="L34" s="1069">
        <v>19.274322003549859</v>
      </c>
      <c r="M34" s="1069">
        <v>18.160650967421709</v>
      </c>
      <c r="N34" s="260">
        <f t="shared" ref="N34:AR34" si="122">(N52/(mmBTU_to_GJ))*($C34)</f>
        <v>20.71088694517794</v>
      </c>
      <c r="O34" s="260">
        <f t="shared" si="122"/>
        <v>20.419854234493727</v>
      </c>
      <c r="P34" s="260">
        <f t="shared" si="122"/>
        <v>18.84589804356655</v>
      </c>
      <c r="Q34" s="260">
        <f t="shared" si="122"/>
        <v>18.546331734469991</v>
      </c>
      <c r="R34" s="260">
        <f t="shared" si="122"/>
        <v>18.447325432717289</v>
      </c>
      <c r="S34" s="260">
        <f t="shared" si="122"/>
        <v>18.282111164748592</v>
      </c>
      <c r="T34" s="260">
        <f t="shared" si="122"/>
        <v>18.776485377898855</v>
      </c>
      <c r="U34" s="260">
        <f t="shared" si="122"/>
        <v>19.0506124045218</v>
      </c>
      <c r="V34" s="260">
        <f t="shared" si="122"/>
        <v>19.200702739990415</v>
      </c>
      <c r="W34" s="260">
        <f t="shared" si="122"/>
        <v>19.143487354660063</v>
      </c>
      <c r="X34" s="260">
        <f t="shared" si="122"/>
        <v>19.136493238663739</v>
      </c>
      <c r="Y34" s="260">
        <f t="shared" si="122"/>
        <v>19.273625752681113</v>
      </c>
      <c r="Z34" s="260">
        <f t="shared" si="122"/>
        <v>19.383161051037455</v>
      </c>
      <c r="AA34" s="260">
        <f t="shared" si="122"/>
        <v>19.514271592337145</v>
      </c>
      <c r="AB34" s="260">
        <f t="shared" si="122"/>
        <v>19.584716713011606</v>
      </c>
      <c r="AC34" s="260">
        <f t="shared" si="122"/>
        <v>19.608427400023405</v>
      </c>
      <c r="AD34" s="260">
        <f t="shared" si="122"/>
        <v>19.702865343929336</v>
      </c>
      <c r="AE34" s="260">
        <f t="shared" si="122"/>
        <v>19.792952665549336</v>
      </c>
      <c r="AF34" s="260">
        <f t="shared" si="122"/>
        <v>19.899804603120767</v>
      </c>
      <c r="AG34" s="260">
        <f t="shared" si="122"/>
        <v>20.04636516914546</v>
      </c>
      <c r="AH34" s="260">
        <f t="shared" si="122"/>
        <v>20.164927804298578</v>
      </c>
      <c r="AI34" s="260">
        <f t="shared" si="122"/>
        <v>20.308580118348768</v>
      </c>
      <c r="AJ34" s="260">
        <f t="shared" si="122"/>
        <v>20.474707240100674</v>
      </c>
      <c r="AK34" s="260">
        <f t="shared" si="122"/>
        <v>20.654018096726102</v>
      </c>
      <c r="AL34" s="260">
        <f t="shared" si="122"/>
        <v>20.882864304557295</v>
      </c>
      <c r="AM34" s="260">
        <f t="shared" si="122"/>
        <v>21.257348002303171</v>
      </c>
      <c r="AN34" s="260">
        <f t="shared" si="122"/>
        <v>21.736726062038347</v>
      </c>
      <c r="AO34" s="260">
        <f t="shared" si="122"/>
        <v>22.152611205555505</v>
      </c>
      <c r="AP34" s="260">
        <f t="shared" si="122"/>
        <v>22.558073664667731</v>
      </c>
      <c r="AQ34" s="260">
        <f t="shared" si="122"/>
        <v>22.988629891607754</v>
      </c>
      <c r="AR34" s="260">
        <f t="shared" si="122"/>
        <v>23.250100655420045</v>
      </c>
      <c r="AS34" s="260">
        <f t="shared" ref="AS34:BA34" si="123">($BB34-$AR34)/10+AR34</f>
        <v>22.997834080640374</v>
      </c>
      <c r="AT34" s="260">
        <f t="shared" si="123"/>
        <v>22.745567505860702</v>
      </c>
      <c r="AU34" s="260">
        <f t="shared" si="123"/>
        <v>22.493300931081031</v>
      </c>
      <c r="AV34" s="260">
        <f t="shared" si="123"/>
        <v>22.241034356301359</v>
      </c>
      <c r="AW34" s="260">
        <f t="shared" si="123"/>
        <v>21.988767781521688</v>
      </c>
      <c r="AX34" s="260">
        <f t="shared" si="123"/>
        <v>21.736501206742016</v>
      </c>
      <c r="AY34" s="260">
        <f t="shared" si="123"/>
        <v>21.484234631962345</v>
      </c>
      <c r="AZ34" s="260">
        <f t="shared" si="123"/>
        <v>21.231968057182673</v>
      </c>
      <c r="BA34" s="260">
        <f t="shared" si="123"/>
        <v>20.979701482403001</v>
      </c>
      <c r="BB34" s="939">
        <f>'AEO Data'!$B$33*AM34</f>
        <v>20.727434907623323</v>
      </c>
      <c r="BC34" s="260">
        <f t="shared" ref="BC34:BP34" si="124">($BQ34-$BB34)/15+BB34</f>
        <v>20.739511204755296</v>
      </c>
      <c r="BD34" s="260">
        <f t="shared" si="124"/>
        <v>20.751587501887268</v>
      </c>
      <c r="BE34" s="260">
        <f t="shared" si="124"/>
        <v>20.763663799019241</v>
      </c>
      <c r="BF34" s="260">
        <f t="shared" si="124"/>
        <v>20.775740096151214</v>
      </c>
      <c r="BG34" s="260">
        <f t="shared" si="124"/>
        <v>20.787816393283187</v>
      </c>
      <c r="BH34" s="260">
        <f t="shared" si="124"/>
        <v>20.79989269041516</v>
      </c>
      <c r="BI34" s="260">
        <f t="shared" si="124"/>
        <v>20.811968987547132</v>
      </c>
      <c r="BJ34" s="260">
        <f t="shared" si="124"/>
        <v>20.824045284679105</v>
      </c>
      <c r="BK34" s="260">
        <f t="shared" si="124"/>
        <v>20.836121581811078</v>
      </c>
      <c r="BL34" s="260">
        <f t="shared" si="124"/>
        <v>20.848197878943051</v>
      </c>
      <c r="BM34" s="260">
        <f t="shared" si="124"/>
        <v>20.860274176075023</v>
      </c>
      <c r="BN34" s="260">
        <f t="shared" si="124"/>
        <v>20.872350473206996</v>
      </c>
      <c r="BO34" s="260">
        <f t="shared" si="124"/>
        <v>20.884426770338969</v>
      </c>
      <c r="BP34" s="260">
        <f t="shared" si="124"/>
        <v>20.896503067470942</v>
      </c>
      <c r="BQ34" s="939">
        <f>'AEO Data'!$C$33*BB34</f>
        <v>20.908579364602893</v>
      </c>
      <c r="BR34" s="260">
        <f t="shared" si="120"/>
        <v>20.894500568115706</v>
      </c>
      <c r="BS34" s="260">
        <f t="shared" si="120"/>
        <v>20.880421771628519</v>
      </c>
      <c r="BT34" s="260">
        <f t="shared" si="120"/>
        <v>20.866342975141333</v>
      </c>
      <c r="BU34" s="260">
        <f t="shared" si="120"/>
        <v>20.852264178654146</v>
      </c>
      <c r="BV34" s="963">
        <f>'AEO Data'!$D$33*BQ34</f>
        <v>20.838185382166952</v>
      </c>
      <c r="BW34" s="1398">
        <f>+BV34*BW$140/BV$140</f>
        <v>20.844481841022439</v>
      </c>
      <c r="BX34" s="1398">
        <f t="shared" ref="BX34:CZ34" si="125">+BW34*BX$140/BW$140</f>
        <v>20.850780202413748</v>
      </c>
      <c r="BY34" s="1398">
        <f t="shared" si="125"/>
        <v>20.857080466915747</v>
      </c>
      <c r="BZ34" s="1398">
        <f t="shared" si="125"/>
        <v>20.863382635103481</v>
      </c>
      <c r="CA34" s="1398">
        <f t="shared" si="125"/>
        <v>20.869686707552159</v>
      </c>
      <c r="CB34" s="1398">
        <f t="shared" si="125"/>
        <v>20.867326506359717</v>
      </c>
      <c r="CC34" s="1398">
        <f t="shared" si="125"/>
        <v>20.864966572087891</v>
      </c>
      <c r="CD34" s="1398">
        <f t="shared" si="125"/>
        <v>20.862606904706492</v>
      </c>
      <c r="CE34" s="1398">
        <f t="shared" si="125"/>
        <v>20.860247504185345</v>
      </c>
      <c r="CF34" s="1398">
        <f t="shared" si="125"/>
        <v>20.857888370494265</v>
      </c>
      <c r="CG34" s="1398">
        <f t="shared" si="125"/>
        <v>20.848427047697971</v>
      </c>
      <c r="CH34" s="1398">
        <f t="shared" si="125"/>
        <v>20.838970016641447</v>
      </c>
      <c r="CI34" s="1398">
        <f t="shared" si="125"/>
        <v>20.829517275377921</v>
      </c>
      <c r="CJ34" s="1398">
        <f t="shared" si="125"/>
        <v>20.82006882196151</v>
      </c>
      <c r="CK34" s="1398">
        <f t="shared" si="125"/>
        <v>20.810624654447203</v>
      </c>
      <c r="CL34" s="1398">
        <f t="shared" si="125"/>
        <v>20.799038600799683</v>
      </c>
      <c r="CM34" s="1398">
        <f t="shared" si="125"/>
        <v>20.787458997541872</v>
      </c>
      <c r="CN34" s="1398">
        <f t="shared" si="125"/>
        <v>20.775885841082598</v>
      </c>
      <c r="CO34" s="1398">
        <f t="shared" si="125"/>
        <v>20.764319127832685</v>
      </c>
      <c r="CP34" s="1398">
        <f t="shared" si="125"/>
        <v>20.752758854204956</v>
      </c>
      <c r="CQ34" s="1398">
        <f t="shared" si="125"/>
        <v>20.736920704111466</v>
      </c>
      <c r="CR34" s="1398">
        <f t="shared" si="125"/>
        <v>20.721094641422845</v>
      </c>
      <c r="CS34" s="1398">
        <f t="shared" si="125"/>
        <v>20.705280656914191</v>
      </c>
      <c r="CT34" s="1398">
        <f t="shared" si="125"/>
        <v>20.689478741367644</v>
      </c>
      <c r="CU34" s="1398">
        <f t="shared" si="125"/>
        <v>20.673688885572378</v>
      </c>
      <c r="CV34" s="1398">
        <f t="shared" si="125"/>
        <v>20.658843427163145</v>
      </c>
      <c r="CW34" s="1398">
        <f t="shared" si="125"/>
        <v>20.644008629049544</v>
      </c>
      <c r="CX34" s="1398">
        <f t="shared" si="125"/>
        <v>20.629184483576587</v>
      </c>
      <c r="CY34" s="1398">
        <f t="shared" si="125"/>
        <v>20.614370983094769</v>
      </c>
      <c r="CZ34" s="1398">
        <f t="shared" si="125"/>
        <v>20.59956811996009</v>
      </c>
    </row>
    <row r="35" spans="1:106" ht="13.5" thickBot="1" x14ac:dyDescent="0.35">
      <c r="A35" s="967" t="str">
        <f>'HyARC Physical Property Data'!A78</f>
        <v>Residential Electricity</v>
      </c>
      <c r="B35" s="880">
        <v>2011</v>
      </c>
      <c r="C35" s="881">
        <f t="shared" si="99"/>
        <v>1.0784554773635862</v>
      </c>
      <c r="D35" s="1249" t="str">
        <f>'HyARC Physical Property Data'!$H$78</f>
        <v>kWh</v>
      </c>
      <c r="E35" s="881" t="s">
        <v>1071</v>
      </c>
      <c r="F35" s="880"/>
      <c r="G35" s="880"/>
      <c r="H35" s="1071">
        <v>29.579885763014694</v>
      </c>
      <c r="I35" s="1071">
        <v>29.579885763014694</v>
      </c>
      <c r="J35" s="1071">
        <v>29.579885763014694</v>
      </c>
      <c r="K35" s="1071">
        <v>29.556357578078675</v>
      </c>
      <c r="L35" s="1071">
        <v>30.116416605727963</v>
      </c>
      <c r="M35" s="1071">
        <v>29.134443020933652</v>
      </c>
      <c r="N35" s="880">
        <f t="shared" ref="N35:AR35" si="126">(N53/(mmBTU_to_GJ))*($C35)</f>
        <v>35.290357875264071</v>
      </c>
      <c r="O35" s="880">
        <f t="shared" si="126"/>
        <v>35.099254542442559</v>
      </c>
      <c r="P35" s="880">
        <f t="shared" si="126"/>
        <v>34.006324250330664</v>
      </c>
      <c r="Q35" s="880">
        <f t="shared" si="126"/>
        <v>33.273068571129983</v>
      </c>
      <c r="R35" s="880">
        <f t="shared" si="126"/>
        <v>33.741332917168577</v>
      </c>
      <c r="S35" s="880">
        <f t="shared" si="126"/>
        <v>33.797427935481679</v>
      </c>
      <c r="T35" s="880">
        <f t="shared" si="126"/>
        <v>34.324839686615753</v>
      </c>
      <c r="U35" s="880">
        <f t="shared" si="126"/>
        <v>34.578308413009267</v>
      </c>
      <c r="V35" s="880">
        <f t="shared" si="126"/>
        <v>34.586867567238613</v>
      </c>
      <c r="W35" s="880">
        <f t="shared" si="126"/>
        <v>34.390554936680012</v>
      </c>
      <c r="X35" s="880">
        <f t="shared" si="126"/>
        <v>34.362805408349665</v>
      </c>
      <c r="Y35" s="880">
        <f t="shared" si="126"/>
        <v>34.407138617447096</v>
      </c>
      <c r="Z35" s="880">
        <f t="shared" si="126"/>
        <v>34.440296778887124</v>
      </c>
      <c r="AA35" s="880">
        <f t="shared" si="126"/>
        <v>34.452805840191871</v>
      </c>
      <c r="AB35" s="880">
        <f t="shared" si="126"/>
        <v>34.592323223051601</v>
      </c>
      <c r="AC35" s="880">
        <f t="shared" si="126"/>
        <v>34.714384960668241</v>
      </c>
      <c r="AD35" s="880">
        <f t="shared" si="126"/>
        <v>34.884790126185806</v>
      </c>
      <c r="AE35" s="880">
        <f t="shared" si="126"/>
        <v>35.027523453056702</v>
      </c>
      <c r="AF35" s="880">
        <f t="shared" si="126"/>
        <v>35.17875868912688</v>
      </c>
      <c r="AG35" s="880">
        <f t="shared" si="126"/>
        <v>35.278238284610403</v>
      </c>
      <c r="AH35" s="880">
        <f t="shared" si="126"/>
        <v>35.329988814033648</v>
      </c>
      <c r="AI35" s="880">
        <f t="shared" si="126"/>
        <v>35.457572652587459</v>
      </c>
      <c r="AJ35" s="880">
        <f t="shared" si="126"/>
        <v>35.581268940259363</v>
      </c>
      <c r="AK35" s="880">
        <f t="shared" si="126"/>
        <v>35.700168912196872</v>
      </c>
      <c r="AL35" s="880">
        <f t="shared" si="126"/>
        <v>35.86250559517147</v>
      </c>
      <c r="AM35" s="880">
        <f t="shared" si="126"/>
        <v>36.208798160069257</v>
      </c>
      <c r="AN35" s="880">
        <f t="shared" si="126"/>
        <v>36.632705785658793</v>
      </c>
      <c r="AO35" s="880">
        <f t="shared" si="126"/>
        <v>36.980264896847054</v>
      </c>
      <c r="AP35" s="880">
        <f t="shared" si="126"/>
        <v>37.31435507024409</v>
      </c>
      <c r="AQ35" s="880">
        <f t="shared" si="126"/>
        <v>37.726607198816652</v>
      </c>
      <c r="AR35" s="880">
        <f t="shared" si="126"/>
        <v>37.92339618980413</v>
      </c>
      <c r="AS35" s="880">
        <f t="shared" ref="AS35:BA35" si="127">($BB35-$AR35)/10+AR35</f>
        <v>37.661673404423048</v>
      </c>
      <c r="AT35" s="880">
        <f t="shared" si="127"/>
        <v>37.399950619041967</v>
      </c>
      <c r="AU35" s="880">
        <f t="shared" si="127"/>
        <v>37.138227833660885</v>
      </c>
      <c r="AV35" s="880">
        <f t="shared" si="127"/>
        <v>36.876505048279803</v>
      </c>
      <c r="AW35" s="880">
        <f t="shared" si="127"/>
        <v>36.614782262898721</v>
      </c>
      <c r="AX35" s="880">
        <f t="shared" si="127"/>
        <v>36.35305947751764</v>
      </c>
      <c r="AY35" s="880">
        <f t="shared" si="127"/>
        <v>36.091336692136558</v>
      </c>
      <c r="AZ35" s="880">
        <f t="shared" si="127"/>
        <v>35.829613906755476</v>
      </c>
      <c r="BA35" s="880">
        <f t="shared" si="127"/>
        <v>35.567891121374394</v>
      </c>
      <c r="BB35" s="968">
        <f>'AEO Data'!$B$33*AM35</f>
        <v>35.306168335993306</v>
      </c>
      <c r="BC35" s="880">
        <f t="shared" ref="BC35:BP35" si="128">($BQ35-$BB35)/15+BB35</f>
        <v>35.326738550364603</v>
      </c>
      <c r="BD35" s="880">
        <f t="shared" si="128"/>
        <v>35.347308764735899</v>
      </c>
      <c r="BE35" s="880">
        <f t="shared" si="128"/>
        <v>35.367878979107196</v>
      </c>
      <c r="BF35" s="880">
        <f t="shared" si="128"/>
        <v>35.388449193478493</v>
      </c>
      <c r="BG35" s="880">
        <f t="shared" si="128"/>
        <v>35.40901940784979</v>
      </c>
      <c r="BH35" s="880">
        <f t="shared" si="128"/>
        <v>35.429589622221087</v>
      </c>
      <c r="BI35" s="880">
        <f t="shared" si="128"/>
        <v>35.450159836592384</v>
      </c>
      <c r="BJ35" s="880">
        <f t="shared" si="128"/>
        <v>35.470730050963681</v>
      </c>
      <c r="BK35" s="880">
        <f t="shared" si="128"/>
        <v>35.491300265334978</v>
      </c>
      <c r="BL35" s="880">
        <f t="shared" si="128"/>
        <v>35.511870479706275</v>
      </c>
      <c r="BM35" s="880">
        <f t="shared" si="128"/>
        <v>35.532440694077572</v>
      </c>
      <c r="BN35" s="880">
        <f t="shared" si="128"/>
        <v>35.553010908448869</v>
      </c>
      <c r="BO35" s="880">
        <f t="shared" si="128"/>
        <v>35.573581122820165</v>
      </c>
      <c r="BP35" s="880">
        <f t="shared" si="128"/>
        <v>35.594151337191462</v>
      </c>
      <c r="BQ35" s="968">
        <f>'AEO Data'!$C$33*BB35</f>
        <v>35.614721551562717</v>
      </c>
      <c r="BR35" s="880">
        <f t="shared" si="120"/>
        <v>35.590740371018178</v>
      </c>
      <c r="BS35" s="880">
        <f t="shared" si="120"/>
        <v>35.56675919047364</v>
      </c>
      <c r="BT35" s="880">
        <f t="shared" si="120"/>
        <v>35.542778009929101</v>
      </c>
      <c r="BU35" s="880">
        <f t="shared" si="120"/>
        <v>35.518796829384563</v>
      </c>
      <c r="BV35" s="969">
        <f>'AEO Data'!$D$33*BQ35</f>
        <v>35.494815648840024</v>
      </c>
      <c r="BW35" s="1398">
        <f>+BV35*BW$141/BV$141</f>
        <v>35.479187147674004</v>
      </c>
      <c r="BX35" s="1398">
        <f t="shared" ref="BX35:CZ35" si="129">+BW35*BX$141/BW$141</f>
        <v>35.463565527795978</v>
      </c>
      <c r="BY35" s="1398">
        <f t="shared" si="129"/>
        <v>35.447950786176087</v>
      </c>
      <c r="BZ35" s="1398">
        <f t="shared" si="129"/>
        <v>35.432342919785803</v>
      </c>
      <c r="CA35" s="1398">
        <f t="shared" si="129"/>
        <v>35.41674192559794</v>
      </c>
      <c r="CB35" s="1398">
        <f t="shared" si="129"/>
        <v>35.388373668404036</v>
      </c>
      <c r="CC35" s="1398">
        <f t="shared" si="129"/>
        <v>35.360028133741132</v>
      </c>
      <c r="CD35" s="1398">
        <f t="shared" si="129"/>
        <v>35.331705303408839</v>
      </c>
      <c r="CE35" s="1398">
        <f t="shared" si="129"/>
        <v>35.303405159221327</v>
      </c>
      <c r="CF35" s="1398">
        <f t="shared" si="129"/>
        <v>35.275127683007355</v>
      </c>
      <c r="CG35" s="1398">
        <f t="shared" si="129"/>
        <v>35.236173874838393</v>
      </c>
      <c r="CH35" s="1398">
        <f t="shared" si="129"/>
        <v>35.197263082790727</v>
      </c>
      <c r="CI35" s="1398">
        <f t="shared" si="129"/>
        <v>35.158395259362273</v>
      </c>
      <c r="CJ35" s="1398">
        <f t="shared" si="129"/>
        <v>35.119570357103413</v>
      </c>
      <c r="CK35" s="1398">
        <f t="shared" si="129"/>
        <v>35.080788328616926</v>
      </c>
      <c r="CL35" s="1398">
        <f t="shared" si="129"/>
        <v>35.03850643960029</v>
      </c>
      <c r="CM35" s="1398">
        <f t="shared" si="129"/>
        <v>34.996275511757105</v>
      </c>
      <c r="CN35" s="1398">
        <f t="shared" si="129"/>
        <v>34.954095483665299</v>
      </c>
      <c r="CO35" s="1398">
        <f t="shared" si="129"/>
        <v>34.911966293976825</v>
      </c>
      <c r="CP35" s="1398">
        <f t="shared" si="129"/>
        <v>34.869887881417597</v>
      </c>
      <c r="CQ35" s="1398">
        <f t="shared" si="129"/>
        <v>34.82115009201096</v>
      </c>
      <c r="CR35" s="1398">
        <f t="shared" si="129"/>
        <v>34.772480423618198</v>
      </c>
      <c r="CS35" s="1398">
        <f t="shared" si="129"/>
        <v>34.723878781026279</v>
      </c>
      <c r="CT35" s="1398">
        <f t="shared" si="129"/>
        <v>34.675345069155263</v>
      </c>
      <c r="CU35" s="1398">
        <f t="shared" si="129"/>
        <v>34.626879193058095</v>
      </c>
      <c r="CV35" s="1398">
        <f t="shared" si="129"/>
        <v>34.579567869537456</v>
      </c>
      <c r="CW35" s="1398">
        <f t="shared" si="129"/>
        <v>34.532321188323188</v>
      </c>
      <c r="CX35" s="1398">
        <f t="shared" si="129"/>
        <v>34.485139061093349</v>
      </c>
      <c r="CY35" s="1398">
        <f t="shared" si="129"/>
        <v>34.438021399646672</v>
      </c>
      <c r="CZ35" s="1398">
        <f t="shared" si="129"/>
        <v>34.39096811590241</v>
      </c>
    </row>
    <row r="36" spans="1:106" ht="13" thickTop="1" x14ac:dyDescent="0.25">
      <c r="A36" s="877"/>
      <c r="B36" s="260"/>
      <c r="C36" s="874"/>
      <c r="D36" s="1250"/>
      <c r="E36" s="874"/>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c r="BI36" s="260"/>
      <c r="BJ36" s="260"/>
      <c r="BK36" s="260"/>
      <c r="BL36" s="260"/>
      <c r="BM36" s="260"/>
      <c r="BN36" s="260"/>
      <c r="BO36" s="260"/>
      <c r="BP36" s="260"/>
      <c r="BQ36" s="260"/>
      <c r="BR36" s="260"/>
      <c r="BS36" s="260"/>
      <c r="BT36" s="260"/>
      <c r="BU36" s="260"/>
      <c r="BV36" s="260"/>
      <c r="BW36" s="260"/>
      <c r="BX36" s="260"/>
      <c r="BY36" s="260"/>
      <c r="BZ36" s="260"/>
      <c r="CA36" s="260"/>
      <c r="CB36" s="260"/>
      <c r="CC36" s="260"/>
      <c r="CD36" s="260"/>
      <c r="CE36" s="260"/>
      <c r="CF36" s="260"/>
      <c r="CG36" s="260"/>
      <c r="CH36" s="260"/>
      <c r="CI36" s="260"/>
      <c r="CJ36" s="260"/>
      <c r="CK36" s="260"/>
      <c r="CL36" s="260"/>
      <c r="CM36" s="260"/>
      <c r="CN36" s="260"/>
      <c r="CO36" s="260"/>
      <c r="CP36" s="260"/>
      <c r="CQ36" s="260"/>
      <c r="CR36" s="260"/>
      <c r="CS36" s="260"/>
      <c r="CT36" s="260"/>
      <c r="CU36" s="260"/>
      <c r="CV36" s="260"/>
      <c r="CW36" s="260"/>
      <c r="CX36" s="260"/>
      <c r="CY36" s="260"/>
      <c r="CZ36" s="260"/>
      <c r="DA36" s="260"/>
      <c r="DB36" s="260"/>
    </row>
    <row r="37" spans="1:106" x14ac:dyDescent="0.25">
      <c r="A37" s="877"/>
      <c r="B37" s="260"/>
      <c r="C37" s="874"/>
      <c r="D37" s="1251"/>
      <c r="E37" s="874"/>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row>
    <row r="38" spans="1:106" ht="13" thickBot="1" x14ac:dyDescent="0.3">
      <c r="A38" s="977"/>
      <c r="B38" s="260"/>
      <c r="C38" s="874"/>
      <c r="D38" s="1251"/>
      <c r="E38" s="874"/>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row>
    <row r="39" spans="1:106" s="1053" customFormat="1" ht="13" x14ac:dyDescent="0.3">
      <c r="A39" s="1049" t="s">
        <v>1108</v>
      </c>
      <c r="B39" s="1050"/>
      <c r="C39" s="1051"/>
      <c r="D39" s="1252"/>
      <c r="E39" s="1051"/>
      <c r="F39" s="1050"/>
      <c r="G39" s="1050"/>
      <c r="H39" s="1050"/>
      <c r="I39" s="1050"/>
      <c r="J39" s="1050"/>
      <c r="K39" s="1050"/>
      <c r="L39" s="1050"/>
      <c r="M39" s="1050"/>
      <c r="N39" s="1050"/>
      <c r="O39" s="1050"/>
      <c r="P39" s="1050"/>
      <c r="Q39" s="1050"/>
      <c r="R39" s="1050"/>
      <c r="S39" s="1050"/>
      <c r="T39" s="1050"/>
      <c r="U39" s="1050"/>
      <c r="V39" s="1050"/>
      <c r="W39" s="1050"/>
      <c r="X39" s="1050"/>
      <c r="Y39" s="1050"/>
      <c r="Z39" s="1050"/>
      <c r="AA39" s="1050"/>
      <c r="AB39" s="1050"/>
      <c r="AC39" s="1050"/>
      <c r="AD39" s="1050"/>
      <c r="AE39" s="1050"/>
      <c r="AF39" s="1050"/>
      <c r="AG39" s="1050"/>
      <c r="AH39" s="1050"/>
      <c r="AI39" s="1050"/>
      <c r="AJ39" s="1050"/>
      <c r="AK39" s="1050"/>
      <c r="AL39" s="1050"/>
      <c r="AM39" s="1050"/>
      <c r="AN39" s="1050"/>
      <c r="AO39" s="1050"/>
      <c r="AP39" s="1050"/>
      <c r="AQ39" s="1050"/>
      <c r="AR39" s="1050"/>
      <c r="AS39" s="1050"/>
      <c r="AT39" s="1050"/>
      <c r="AU39" s="1050"/>
      <c r="AV39" s="1050"/>
      <c r="AW39" s="1050"/>
      <c r="AX39" s="1050"/>
      <c r="AY39" s="1050"/>
      <c r="AZ39" s="1050"/>
      <c r="BA39" s="1050"/>
      <c r="BB39" s="1050"/>
      <c r="BC39" s="1050"/>
      <c r="BD39" s="1050"/>
      <c r="BE39" s="1050"/>
      <c r="BF39" s="1050"/>
      <c r="BG39" s="1050"/>
      <c r="BH39" s="1050"/>
      <c r="BI39" s="1050"/>
      <c r="BJ39" s="1050"/>
      <c r="BK39" s="1050"/>
      <c r="BL39" s="1050"/>
      <c r="BM39" s="1050"/>
      <c r="BN39" s="1050"/>
      <c r="BO39" s="1050"/>
      <c r="BP39" s="1050"/>
      <c r="BQ39" s="1050"/>
      <c r="BR39" s="1050"/>
      <c r="BS39" s="1050"/>
      <c r="BT39" s="1050"/>
      <c r="BU39" s="1050"/>
      <c r="BV39" s="1052"/>
    </row>
    <row r="40" spans="1:106" s="1053" customFormat="1" ht="13" x14ac:dyDescent="0.3">
      <c r="A40" s="1054" t="s">
        <v>1109</v>
      </c>
      <c r="B40" s="1055"/>
      <c r="C40" s="1056"/>
      <c r="D40" s="1253"/>
      <c r="E40" s="1056"/>
      <c r="F40" s="1055"/>
      <c r="G40" s="1055"/>
      <c r="H40" s="1055"/>
      <c r="I40" s="1055"/>
      <c r="J40" s="1055"/>
      <c r="K40" s="1055"/>
      <c r="L40" s="1055"/>
      <c r="M40" s="1055"/>
      <c r="N40" s="1055"/>
      <c r="O40" s="1055"/>
      <c r="P40" s="1055"/>
      <c r="Q40" s="1055"/>
      <c r="R40" s="1055"/>
      <c r="S40" s="1055"/>
      <c r="T40" s="1055"/>
      <c r="U40" s="1055"/>
      <c r="V40" s="1055"/>
      <c r="W40" s="1055"/>
      <c r="X40" s="1055"/>
      <c r="Y40" s="1055"/>
      <c r="Z40" s="1055"/>
      <c r="AA40" s="1055"/>
      <c r="AB40" s="1055"/>
      <c r="AC40" s="1055"/>
      <c r="AD40" s="1055"/>
      <c r="AE40" s="1055"/>
      <c r="AF40" s="1055"/>
      <c r="AG40" s="1055"/>
      <c r="AH40" s="1055"/>
      <c r="AI40" s="1055"/>
      <c r="AJ40" s="1055"/>
      <c r="AK40" s="1055"/>
      <c r="AL40" s="1055"/>
      <c r="AM40" s="1055"/>
      <c r="AN40" s="1055"/>
      <c r="AO40" s="1055"/>
      <c r="AP40" s="1055"/>
      <c r="AQ40" s="1055"/>
      <c r="AR40" s="1055"/>
      <c r="AS40" s="1055"/>
      <c r="AT40" s="1055"/>
      <c r="AU40" s="1055"/>
      <c r="AV40" s="1055"/>
      <c r="AW40" s="1055"/>
      <c r="AX40" s="1055"/>
      <c r="AY40" s="1055"/>
      <c r="AZ40" s="1055"/>
      <c r="BA40" s="1055"/>
      <c r="BB40" s="1055"/>
      <c r="BC40" s="1055"/>
      <c r="BD40" s="1055"/>
      <c r="BE40" s="1055"/>
      <c r="BF40" s="1055"/>
      <c r="BG40" s="1055"/>
      <c r="BH40" s="1055"/>
      <c r="BI40" s="1055"/>
      <c r="BJ40" s="1055"/>
      <c r="BK40" s="1055"/>
      <c r="BL40" s="1055"/>
      <c r="BM40" s="1055"/>
      <c r="BN40" s="1055"/>
      <c r="BO40" s="1055"/>
      <c r="BP40" s="1055"/>
      <c r="BQ40" s="1055"/>
      <c r="BR40" s="1055"/>
      <c r="BS40" s="1055"/>
      <c r="BT40" s="1055"/>
      <c r="BU40" s="1055"/>
      <c r="BV40" s="1057"/>
    </row>
    <row r="41" spans="1:106" s="1053" customFormat="1" x14ac:dyDescent="0.25">
      <c r="A41" s="1058"/>
      <c r="B41" s="1055"/>
      <c r="C41" s="1056"/>
      <c r="D41" s="1253"/>
      <c r="E41" s="1056"/>
      <c r="F41" s="1055"/>
      <c r="G41" s="1055"/>
      <c r="H41" s="1055"/>
      <c r="I41" s="1055"/>
      <c r="J41" s="1055"/>
      <c r="K41" s="1055"/>
      <c r="L41" s="1055"/>
      <c r="M41" s="1055"/>
      <c r="N41" s="1055"/>
      <c r="O41" s="1055"/>
      <c r="P41" s="1055"/>
      <c r="Q41" s="1055"/>
      <c r="R41" s="1055"/>
      <c r="S41" s="1055"/>
      <c r="T41" s="1055"/>
      <c r="U41" s="1055"/>
      <c r="V41" s="1055"/>
      <c r="W41" s="1055"/>
      <c r="X41" s="1055"/>
      <c r="Y41" s="1055"/>
      <c r="Z41" s="1055"/>
      <c r="AA41" s="1055"/>
      <c r="AB41" s="1055"/>
      <c r="AC41" s="1055"/>
      <c r="AD41" s="1055"/>
      <c r="AE41" s="1055"/>
      <c r="AF41" s="1055"/>
      <c r="AG41" s="1055"/>
      <c r="AH41" s="1055"/>
      <c r="AI41" s="1055"/>
      <c r="AJ41" s="1055"/>
      <c r="AK41" s="1055"/>
      <c r="AL41" s="1055"/>
      <c r="AM41" s="1055"/>
      <c r="AN41" s="1055"/>
      <c r="AO41" s="1055"/>
      <c r="AP41" s="1055"/>
      <c r="AQ41" s="1055"/>
      <c r="AR41" s="1055"/>
      <c r="AS41" s="1055"/>
      <c r="AT41" s="1055"/>
      <c r="AU41" s="1055"/>
      <c r="AV41" s="1055"/>
      <c r="AW41" s="1055"/>
      <c r="AX41" s="1055"/>
      <c r="AY41" s="1055"/>
      <c r="AZ41" s="1055"/>
      <c r="BA41" s="1055"/>
      <c r="BB41" s="1055"/>
      <c r="BC41" s="1055"/>
      <c r="BD41" s="1055"/>
      <c r="BE41" s="1055"/>
      <c r="BF41" s="1055"/>
      <c r="BG41" s="1055"/>
      <c r="BH41" s="1055"/>
      <c r="BI41" s="1055"/>
      <c r="BJ41" s="1055"/>
      <c r="BK41" s="1055"/>
      <c r="BL41" s="1055"/>
      <c r="BM41" s="1055"/>
      <c r="BN41" s="1055"/>
      <c r="BO41" s="1055"/>
      <c r="BP41" s="1055"/>
      <c r="BQ41" s="1055"/>
      <c r="BR41" s="1055"/>
      <c r="BS41" s="1055"/>
      <c r="BT41" s="1055"/>
      <c r="BU41" s="1055"/>
      <c r="BV41" s="1057"/>
    </row>
    <row r="42" spans="1:106" s="1053" customFormat="1" x14ac:dyDescent="0.25">
      <c r="A42" s="1058" t="s">
        <v>681</v>
      </c>
      <c r="B42" s="1055"/>
      <c r="C42" s="1056"/>
      <c r="D42" s="1253"/>
      <c r="E42" s="1056"/>
      <c r="F42" s="1055"/>
      <c r="G42" s="1055"/>
      <c r="H42" s="1055"/>
      <c r="I42" s="1055"/>
      <c r="J42" s="1055"/>
      <c r="K42" s="1055"/>
      <c r="L42" s="1055"/>
      <c r="M42" s="1055"/>
      <c r="N42" s="1059">
        <v>11.359373</v>
      </c>
      <c r="O42" s="1059">
        <v>10.802343</v>
      </c>
      <c r="P42" s="1059">
        <v>10.464380999999999</v>
      </c>
      <c r="Q42" s="1059">
        <v>10.477905</v>
      </c>
      <c r="R42" s="1059">
        <v>10.253485</v>
      </c>
      <c r="S42" s="1059">
        <v>10.156079999999999</v>
      </c>
      <c r="T42" s="1059">
        <v>10.662777999999999</v>
      </c>
      <c r="U42" s="1059">
        <v>10.990506</v>
      </c>
      <c r="V42" s="1059">
        <v>11.397518</v>
      </c>
      <c r="W42" s="1059">
        <v>11.624905</v>
      </c>
      <c r="X42" s="1059">
        <v>11.776242999999999</v>
      </c>
      <c r="Y42" s="1059">
        <v>11.960003</v>
      </c>
      <c r="Z42" s="1059">
        <v>12.203179</v>
      </c>
      <c r="AA42" s="1059">
        <v>12.432268000000001</v>
      </c>
      <c r="AB42" s="1059">
        <v>12.584531</v>
      </c>
      <c r="AC42" s="1059">
        <v>12.674325</v>
      </c>
      <c r="AD42" s="1059">
        <v>12.841908</v>
      </c>
      <c r="AE42" s="1059">
        <v>12.933384999999999</v>
      </c>
      <c r="AF42" s="1059">
        <v>13.085578999999999</v>
      </c>
      <c r="AG42" s="1059">
        <v>13.234385</v>
      </c>
      <c r="AH42" s="1059">
        <v>13.368997999999999</v>
      </c>
      <c r="AI42" s="1059">
        <v>13.547089</v>
      </c>
      <c r="AJ42" s="1059">
        <v>13.721807</v>
      </c>
      <c r="AK42" s="1059">
        <v>13.935895</v>
      </c>
      <c r="AL42" s="1059">
        <v>14.248931000000001</v>
      </c>
      <c r="AM42" s="1059">
        <v>14.598827</v>
      </c>
      <c r="AN42" s="1059">
        <v>15.023702999999999</v>
      </c>
      <c r="AO42" s="1059">
        <v>15.415895000000001</v>
      </c>
      <c r="AP42" s="1059">
        <v>15.842275000000001</v>
      </c>
      <c r="AQ42" s="1059">
        <v>16.055761</v>
      </c>
      <c r="AR42" s="1059">
        <v>16.363073</v>
      </c>
      <c r="AS42" s="1055"/>
      <c r="AT42" s="1055"/>
      <c r="AU42" s="1055"/>
      <c r="AV42" s="1055"/>
      <c r="AW42" s="1055"/>
      <c r="AX42" s="1055"/>
      <c r="AY42" s="1055"/>
      <c r="AZ42" s="1055"/>
      <c r="BA42" s="1055"/>
      <c r="BB42" s="1055"/>
      <c r="BC42" s="1055"/>
      <c r="BD42" s="1055"/>
      <c r="BE42" s="1055"/>
      <c r="BF42" s="1055"/>
      <c r="BG42" s="1055"/>
      <c r="BH42" s="1055"/>
      <c r="BI42" s="1055"/>
      <c r="BJ42" s="1055"/>
      <c r="BK42" s="1055"/>
      <c r="BL42" s="1055"/>
      <c r="BM42" s="1055"/>
      <c r="BN42" s="1055"/>
      <c r="BO42" s="1055"/>
      <c r="BP42" s="1055"/>
      <c r="BQ42" s="1055"/>
      <c r="BR42" s="1055"/>
      <c r="BS42" s="1055"/>
      <c r="BT42" s="1055"/>
      <c r="BU42" s="1055"/>
      <c r="BV42" s="1057"/>
    </row>
    <row r="43" spans="1:106" s="1053" customFormat="1" x14ac:dyDescent="0.25">
      <c r="A43" s="1058" t="s">
        <v>1085</v>
      </c>
      <c r="B43" s="1055"/>
      <c r="C43" s="1056"/>
      <c r="D43" s="1253"/>
      <c r="E43" s="1056"/>
      <c r="F43" s="1055"/>
      <c r="G43" s="1055"/>
      <c r="H43" s="1055"/>
      <c r="I43" s="1055"/>
      <c r="J43" s="1055"/>
      <c r="K43" s="1055"/>
      <c r="L43" s="1055"/>
      <c r="M43" s="1055"/>
      <c r="N43" s="1059">
        <v>9.3969749999999994</v>
      </c>
      <c r="O43" s="1059">
        <v>8.8368610000000007</v>
      </c>
      <c r="P43" s="1059">
        <v>8.0727960000000003</v>
      </c>
      <c r="Q43" s="1059">
        <v>8.4627339999999993</v>
      </c>
      <c r="R43" s="1059">
        <v>8.2352620000000005</v>
      </c>
      <c r="S43" s="1059">
        <v>8.1043620000000001</v>
      </c>
      <c r="T43" s="1059">
        <v>8.5610389999999992</v>
      </c>
      <c r="U43" s="1059">
        <v>8.8247909999999994</v>
      </c>
      <c r="V43" s="1059">
        <v>9.1722800000000007</v>
      </c>
      <c r="W43" s="1059">
        <v>9.3508150000000008</v>
      </c>
      <c r="X43" s="1059">
        <v>9.4680210000000002</v>
      </c>
      <c r="Y43" s="1059">
        <v>9.6109419999999997</v>
      </c>
      <c r="Z43" s="1059">
        <v>9.8191819999999996</v>
      </c>
      <c r="AA43" s="1059">
        <v>10.011597999999999</v>
      </c>
      <c r="AB43" s="1059">
        <v>10.133018</v>
      </c>
      <c r="AC43" s="1059">
        <v>10.193654</v>
      </c>
      <c r="AD43" s="1059">
        <v>10.33554</v>
      </c>
      <c r="AE43" s="1059">
        <v>10.388019</v>
      </c>
      <c r="AF43" s="1059">
        <v>10.500005</v>
      </c>
      <c r="AG43" s="1059">
        <v>10.605323</v>
      </c>
      <c r="AH43" s="1059">
        <v>10.697221000000001</v>
      </c>
      <c r="AI43" s="1059">
        <v>10.832411</v>
      </c>
      <c r="AJ43" s="1059">
        <v>10.954602</v>
      </c>
      <c r="AK43" s="1059">
        <v>11.11848</v>
      </c>
      <c r="AL43" s="1059">
        <v>11.383407</v>
      </c>
      <c r="AM43" s="1059">
        <v>11.681657</v>
      </c>
      <c r="AN43" s="1059">
        <v>12.061093</v>
      </c>
      <c r="AO43" s="1059">
        <v>12.401303</v>
      </c>
      <c r="AP43" s="1059">
        <v>12.781521</v>
      </c>
      <c r="AQ43" s="1059">
        <v>12.948893999999999</v>
      </c>
      <c r="AR43" s="1059">
        <v>13.212922000000001</v>
      </c>
      <c r="AS43" s="1055"/>
      <c r="AT43" s="1055"/>
      <c r="AU43" s="1055"/>
      <c r="AV43" s="1055"/>
      <c r="AW43" s="1055"/>
      <c r="AX43" s="1055"/>
      <c r="AY43" s="1055"/>
      <c r="AZ43" s="1055"/>
      <c r="BA43" s="1055"/>
      <c r="BB43" s="1055"/>
      <c r="BC43" s="1055"/>
      <c r="BD43" s="1055"/>
      <c r="BE43" s="1055"/>
      <c r="BF43" s="1055"/>
      <c r="BG43" s="1055"/>
      <c r="BH43" s="1055"/>
      <c r="BI43" s="1055"/>
      <c r="BJ43" s="1055"/>
      <c r="BK43" s="1055"/>
      <c r="BL43" s="1055"/>
      <c r="BM43" s="1055"/>
      <c r="BN43" s="1055"/>
      <c r="BO43" s="1055"/>
      <c r="BP43" s="1055"/>
      <c r="BQ43" s="1055"/>
      <c r="BR43" s="1055"/>
      <c r="BS43" s="1055"/>
      <c r="BT43" s="1055"/>
      <c r="BU43" s="1055"/>
      <c r="BV43" s="1057"/>
    </row>
    <row r="44" spans="1:106" s="1053" customFormat="1" x14ac:dyDescent="0.25">
      <c r="A44" s="1058" t="s">
        <v>283</v>
      </c>
      <c r="B44" s="1055"/>
      <c r="C44" s="1056"/>
      <c r="D44" s="1253"/>
      <c r="E44" s="1056"/>
      <c r="F44" s="1055"/>
      <c r="G44" s="1055"/>
      <c r="H44" s="1055"/>
      <c r="I44" s="1055"/>
      <c r="J44" s="1055"/>
      <c r="K44" s="1055"/>
      <c r="L44" s="1055"/>
      <c r="M44" s="1055"/>
      <c r="N44" s="1059">
        <v>5.4839599999999997</v>
      </c>
      <c r="O44" s="1059">
        <v>4.8898130000000002</v>
      </c>
      <c r="P44" s="1059">
        <v>3.7596859999999999</v>
      </c>
      <c r="Q44" s="1059">
        <v>4.3339879999999997</v>
      </c>
      <c r="R44" s="1059">
        <v>4.3750520000000002</v>
      </c>
      <c r="S44" s="1059">
        <v>4.4225349999999999</v>
      </c>
      <c r="T44" s="1059">
        <v>4.8660360000000003</v>
      </c>
      <c r="U44" s="1059">
        <v>5.0679410000000003</v>
      </c>
      <c r="V44" s="1059">
        <v>5.3212570000000001</v>
      </c>
      <c r="W44" s="1059">
        <v>5.4497980000000004</v>
      </c>
      <c r="X44" s="1059">
        <v>5.5294119999999998</v>
      </c>
      <c r="Y44" s="1059">
        <v>5.6406840000000003</v>
      </c>
      <c r="Z44" s="1059">
        <v>5.8277749999999999</v>
      </c>
      <c r="AA44" s="1059">
        <v>6.0107049999999997</v>
      </c>
      <c r="AB44" s="1059">
        <v>6.1100089999999998</v>
      </c>
      <c r="AC44" s="1059">
        <v>6.1511990000000001</v>
      </c>
      <c r="AD44" s="1059">
        <v>6.2557600000000004</v>
      </c>
      <c r="AE44" s="1059">
        <v>6.2949159999999997</v>
      </c>
      <c r="AF44" s="1059">
        <v>6.396782</v>
      </c>
      <c r="AG44" s="1059">
        <v>6.4862520000000004</v>
      </c>
      <c r="AH44" s="1059">
        <v>6.561483</v>
      </c>
      <c r="AI44" s="1059">
        <v>6.6766310000000004</v>
      </c>
      <c r="AJ44" s="1059">
        <v>6.771134</v>
      </c>
      <c r="AK44" s="1059">
        <v>6.9159920000000001</v>
      </c>
      <c r="AL44" s="1059">
        <v>7.1687539999999998</v>
      </c>
      <c r="AM44" s="1059">
        <v>7.4454149999999997</v>
      </c>
      <c r="AN44" s="1059">
        <v>7.813205</v>
      </c>
      <c r="AO44" s="1059">
        <v>8.1536600000000004</v>
      </c>
      <c r="AP44" s="1059">
        <v>8.4989190000000008</v>
      </c>
      <c r="AQ44" s="1059">
        <v>8.6393810000000002</v>
      </c>
      <c r="AR44" s="1059">
        <v>8.8810929999999999</v>
      </c>
      <c r="AS44" s="1055"/>
      <c r="AT44" s="1055"/>
      <c r="AU44" s="1055"/>
      <c r="AV44" s="1055"/>
      <c r="AW44" s="1055"/>
      <c r="AX44" s="1055"/>
      <c r="AY44" s="1055"/>
      <c r="AZ44" s="1055"/>
      <c r="BA44" s="1055"/>
      <c r="BB44" s="1055"/>
      <c r="BC44" s="1055"/>
      <c r="BD44" s="1055"/>
      <c r="BE44" s="1055"/>
      <c r="BF44" s="1055"/>
      <c r="BG44" s="1055"/>
      <c r="BH44" s="1055"/>
      <c r="BI44" s="1055"/>
      <c r="BJ44" s="1055"/>
      <c r="BK44" s="1055"/>
      <c r="BL44" s="1055"/>
      <c r="BM44" s="1055"/>
      <c r="BN44" s="1055"/>
      <c r="BO44" s="1055"/>
      <c r="BP44" s="1055"/>
      <c r="BQ44" s="1055"/>
      <c r="BR44" s="1055"/>
      <c r="BS44" s="1055"/>
      <c r="BT44" s="1055"/>
      <c r="BU44" s="1055"/>
      <c r="BV44" s="1057"/>
    </row>
    <row r="45" spans="1:106" s="1053" customFormat="1" x14ac:dyDescent="0.25">
      <c r="A45" s="1060" t="str">
        <f>'HyARC Physical Property Data'!$A$74</f>
        <v>Electric Utility Natural Gas</v>
      </c>
      <c r="B45" s="1055"/>
      <c r="C45" s="1056"/>
      <c r="D45" s="1253"/>
      <c r="E45" s="1056"/>
      <c r="F45" s="1055"/>
      <c r="G45" s="1055"/>
      <c r="H45" s="1055"/>
      <c r="I45" s="1055"/>
      <c r="J45" s="1055"/>
      <c r="K45" s="1055"/>
      <c r="L45" s="1055"/>
      <c r="M45" s="1055"/>
      <c r="N45" s="1059">
        <v>5.258165</v>
      </c>
      <c r="O45" s="1059">
        <v>4.7747140000000003</v>
      </c>
      <c r="P45" s="1059">
        <v>3.3217560000000002</v>
      </c>
      <c r="Q45" s="1059">
        <v>3.7155300000000002</v>
      </c>
      <c r="R45" s="1059">
        <v>3.758219</v>
      </c>
      <c r="S45" s="1059">
        <v>3.8420709999999998</v>
      </c>
      <c r="T45" s="1059">
        <v>4.2826180000000003</v>
      </c>
      <c r="U45" s="1059">
        <v>4.4486730000000003</v>
      </c>
      <c r="V45" s="1059">
        <v>4.7026110000000001</v>
      </c>
      <c r="W45" s="1059">
        <v>4.8222319999999996</v>
      </c>
      <c r="X45" s="1059">
        <v>4.8967590000000003</v>
      </c>
      <c r="Y45" s="1059">
        <v>5.0074189999999996</v>
      </c>
      <c r="Z45" s="1059">
        <v>5.20235</v>
      </c>
      <c r="AA45" s="1059">
        <v>5.388776</v>
      </c>
      <c r="AB45" s="1059">
        <v>5.5179349999999996</v>
      </c>
      <c r="AC45" s="1059">
        <v>5.5779610000000002</v>
      </c>
      <c r="AD45" s="1059">
        <v>5.7088080000000003</v>
      </c>
      <c r="AE45" s="1059">
        <v>5.7607720000000002</v>
      </c>
      <c r="AF45" s="1059">
        <v>5.8668440000000004</v>
      </c>
      <c r="AG45" s="1059">
        <v>5.9650189999999998</v>
      </c>
      <c r="AH45" s="1059">
        <v>6.0528500000000003</v>
      </c>
      <c r="AI45" s="1059">
        <v>6.1836820000000001</v>
      </c>
      <c r="AJ45" s="1059">
        <v>6.2931780000000002</v>
      </c>
      <c r="AK45" s="1059">
        <v>6.4458729999999997</v>
      </c>
      <c r="AL45" s="1059">
        <v>6.6983480000000002</v>
      </c>
      <c r="AM45" s="1059">
        <v>6.9804459999999997</v>
      </c>
      <c r="AN45" s="1059">
        <v>7.345173</v>
      </c>
      <c r="AO45" s="1059">
        <v>7.6749489999999998</v>
      </c>
      <c r="AP45" s="1059">
        <v>8.0219799999999992</v>
      </c>
      <c r="AQ45" s="1059">
        <v>8.1549879999999995</v>
      </c>
      <c r="AR45" s="1059">
        <v>8.3777830000000009</v>
      </c>
      <c r="AS45" s="1055"/>
      <c r="AT45" s="1055"/>
      <c r="AU45" s="1055"/>
      <c r="AV45" s="1055"/>
      <c r="AW45" s="1055"/>
      <c r="AX45" s="1055"/>
      <c r="AY45" s="1055"/>
      <c r="AZ45" s="1055"/>
      <c r="BA45" s="1055"/>
      <c r="BB45" s="1055"/>
      <c r="BC45" s="1055"/>
      <c r="BD45" s="1055"/>
      <c r="BE45" s="1055"/>
      <c r="BF45" s="1055"/>
      <c r="BG45" s="1055"/>
      <c r="BH45" s="1055"/>
      <c r="BI45" s="1055"/>
      <c r="BJ45" s="1055"/>
      <c r="BK45" s="1055"/>
      <c r="BL45" s="1055"/>
      <c r="BM45" s="1055"/>
      <c r="BN45" s="1055"/>
      <c r="BO45" s="1055"/>
      <c r="BP45" s="1055"/>
      <c r="BQ45" s="1055"/>
      <c r="BR45" s="1055"/>
      <c r="BS45" s="1055"/>
      <c r="BT45" s="1055"/>
      <c r="BU45" s="1055"/>
      <c r="BV45" s="1057"/>
    </row>
    <row r="46" spans="1:106" s="1053" customFormat="1" x14ac:dyDescent="0.25">
      <c r="A46" s="1058" t="str">
        <f>'HyARC Physical Property Data'!$A$85</f>
        <v>Woody Biomass</v>
      </c>
      <c r="B46" s="1055"/>
      <c r="C46" s="1056"/>
      <c r="D46" s="1253"/>
      <c r="E46" s="1056"/>
      <c r="F46" s="1055"/>
      <c r="G46" s="1055"/>
      <c r="H46" s="1055"/>
      <c r="I46" s="1055"/>
      <c r="J46" s="1055"/>
      <c r="K46" s="1055"/>
      <c r="L46" s="1055"/>
      <c r="M46" s="1055"/>
      <c r="N46" s="1059"/>
      <c r="O46" s="1059"/>
      <c r="P46" s="1059"/>
      <c r="Q46" s="1059"/>
      <c r="R46" s="1059"/>
      <c r="S46" s="1059"/>
      <c r="T46" s="1059"/>
      <c r="U46" s="1059"/>
      <c r="V46" s="1059"/>
      <c r="W46" s="1059"/>
      <c r="X46" s="1059"/>
      <c r="Y46" s="1059"/>
      <c r="Z46" s="1059"/>
      <c r="AA46" s="1059"/>
      <c r="AB46" s="1059"/>
      <c r="AC46" s="1059"/>
      <c r="AD46" s="1059"/>
      <c r="AE46" s="1059"/>
      <c r="AF46" s="1059"/>
      <c r="AG46" s="1059"/>
      <c r="AH46" s="1059"/>
      <c r="AI46" s="1059"/>
      <c r="AJ46" s="1059"/>
      <c r="AK46" s="1059"/>
      <c r="AL46" s="1059"/>
      <c r="AM46" s="1059"/>
      <c r="AN46" s="1059"/>
      <c r="AO46" s="1059"/>
      <c r="AP46" s="1059"/>
      <c r="AQ46" s="1059"/>
      <c r="AR46" s="1059"/>
      <c r="AS46" s="1055"/>
      <c r="AT46" s="1055"/>
      <c r="AU46" s="1055"/>
      <c r="AV46" s="1055"/>
      <c r="AW46" s="1055"/>
      <c r="AX46" s="1055"/>
      <c r="AY46" s="1055"/>
      <c r="AZ46" s="1055"/>
      <c r="BA46" s="1055"/>
      <c r="BB46" s="1055"/>
      <c r="BC46" s="1055"/>
      <c r="BD46" s="1055"/>
      <c r="BE46" s="1055"/>
      <c r="BF46" s="1055"/>
      <c r="BG46" s="1055"/>
      <c r="BH46" s="1055"/>
      <c r="BI46" s="1055"/>
      <c r="BJ46" s="1055"/>
      <c r="BK46" s="1055"/>
      <c r="BL46" s="1055"/>
      <c r="BM46" s="1055"/>
      <c r="BN46" s="1055"/>
      <c r="BO46" s="1055"/>
      <c r="BP46" s="1055"/>
      <c r="BQ46" s="1055"/>
      <c r="BR46" s="1055"/>
      <c r="BS46" s="1055"/>
      <c r="BT46" s="1055"/>
      <c r="BU46" s="1055"/>
      <c r="BV46" s="1057"/>
    </row>
    <row r="47" spans="1:106" s="1053" customFormat="1" x14ac:dyDescent="0.25">
      <c r="A47" s="1058" t="s">
        <v>1110</v>
      </c>
      <c r="B47" s="1055"/>
      <c r="C47" s="1056"/>
      <c r="D47" s="1253"/>
      <c r="E47" s="1056"/>
      <c r="F47" s="1055"/>
      <c r="G47" s="1055"/>
      <c r="H47" s="1055"/>
      <c r="I47" s="1055"/>
      <c r="J47" s="1055"/>
      <c r="K47" s="1055"/>
      <c r="L47" s="1055"/>
      <c r="M47" s="1055"/>
      <c r="N47" s="1059">
        <v>13.6</v>
      </c>
      <c r="O47" s="1059">
        <v>13.6</v>
      </c>
      <c r="P47" s="1059">
        <v>13.6</v>
      </c>
      <c r="Q47" s="1059">
        <v>13.6</v>
      </c>
      <c r="R47" s="1059">
        <v>13.6</v>
      </c>
      <c r="S47" s="1059">
        <v>13.6</v>
      </c>
      <c r="T47" s="1059">
        <v>13.6</v>
      </c>
      <c r="U47" s="1059">
        <v>14.11</v>
      </c>
      <c r="V47" s="1059">
        <v>14.11</v>
      </c>
      <c r="W47" s="1059">
        <v>14.11</v>
      </c>
      <c r="X47" s="1059">
        <v>14.11</v>
      </c>
      <c r="Y47" s="1059">
        <v>14.11</v>
      </c>
      <c r="Z47" s="1059">
        <v>14.11</v>
      </c>
      <c r="AA47" s="1059">
        <v>14.11</v>
      </c>
      <c r="AB47" s="1059">
        <v>14.11</v>
      </c>
      <c r="AC47" s="1059">
        <v>14.11</v>
      </c>
      <c r="AD47" s="1059">
        <v>14.11</v>
      </c>
      <c r="AE47" s="1059">
        <v>14.11</v>
      </c>
      <c r="AF47" s="1059">
        <v>14.11</v>
      </c>
      <c r="AG47" s="1059">
        <v>14.11</v>
      </c>
      <c r="AH47" s="1059">
        <v>14.11</v>
      </c>
      <c r="AI47" s="1059">
        <v>14.11</v>
      </c>
      <c r="AJ47" s="1059">
        <v>14.11</v>
      </c>
      <c r="AK47" s="1059">
        <v>14.11</v>
      </c>
      <c r="AL47" s="1059">
        <v>14.11</v>
      </c>
      <c r="AM47" s="1059">
        <v>14.11</v>
      </c>
      <c r="AN47" s="1059">
        <v>14.11</v>
      </c>
      <c r="AO47" s="1059">
        <v>14.11</v>
      </c>
      <c r="AP47" s="1059">
        <v>14.11</v>
      </c>
      <c r="AQ47" s="1059">
        <v>14.11</v>
      </c>
      <c r="AR47" s="1059">
        <v>14.11</v>
      </c>
      <c r="AS47" s="1059">
        <v>14.11</v>
      </c>
      <c r="AT47" s="1059">
        <v>14.11</v>
      </c>
      <c r="AU47" s="1059">
        <v>14.11</v>
      </c>
      <c r="AV47" s="1059">
        <v>14.11</v>
      </c>
      <c r="AW47" s="1059">
        <v>14.11</v>
      </c>
      <c r="AX47" s="1059">
        <v>14.11</v>
      </c>
      <c r="AY47" s="1059">
        <v>14.11</v>
      </c>
      <c r="AZ47" s="1059">
        <v>14.11</v>
      </c>
      <c r="BA47" s="1059">
        <v>14.11</v>
      </c>
      <c r="BB47" s="1059">
        <v>14.11</v>
      </c>
      <c r="BC47" s="1059">
        <v>14.11</v>
      </c>
      <c r="BD47" s="1059">
        <v>14.11</v>
      </c>
      <c r="BE47" s="1059">
        <v>14.11</v>
      </c>
      <c r="BF47" s="1059">
        <v>14.11</v>
      </c>
      <c r="BG47" s="1059">
        <v>14.11</v>
      </c>
      <c r="BH47" s="1059">
        <v>14.11</v>
      </c>
      <c r="BI47" s="1059">
        <v>14.11</v>
      </c>
      <c r="BJ47" s="1059">
        <v>14.11</v>
      </c>
      <c r="BK47" s="1059">
        <v>14.11</v>
      </c>
      <c r="BL47" s="1059">
        <v>14.11</v>
      </c>
      <c r="BM47" s="1059">
        <v>14.11</v>
      </c>
      <c r="BN47" s="1059">
        <v>14.11</v>
      </c>
      <c r="BO47" s="1059">
        <v>14.11</v>
      </c>
      <c r="BP47" s="1059">
        <v>14.11</v>
      </c>
      <c r="BQ47" s="1059">
        <v>14.11</v>
      </c>
      <c r="BR47" s="1059">
        <v>14.11</v>
      </c>
      <c r="BS47" s="1059">
        <v>14.11</v>
      </c>
      <c r="BT47" s="1059">
        <v>14.11</v>
      </c>
      <c r="BU47" s="1059">
        <v>14.11</v>
      </c>
      <c r="BV47" s="1061">
        <v>14.11</v>
      </c>
    </row>
    <row r="48" spans="1:106" s="1053" customFormat="1" x14ac:dyDescent="0.25">
      <c r="A48" s="1058" t="s">
        <v>311</v>
      </c>
      <c r="B48" s="1055"/>
      <c r="C48" s="1056"/>
      <c r="D48" s="1253"/>
      <c r="E48" s="1056"/>
      <c r="F48" s="1055"/>
      <c r="G48" s="1055"/>
      <c r="H48" s="1055"/>
      <c r="I48" s="1055"/>
      <c r="J48" s="1055"/>
      <c r="K48" s="1055"/>
      <c r="L48" s="1055"/>
      <c r="M48" s="1055"/>
      <c r="N48" s="1059">
        <v>23.6</v>
      </c>
      <c r="O48" s="1059">
        <v>23.6</v>
      </c>
      <c r="P48" s="1059">
        <v>23.6</v>
      </c>
      <c r="Q48" s="1059">
        <v>23.6</v>
      </c>
      <c r="R48" s="1059">
        <v>23.6</v>
      </c>
      <c r="S48" s="1059">
        <v>23.6</v>
      </c>
      <c r="T48" s="1059">
        <v>23.6</v>
      </c>
      <c r="U48" s="1059">
        <v>23.6</v>
      </c>
      <c r="V48" s="1059">
        <v>23.6</v>
      </c>
      <c r="W48" s="1059">
        <v>23.6</v>
      </c>
      <c r="X48" s="1059">
        <v>23.6</v>
      </c>
      <c r="Y48" s="1059">
        <v>23.6</v>
      </c>
      <c r="Z48" s="1059">
        <v>23.6</v>
      </c>
      <c r="AA48" s="1059">
        <v>23.6</v>
      </c>
      <c r="AB48" s="1059">
        <v>23.6</v>
      </c>
      <c r="AC48" s="1059">
        <v>23.6</v>
      </c>
      <c r="AD48" s="1059">
        <v>23.6</v>
      </c>
      <c r="AE48" s="1059">
        <v>23.6</v>
      </c>
      <c r="AF48" s="1059">
        <v>23.6</v>
      </c>
      <c r="AG48" s="1059">
        <v>23.6</v>
      </c>
      <c r="AH48" s="1059">
        <v>23.6</v>
      </c>
      <c r="AI48" s="1059">
        <v>23.6</v>
      </c>
      <c r="AJ48" s="1059">
        <v>23.6</v>
      </c>
      <c r="AK48" s="1059">
        <v>23.6</v>
      </c>
      <c r="AL48" s="1059">
        <v>23.6</v>
      </c>
      <c r="AM48" s="1059">
        <v>23.6</v>
      </c>
      <c r="AN48" s="1059">
        <v>23.6</v>
      </c>
      <c r="AO48" s="1059">
        <v>23.6</v>
      </c>
      <c r="AP48" s="1059">
        <v>23.6</v>
      </c>
      <c r="AQ48" s="1059">
        <v>23.6</v>
      </c>
      <c r="AR48" s="1059">
        <v>23.6</v>
      </c>
      <c r="AS48" s="1059">
        <v>23.6</v>
      </c>
      <c r="AT48" s="1059">
        <v>23.6</v>
      </c>
      <c r="AU48" s="1059">
        <v>23.6</v>
      </c>
      <c r="AV48" s="1059">
        <v>23.6</v>
      </c>
      <c r="AW48" s="1059">
        <v>23.6</v>
      </c>
      <c r="AX48" s="1059">
        <v>23.6</v>
      </c>
      <c r="AY48" s="1059">
        <v>23.6</v>
      </c>
      <c r="AZ48" s="1059">
        <v>23.6</v>
      </c>
      <c r="BA48" s="1059">
        <v>23.6</v>
      </c>
      <c r="BB48" s="1059">
        <v>23.6</v>
      </c>
      <c r="BC48" s="1059">
        <v>23.6</v>
      </c>
      <c r="BD48" s="1059">
        <v>23.6</v>
      </c>
      <c r="BE48" s="1059">
        <v>23.6</v>
      </c>
      <c r="BF48" s="1059">
        <v>23.6</v>
      </c>
      <c r="BG48" s="1059">
        <v>23.6</v>
      </c>
      <c r="BH48" s="1059">
        <v>23.6</v>
      </c>
      <c r="BI48" s="1059">
        <v>23.6</v>
      </c>
      <c r="BJ48" s="1059">
        <v>23.6</v>
      </c>
      <c r="BK48" s="1059">
        <v>23.6</v>
      </c>
      <c r="BL48" s="1059">
        <v>23.6</v>
      </c>
      <c r="BM48" s="1059">
        <v>23.6</v>
      </c>
      <c r="BN48" s="1059">
        <v>23.6</v>
      </c>
      <c r="BO48" s="1059">
        <v>23.6</v>
      </c>
      <c r="BP48" s="1059">
        <v>23.6</v>
      </c>
      <c r="BQ48" s="1059">
        <v>23.6</v>
      </c>
      <c r="BR48" s="1059">
        <v>23.6</v>
      </c>
      <c r="BS48" s="1059">
        <v>23.6</v>
      </c>
      <c r="BT48" s="1059">
        <v>23.6</v>
      </c>
      <c r="BU48" s="1059">
        <v>23.6</v>
      </c>
      <c r="BV48" s="1061">
        <v>23.6</v>
      </c>
    </row>
    <row r="49" spans="1:104" s="1053" customFormat="1" x14ac:dyDescent="0.25">
      <c r="A49" s="1060" t="s">
        <v>1111</v>
      </c>
      <c r="B49" s="1055"/>
      <c r="C49" s="1056"/>
      <c r="D49" s="1253"/>
      <c r="E49" s="1056"/>
      <c r="F49" s="1055"/>
      <c r="G49" s="1055"/>
      <c r="H49" s="1055"/>
      <c r="I49" s="1055"/>
      <c r="J49" s="1055"/>
      <c r="K49" s="1055"/>
      <c r="L49" s="1055"/>
      <c r="M49" s="1055"/>
      <c r="N49" s="1059">
        <v>25.561684</v>
      </c>
      <c r="O49" s="1059">
        <v>25.303816000000001</v>
      </c>
      <c r="P49" s="1059">
        <v>33.642014000000003</v>
      </c>
      <c r="Q49" s="1059">
        <v>31.120284999999999</v>
      </c>
      <c r="R49" s="1059">
        <v>24.805427999999999</v>
      </c>
      <c r="S49" s="1059">
        <v>24.941547</v>
      </c>
      <c r="T49" s="1059">
        <v>24.510408000000002</v>
      </c>
      <c r="U49" s="1059">
        <v>24.773121</v>
      </c>
      <c r="V49" s="1059">
        <v>25.840997999999999</v>
      </c>
      <c r="W49" s="1059">
        <v>26.808551999999999</v>
      </c>
      <c r="X49" s="1059">
        <v>29.644617</v>
      </c>
      <c r="Y49" s="1059">
        <v>29.383793000000001</v>
      </c>
      <c r="Z49" s="1059">
        <v>28.224442</v>
      </c>
      <c r="AA49" s="1059">
        <v>28.253482999999999</v>
      </c>
      <c r="AB49" s="1059">
        <v>27.145426</v>
      </c>
      <c r="AC49" s="1059">
        <v>27.272445999999999</v>
      </c>
      <c r="AD49" s="1059">
        <v>27.519344</v>
      </c>
      <c r="AE49" s="1059">
        <v>26.363682000000001</v>
      </c>
      <c r="AF49" s="1059">
        <v>26.241467</v>
      </c>
      <c r="AG49" s="1059">
        <v>26.599018000000001</v>
      </c>
      <c r="AH49" s="1059">
        <v>26.941008</v>
      </c>
      <c r="AI49" s="1059">
        <v>27.294556</v>
      </c>
      <c r="AJ49" s="1059">
        <v>27.667862</v>
      </c>
      <c r="AK49" s="1059">
        <v>28.194492</v>
      </c>
      <c r="AL49" s="1059">
        <v>28.632065000000001</v>
      </c>
      <c r="AM49" s="1059">
        <v>29.186733</v>
      </c>
      <c r="AN49" s="1059">
        <v>29.790071000000001</v>
      </c>
      <c r="AO49" s="1059">
        <v>30.397635000000001</v>
      </c>
      <c r="AP49" s="1059">
        <v>30.990224999999999</v>
      </c>
      <c r="AQ49" s="1059">
        <v>31.671036000000001</v>
      </c>
      <c r="AR49" s="1059">
        <v>30.576360999999999</v>
      </c>
      <c r="AS49" s="1055"/>
      <c r="AT49" s="1055"/>
      <c r="AU49" s="1055"/>
      <c r="AV49" s="1055"/>
      <c r="AW49" s="1055"/>
      <c r="AX49" s="1055"/>
      <c r="AY49" s="1055"/>
      <c r="AZ49" s="1055"/>
      <c r="BA49" s="1055"/>
      <c r="BB49" s="1055"/>
      <c r="BC49" s="1055"/>
      <c r="BD49" s="1055"/>
      <c r="BE49" s="1055"/>
      <c r="BF49" s="1055"/>
      <c r="BG49" s="1055"/>
      <c r="BH49" s="1055"/>
      <c r="BI49" s="1055"/>
      <c r="BJ49" s="1055"/>
      <c r="BK49" s="1055"/>
      <c r="BL49" s="1055"/>
      <c r="BM49" s="1055"/>
      <c r="BN49" s="1055"/>
      <c r="BO49" s="1055"/>
      <c r="BP49" s="1055"/>
      <c r="BQ49" s="1055"/>
      <c r="BR49" s="1055"/>
      <c r="BS49" s="1055"/>
      <c r="BT49" s="1055"/>
      <c r="BU49" s="1055"/>
      <c r="BV49" s="1057"/>
    </row>
    <row r="50" spans="1:104" s="1053" customFormat="1" x14ac:dyDescent="0.25">
      <c r="A50" s="1058" t="s">
        <v>1087</v>
      </c>
      <c r="B50" s="1055"/>
      <c r="C50" s="1056"/>
      <c r="D50" s="1253"/>
      <c r="E50" s="1056"/>
      <c r="F50" s="1055"/>
      <c r="G50" s="1055"/>
      <c r="H50" s="1055"/>
      <c r="I50" s="1055"/>
      <c r="J50" s="1055"/>
      <c r="K50" s="1055"/>
      <c r="L50" s="1055"/>
      <c r="M50" s="1055"/>
      <c r="N50" s="1059">
        <v>2.2979889999999998</v>
      </c>
      <c r="O50" s="1059">
        <v>2.38</v>
      </c>
      <c r="P50" s="1059">
        <v>2.4052739999999999</v>
      </c>
      <c r="Q50" s="1059">
        <v>2.3369110000000002</v>
      </c>
      <c r="R50" s="1059">
        <v>2.3950149999999999</v>
      </c>
      <c r="S50" s="1059">
        <v>2.3961070000000002</v>
      </c>
      <c r="T50" s="1059">
        <v>2.4583050000000002</v>
      </c>
      <c r="U50" s="1059">
        <v>2.472283</v>
      </c>
      <c r="V50" s="1059">
        <v>2.4802620000000002</v>
      </c>
      <c r="W50" s="1059">
        <v>2.4838239999999998</v>
      </c>
      <c r="X50" s="1059">
        <v>2.516057</v>
      </c>
      <c r="Y50" s="1059">
        <v>2.5464560000000001</v>
      </c>
      <c r="Z50" s="1059">
        <v>2.591459</v>
      </c>
      <c r="AA50" s="1059">
        <v>2.6280779999999999</v>
      </c>
      <c r="AB50" s="1059">
        <v>2.6593969999999998</v>
      </c>
      <c r="AC50" s="1059">
        <v>2.691643</v>
      </c>
      <c r="AD50" s="1059">
        <v>2.7285810000000001</v>
      </c>
      <c r="AE50" s="1059">
        <v>2.7618779999999998</v>
      </c>
      <c r="AF50" s="1059">
        <v>2.7919909999999999</v>
      </c>
      <c r="AG50" s="1059">
        <v>2.8282630000000002</v>
      </c>
      <c r="AH50" s="1059">
        <v>2.8670900000000001</v>
      </c>
      <c r="AI50" s="1059">
        <v>2.8969999999999998</v>
      </c>
      <c r="AJ50" s="1059">
        <v>2.9238430000000002</v>
      </c>
      <c r="AK50" s="1059">
        <v>2.954224</v>
      </c>
      <c r="AL50" s="1059">
        <v>2.98759</v>
      </c>
      <c r="AM50" s="1059">
        <v>3.030205</v>
      </c>
      <c r="AN50" s="1059">
        <v>3.0670109999999999</v>
      </c>
      <c r="AO50" s="1059">
        <v>3.1012659999999999</v>
      </c>
      <c r="AP50" s="1059">
        <v>3.134995</v>
      </c>
      <c r="AQ50" s="1059">
        <v>3.169994</v>
      </c>
      <c r="AR50" s="1059">
        <v>3.2015440000000002</v>
      </c>
      <c r="AS50" s="1055"/>
      <c r="AT50" s="1055"/>
      <c r="AU50" s="1055"/>
      <c r="AV50" s="1055"/>
      <c r="AW50" s="1055"/>
      <c r="AX50" s="1055"/>
      <c r="AY50" s="1055"/>
      <c r="AZ50" s="1055"/>
      <c r="BA50" s="1055"/>
      <c r="BB50" s="1055"/>
      <c r="BC50" s="1055"/>
      <c r="BD50" s="1055"/>
      <c r="BE50" s="1055"/>
      <c r="BF50" s="1055"/>
      <c r="BG50" s="1055"/>
      <c r="BH50" s="1055"/>
      <c r="BI50" s="1055"/>
      <c r="BJ50" s="1055"/>
      <c r="BK50" s="1055"/>
      <c r="BL50" s="1055"/>
      <c r="BM50" s="1055"/>
      <c r="BN50" s="1055"/>
      <c r="BO50" s="1055"/>
      <c r="BP50" s="1055"/>
      <c r="BQ50" s="1055"/>
      <c r="BR50" s="1055"/>
      <c r="BS50" s="1055"/>
      <c r="BT50" s="1055"/>
      <c r="BU50" s="1055"/>
      <c r="BV50" s="1057"/>
    </row>
    <row r="51" spans="1:104" s="1053" customFormat="1" x14ac:dyDescent="0.25">
      <c r="A51" s="1058" t="s">
        <v>683</v>
      </c>
      <c r="B51" s="1055"/>
      <c r="C51" s="1056"/>
      <c r="D51" s="1253"/>
      <c r="E51" s="1056"/>
      <c r="F51" s="1055"/>
      <c r="G51" s="1055"/>
      <c r="H51" s="1055"/>
      <c r="I51" s="1055"/>
      <c r="J51" s="1055"/>
      <c r="K51" s="1055"/>
      <c r="L51" s="1055"/>
      <c r="M51" s="1055"/>
      <c r="N51" s="1059">
        <v>30.492578999999999</v>
      </c>
      <c r="O51" s="1059">
        <v>29.980651999999999</v>
      </c>
      <c r="P51" s="1059">
        <v>28.463469</v>
      </c>
      <c r="Q51" s="1059">
        <v>27.770492999999998</v>
      </c>
      <c r="R51" s="1059">
        <v>27.844252000000001</v>
      </c>
      <c r="S51" s="1059">
        <v>27.733993999999999</v>
      </c>
      <c r="T51" s="1059">
        <v>28.230274000000001</v>
      </c>
      <c r="U51" s="1059">
        <v>28.517765000000001</v>
      </c>
      <c r="V51" s="1059">
        <v>28.644997</v>
      </c>
      <c r="W51" s="1059">
        <v>28.576813000000001</v>
      </c>
      <c r="X51" s="1059">
        <v>28.566559000000002</v>
      </c>
      <c r="Y51" s="1059">
        <v>28.675744999999999</v>
      </c>
      <c r="Z51" s="1059">
        <v>28.66461</v>
      </c>
      <c r="AA51" s="1059">
        <v>28.628443000000001</v>
      </c>
      <c r="AB51" s="1059">
        <v>28.632759</v>
      </c>
      <c r="AC51" s="1059">
        <v>28.485842000000002</v>
      </c>
      <c r="AD51" s="1059">
        <v>28.378672000000002</v>
      </c>
      <c r="AE51" s="1059">
        <v>28.369689999999999</v>
      </c>
      <c r="AF51" s="1059">
        <v>28.482963999999999</v>
      </c>
      <c r="AG51" s="1059">
        <v>28.577332999999999</v>
      </c>
      <c r="AH51" s="1059">
        <v>28.652301999999999</v>
      </c>
      <c r="AI51" s="1059">
        <v>28.781072999999999</v>
      </c>
      <c r="AJ51" s="1059">
        <v>28.912566999999999</v>
      </c>
      <c r="AK51" s="1059">
        <v>29.081726</v>
      </c>
      <c r="AL51" s="1059">
        <v>29.271111999999999</v>
      </c>
      <c r="AM51" s="1059">
        <v>29.658476</v>
      </c>
      <c r="AN51" s="1059">
        <v>30.101704000000002</v>
      </c>
      <c r="AO51" s="1059">
        <v>30.503069</v>
      </c>
      <c r="AP51" s="1059">
        <v>30.944068999999999</v>
      </c>
      <c r="AQ51" s="1059">
        <v>31.476562000000001</v>
      </c>
      <c r="AR51" s="1059">
        <v>31.747146999999998</v>
      </c>
      <c r="AS51" s="1055"/>
      <c r="AT51" s="1055"/>
      <c r="AU51" s="1055"/>
      <c r="AV51" s="1055"/>
      <c r="AW51" s="1055"/>
      <c r="AX51" s="1055"/>
      <c r="AY51" s="1055"/>
      <c r="AZ51" s="1055"/>
      <c r="BA51" s="1055"/>
      <c r="BB51" s="1055"/>
      <c r="BC51" s="1055"/>
      <c r="BD51" s="1055"/>
      <c r="BE51" s="1055"/>
      <c r="BF51" s="1055"/>
      <c r="BG51" s="1055"/>
      <c r="BH51" s="1055"/>
      <c r="BI51" s="1055"/>
      <c r="BJ51" s="1055"/>
      <c r="BK51" s="1055"/>
      <c r="BL51" s="1055"/>
      <c r="BM51" s="1055"/>
      <c r="BN51" s="1055"/>
      <c r="BO51" s="1055"/>
      <c r="BP51" s="1055"/>
      <c r="BQ51" s="1055"/>
      <c r="BR51" s="1055"/>
      <c r="BS51" s="1055"/>
      <c r="BT51" s="1055"/>
      <c r="BU51" s="1055"/>
      <c r="BV51" s="1057"/>
    </row>
    <row r="52" spans="1:104" s="1053" customFormat="1" x14ac:dyDescent="0.25">
      <c r="A52" s="1058" t="s">
        <v>698</v>
      </c>
      <c r="B52" s="1055"/>
      <c r="C52" s="1056"/>
      <c r="D52" s="1253"/>
      <c r="E52" s="1056"/>
      <c r="F52" s="1055"/>
      <c r="G52" s="1055"/>
      <c r="H52" s="1055"/>
      <c r="I52" s="1055"/>
      <c r="J52" s="1055"/>
      <c r="K52" s="1055"/>
      <c r="L52" s="1055"/>
      <c r="M52" s="1055"/>
      <c r="N52" s="1059">
        <v>20.260442999999999</v>
      </c>
      <c r="O52" s="1059">
        <v>19.975739999999998</v>
      </c>
      <c r="P52" s="1059">
        <v>18.436015999999999</v>
      </c>
      <c r="Q52" s="1059">
        <v>18.142965</v>
      </c>
      <c r="R52" s="1059">
        <v>18.046112000000001</v>
      </c>
      <c r="S52" s="1059">
        <v>17.884491000000001</v>
      </c>
      <c r="T52" s="1059">
        <v>18.368113000000001</v>
      </c>
      <c r="U52" s="1059">
        <v>18.636278000000001</v>
      </c>
      <c r="V52" s="1059">
        <v>18.783104000000002</v>
      </c>
      <c r="W52" s="1059">
        <v>18.727132999999998</v>
      </c>
      <c r="X52" s="1059">
        <v>18.720291</v>
      </c>
      <c r="Y52" s="1059">
        <v>18.854441000000001</v>
      </c>
      <c r="Z52" s="1059">
        <v>18.961594000000002</v>
      </c>
      <c r="AA52" s="1059">
        <v>19.089853000000002</v>
      </c>
      <c r="AB52" s="1059">
        <v>19.158766</v>
      </c>
      <c r="AC52" s="1059">
        <v>19.181961000000001</v>
      </c>
      <c r="AD52" s="1059">
        <v>19.274345</v>
      </c>
      <c r="AE52" s="1059">
        <v>19.362473000000001</v>
      </c>
      <c r="AF52" s="1059">
        <v>19.467001</v>
      </c>
      <c r="AG52" s="1059">
        <v>19.610374</v>
      </c>
      <c r="AH52" s="1059">
        <v>19.726358000000001</v>
      </c>
      <c r="AI52" s="1059">
        <v>19.866886000000001</v>
      </c>
      <c r="AJ52" s="1059">
        <v>20.029399999999999</v>
      </c>
      <c r="AK52" s="1059">
        <v>20.204810999999999</v>
      </c>
      <c r="AL52" s="1059">
        <v>20.42868</v>
      </c>
      <c r="AM52" s="1059">
        <v>20.795019</v>
      </c>
      <c r="AN52" s="1059">
        <v>21.263971000000002</v>
      </c>
      <c r="AO52" s="1059">
        <v>21.670811</v>
      </c>
      <c r="AP52" s="1059">
        <v>22.067454999999999</v>
      </c>
      <c r="AQ52" s="1059">
        <v>22.488647</v>
      </c>
      <c r="AR52" s="1059">
        <v>22.744430999999999</v>
      </c>
      <c r="AS52" s="1055"/>
      <c r="AT52" s="1055"/>
      <c r="AU52" s="1055"/>
      <c r="AV52" s="1055"/>
      <c r="AW52" s="1055"/>
      <c r="AX52" s="1055"/>
      <c r="AY52" s="1055"/>
      <c r="AZ52" s="1055"/>
      <c r="BA52" s="1055"/>
      <c r="BB52" s="1055"/>
      <c r="BC52" s="1055"/>
      <c r="BD52" s="1055"/>
      <c r="BE52" s="1055"/>
      <c r="BF52" s="1055"/>
      <c r="BG52" s="1055"/>
      <c r="BH52" s="1055"/>
      <c r="BI52" s="1055"/>
      <c r="BJ52" s="1055"/>
      <c r="BK52" s="1055"/>
      <c r="BL52" s="1055"/>
      <c r="BM52" s="1055"/>
      <c r="BN52" s="1055"/>
      <c r="BO52" s="1055"/>
      <c r="BP52" s="1055"/>
      <c r="BQ52" s="1055"/>
      <c r="BR52" s="1055"/>
      <c r="BS52" s="1055"/>
      <c r="BT52" s="1055"/>
      <c r="BU52" s="1055"/>
      <c r="BV52" s="1057"/>
    </row>
    <row r="53" spans="1:104" s="1053" customFormat="1" ht="13" thickBot="1" x14ac:dyDescent="0.3">
      <c r="A53" s="1062" t="s">
        <v>684</v>
      </c>
      <c r="B53" s="1063"/>
      <c r="C53" s="1064"/>
      <c r="D53" s="1254"/>
      <c r="E53" s="1064"/>
      <c r="F53" s="1063"/>
      <c r="G53" s="1063"/>
      <c r="H53" s="1063"/>
      <c r="I53" s="1063"/>
      <c r="J53" s="1063"/>
      <c r="K53" s="1063"/>
      <c r="L53" s="1063"/>
      <c r="M53" s="1063"/>
      <c r="N53" s="1065">
        <v>34.522823000000002</v>
      </c>
      <c r="O53" s="1065">
        <v>34.335875999999999</v>
      </c>
      <c r="P53" s="1065">
        <v>33.266716000000002</v>
      </c>
      <c r="Q53" s="1065">
        <v>32.549408</v>
      </c>
      <c r="R53" s="1065">
        <v>33.007488000000002</v>
      </c>
      <c r="S53" s="1065">
        <v>33.062362999999998</v>
      </c>
      <c r="T53" s="1065">
        <v>33.578304000000003</v>
      </c>
      <c r="U53" s="1065">
        <v>33.826259999999998</v>
      </c>
      <c r="V53" s="1065">
        <v>33.834632999999997</v>
      </c>
      <c r="W53" s="1065">
        <v>33.642589999999998</v>
      </c>
      <c r="X53" s="1065">
        <v>33.615443999999997</v>
      </c>
      <c r="Y53" s="1065">
        <v>33.658813000000002</v>
      </c>
      <c r="Z53" s="1065">
        <v>33.691249999999997</v>
      </c>
      <c r="AA53" s="1065">
        <v>33.703487000000003</v>
      </c>
      <c r="AB53" s="1065">
        <v>33.839970000000001</v>
      </c>
      <c r="AC53" s="1065">
        <v>33.959377000000003</v>
      </c>
      <c r="AD53" s="1065">
        <v>34.126075999999998</v>
      </c>
      <c r="AE53" s="1065">
        <v>34.265704999999997</v>
      </c>
      <c r="AF53" s="1065">
        <v>34.413651000000002</v>
      </c>
      <c r="AG53" s="1065">
        <v>34.510967000000001</v>
      </c>
      <c r="AH53" s="1065">
        <v>34.561591999999997</v>
      </c>
      <c r="AI53" s="1065">
        <v>34.686400999999996</v>
      </c>
      <c r="AJ53" s="1065">
        <v>34.807406999999998</v>
      </c>
      <c r="AK53" s="1065">
        <v>34.923721</v>
      </c>
      <c r="AL53" s="1065">
        <v>35.082526999999999</v>
      </c>
      <c r="AM53" s="1065">
        <v>35.421287999999997</v>
      </c>
      <c r="AN53" s="1065">
        <v>35.835976000000002</v>
      </c>
      <c r="AO53" s="1065">
        <v>36.175975999999999</v>
      </c>
      <c r="AP53" s="1065">
        <v>36.502800000000001</v>
      </c>
      <c r="AQ53" s="1065">
        <v>36.906086000000002</v>
      </c>
      <c r="AR53" s="1065">
        <v>37.098595000000003</v>
      </c>
      <c r="AS53" s="1063"/>
      <c r="AT53" s="1063"/>
      <c r="AU53" s="1063"/>
      <c r="AV53" s="1063"/>
      <c r="AW53" s="1063"/>
      <c r="AX53" s="1063"/>
      <c r="AY53" s="1063"/>
      <c r="AZ53" s="1063"/>
      <c r="BA53" s="1063"/>
      <c r="BB53" s="1063"/>
      <c r="BC53" s="1063"/>
      <c r="BD53" s="1063"/>
      <c r="BE53" s="1063"/>
      <c r="BF53" s="1063"/>
      <c r="BG53" s="1063"/>
      <c r="BH53" s="1063"/>
      <c r="BI53" s="1063"/>
      <c r="BJ53" s="1063"/>
      <c r="BK53" s="1063"/>
      <c r="BL53" s="1063"/>
      <c r="BM53" s="1063"/>
      <c r="BN53" s="1063"/>
      <c r="BO53" s="1063"/>
      <c r="BP53" s="1063"/>
      <c r="BQ53" s="1063"/>
      <c r="BR53" s="1063"/>
      <c r="BS53" s="1063"/>
      <c r="BT53" s="1063"/>
      <c r="BU53" s="1063"/>
      <c r="BV53" s="1066"/>
    </row>
    <row r="54" spans="1:104" x14ac:dyDescent="0.25">
      <c r="A54" s="877"/>
      <c r="B54" s="260"/>
      <c r="C54" s="874"/>
      <c r="D54" s="1251"/>
      <c r="E54" s="874"/>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c r="AI54" s="260"/>
      <c r="AJ54" s="260"/>
      <c r="AK54" s="260"/>
      <c r="AL54" s="260"/>
      <c r="AM54" s="260"/>
      <c r="AN54" s="260"/>
      <c r="AO54" s="260"/>
      <c r="AP54" s="260"/>
      <c r="AQ54" s="260"/>
      <c r="AR54" s="260"/>
      <c r="AS54" s="260"/>
      <c r="AT54" s="260"/>
      <c r="AU54" s="260"/>
      <c r="AV54" s="260"/>
      <c r="AW54" s="260"/>
      <c r="AX54" s="260"/>
      <c r="AY54" s="260"/>
      <c r="AZ54" s="260"/>
      <c r="BA54" s="260"/>
      <c r="BB54" s="260"/>
      <c r="BC54" s="260"/>
      <c r="BD54" s="260"/>
      <c r="BE54" s="260"/>
      <c r="BF54" s="260"/>
      <c r="BG54" s="260"/>
      <c r="BH54" s="260"/>
      <c r="BI54" s="260"/>
      <c r="BJ54" s="260"/>
      <c r="BK54" s="260"/>
      <c r="BL54" s="260"/>
      <c r="BM54" s="260"/>
      <c r="BN54" s="260"/>
      <c r="BO54" s="260"/>
      <c r="BP54" s="260"/>
      <c r="BQ54" s="260"/>
      <c r="BR54" s="260"/>
      <c r="BS54" s="260"/>
      <c r="BT54" s="260"/>
      <c r="BU54" s="260"/>
      <c r="BV54" s="876"/>
    </row>
    <row r="55" spans="1:104" ht="13" thickBot="1" x14ac:dyDescent="0.3">
      <c r="A55" s="877"/>
      <c r="B55" s="260"/>
      <c r="C55" s="874"/>
      <c r="D55" s="1251"/>
      <c r="E55" s="881"/>
      <c r="F55" s="88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c r="AI55" s="260"/>
      <c r="AJ55" s="260"/>
      <c r="AK55" s="260"/>
      <c r="AL55" s="260"/>
      <c r="AM55" s="260"/>
      <c r="AN55" s="260"/>
      <c r="AO55" s="260"/>
      <c r="AP55" s="260"/>
      <c r="AQ55" s="260"/>
      <c r="AR55" s="260"/>
      <c r="AS55" s="260"/>
      <c r="AT55" s="260"/>
      <c r="AU55" s="260"/>
      <c r="AV55" s="260"/>
      <c r="AW55" s="260"/>
      <c r="AX55" s="260"/>
      <c r="AY55" s="260"/>
      <c r="AZ55" s="260"/>
      <c r="BA55" s="260"/>
      <c r="BB55" s="260"/>
      <c r="BC55" s="260"/>
      <c r="BD55" s="260"/>
      <c r="BE55" s="260"/>
      <c r="BF55" s="260"/>
      <c r="BG55" s="260"/>
      <c r="BH55" s="260"/>
      <c r="BI55" s="260"/>
      <c r="BJ55" s="260"/>
      <c r="BK55" s="260"/>
      <c r="BL55" s="260"/>
      <c r="BM55" s="260"/>
      <c r="BN55" s="260"/>
      <c r="BO55" s="260"/>
      <c r="BP55" s="260"/>
      <c r="BQ55" s="260"/>
      <c r="BR55" s="260"/>
      <c r="BS55" s="260"/>
      <c r="BT55" s="260"/>
      <c r="BU55" s="260"/>
      <c r="BV55" s="876"/>
    </row>
    <row r="56" spans="1:104" ht="13.5" thickTop="1" x14ac:dyDescent="0.3">
      <c r="A56" s="867" t="s">
        <v>1106</v>
      </c>
      <c r="B56" s="868" t="str">
        <f>"Prices are in $(" &amp; ref_year&amp;")/GJ LHV"</f>
        <v>Prices are in $(2016)/GJ LHV</v>
      </c>
      <c r="C56" s="868"/>
      <c r="D56" s="1255"/>
      <c r="E56" s="868"/>
      <c r="F56" s="869"/>
      <c r="G56" s="869"/>
      <c r="H56" s="869"/>
      <c r="I56" s="869"/>
      <c r="J56" s="869"/>
      <c r="K56" s="869"/>
      <c r="L56" s="869"/>
      <c r="M56" s="869"/>
      <c r="N56" s="869"/>
      <c r="O56" s="869"/>
      <c r="P56" s="869"/>
      <c r="Q56" s="869"/>
      <c r="R56" s="869"/>
      <c r="S56" s="869"/>
      <c r="T56" s="869"/>
      <c r="U56" s="869"/>
      <c r="V56" s="869"/>
      <c r="W56" s="869"/>
      <c r="X56" s="869"/>
      <c r="Y56" s="869"/>
      <c r="Z56" s="869"/>
      <c r="AA56" s="869"/>
      <c r="AB56" s="869"/>
      <c r="AC56" s="869"/>
      <c r="AD56" s="869"/>
      <c r="AE56" s="869"/>
      <c r="AF56" s="869"/>
      <c r="AG56" s="869"/>
      <c r="AH56" s="869"/>
      <c r="AI56" s="869"/>
      <c r="AJ56" s="869"/>
      <c r="AK56" s="869"/>
      <c r="AL56" s="869"/>
      <c r="AM56" s="869"/>
      <c r="AN56" s="869"/>
      <c r="AO56" s="869"/>
      <c r="AP56" s="869"/>
      <c r="AQ56" s="869"/>
      <c r="AR56" s="869"/>
      <c r="AS56" s="882" t="s">
        <v>772</v>
      </c>
      <c r="AT56" s="883"/>
      <c r="AU56" s="883"/>
      <c r="AV56" s="883"/>
      <c r="AW56" s="883"/>
      <c r="AX56" s="883"/>
      <c r="AY56" s="883"/>
      <c r="AZ56" s="883"/>
      <c r="BA56" s="883"/>
      <c r="BB56" s="883"/>
      <c r="BC56" s="883"/>
      <c r="BD56" s="883"/>
      <c r="BE56" s="883"/>
      <c r="BF56" s="883"/>
      <c r="BG56" s="883"/>
      <c r="BH56" s="883"/>
      <c r="BI56" s="883"/>
      <c r="BJ56" s="883"/>
      <c r="BK56" s="883"/>
      <c r="BL56" s="883"/>
      <c r="BM56" s="883"/>
      <c r="BN56" s="883"/>
      <c r="BO56" s="883"/>
      <c r="BP56" s="883"/>
      <c r="BQ56" s="883"/>
      <c r="BR56" s="883"/>
      <c r="BS56" s="883"/>
      <c r="BT56" s="883"/>
      <c r="BU56" s="883"/>
      <c r="BV56" s="884"/>
    </row>
    <row r="57" spans="1:104" ht="39.5" thickBot="1" x14ac:dyDescent="0.35">
      <c r="A57" s="1122" t="s">
        <v>1084</v>
      </c>
      <c r="B57" s="1123" t="s">
        <v>678</v>
      </c>
      <c r="C57" s="1123" t="s">
        <v>679</v>
      </c>
      <c r="D57" s="1256" t="s">
        <v>690</v>
      </c>
      <c r="E57" s="1123" t="s">
        <v>691</v>
      </c>
      <c r="F57" s="1124" t="s">
        <v>680</v>
      </c>
      <c r="G57" s="1124" t="s">
        <v>692</v>
      </c>
      <c r="H57" s="1067">
        <v>2004</v>
      </c>
      <c r="I57" s="1067">
        <v>2005</v>
      </c>
      <c r="J57" s="1067">
        <v>2006</v>
      </c>
      <c r="K57" s="1067">
        <v>2007</v>
      </c>
      <c r="L57" s="1067">
        <v>2008</v>
      </c>
      <c r="M57" s="1067">
        <v>2009</v>
      </c>
      <c r="N57" s="1124">
        <v>2010</v>
      </c>
      <c r="O57" s="1124">
        <v>2011</v>
      </c>
      <c r="P57" s="1124">
        <v>2012</v>
      </c>
      <c r="Q57" s="1124">
        <v>2013</v>
      </c>
      <c r="R57" s="1124">
        <v>2014</v>
      </c>
      <c r="S57" s="1124">
        <v>2015</v>
      </c>
      <c r="T57" s="1124">
        <v>2016</v>
      </c>
      <c r="U57" s="1124">
        <v>2017</v>
      </c>
      <c r="V57" s="1124">
        <v>2018</v>
      </c>
      <c r="W57" s="1124">
        <v>2019</v>
      </c>
      <c r="X57" s="1124">
        <v>2020</v>
      </c>
      <c r="Y57" s="1124">
        <v>2021</v>
      </c>
      <c r="Z57" s="1124">
        <v>2022</v>
      </c>
      <c r="AA57" s="1124">
        <v>2023</v>
      </c>
      <c r="AB57" s="1124">
        <v>2024</v>
      </c>
      <c r="AC57" s="1124">
        <v>2025</v>
      </c>
      <c r="AD57" s="1124">
        <v>2026</v>
      </c>
      <c r="AE57" s="1124">
        <v>2027</v>
      </c>
      <c r="AF57" s="1124">
        <v>2028</v>
      </c>
      <c r="AG57" s="1124">
        <v>2029</v>
      </c>
      <c r="AH57" s="1124">
        <v>2030</v>
      </c>
      <c r="AI57" s="1124">
        <v>2031</v>
      </c>
      <c r="AJ57" s="1124">
        <v>2032</v>
      </c>
      <c r="AK57" s="1124">
        <v>2033</v>
      </c>
      <c r="AL57" s="1124">
        <v>2034</v>
      </c>
      <c r="AM57" s="1124">
        <v>2035</v>
      </c>
      <c r="AN57" s="1124">
        <v>2036</v>
      </c>
      <c r="AO57" s="1124">
        <v>2037</v>
      </c>
      <c r="AP57" s="1124">
        <v>2038</v>
      </c>
      <c r="AQ57" s="1124">
        <v>2039</v>
      </c>
      <c r="AR57" s="1124">
        <v>2040</v>
      </c>
      <c r="AS57" s="1124">
        <v>2041</v>
      </c>
      <c r="AT57" s="1124">
        <v>2042</v>
      </c>
      <c r="AU57" s="1124">
        <v>2043</v>
      </c>
      <c r="AV57" s="1124">
        <v>2044</v>
      </c>
      <c r="AW57" s="1124">
        <v>2045</v>
      </c>
      <c r="AX57" s="1124">
        <v>2046</v>
      </c>
      <c r="AY57" s="1124">
        <v>2047</v>
      </c>
      <c r="AZ57" s="1124">
        <v>2048</v>
      </c>
      <c r="BA57" s="1124">
        <v>2049</v>
      </c>
      <c r="BB57" s="1124">
        <v>2050</v>
      </c>
      <c r="BC57" s="1124">
        <v>2051</v>
      </c>
      <c r="BD57" s="1124">
        <v>2052</v>
      </c>
      <c r="BE57" s="1124">
        <v>2053</v>
      </c>
      <c r="BF57" s="1124">
        <v>2054</v>
      </c>
      <c r="BG57" s="1124">
        <v>2055</v>
      </c>
      <c r="BH57" s="1124">
        <v>2056</v>
      </c>
      <c r="BI57" s="1124">
        <v>2057</v>
      </c>
      <c r="BJ57" s="1124">
        <v>2058</v>
      </c>
      <c r="BK57" s="1124">
        <v>2059</v>
      </c>
      <c r="BL57" s="1124">
        <v>2060</v>
      </c>
      <c r="BM57" s="1124">
        <v>2061</v>
      </c>
      <c r="BN57" s="1124">
        <v>2062</v>
      </c>
      <c r="BO57" s="1124">
        <v>2063</v>
      </c>
      <c r="BP57" s="1124">
        <v>2064</v>
      </c>
      <c r="BQ57" s="1124">
        <v>2065</v>
      </c>
      <c r="BR57" s="1124">
        <v>2066</v>
      </c>
      <c r="BS57" s="1124">
        <v>2067</v>
      </c>
      <c r="BT57" s="1124">
        <v>2068</v>
      </c>
      <c r="BU57" s="1124">
        <v>2069</v>
      </c>
      <c r="BV57" s="1125">
        <v>2070</v>
      </c>
      <c r="BW57" s="1399">
        <f t="shared" ref="BW57" si="130">+BV57+1</f>
        <v>2071</v>
      </c>
      <c r="BX57" s="1399">
        <f t="shared" ref="BX57" si="131">+BW57+1</f>
        <v>2072</v>
      </c>
      <c r="BY57" s="1399">
        <f t="shared" ref="BY57" si="132">+BX57+1</f>
        <v>2073</v>
      </c>
      <c r="BZ57" s="1399">
        <f t="shared" ref="BZ57" si="133">+BY57+1</f>
        <v>2074</v>
      </c>
      <c r="CA57" s="1399">
        <f t="shared" ref="CA57" si="134">+BZ57+1</f>
        <v>2075</v>
      </c>
      <c r="CB57" s="1399">
        <f t="shared" ref="CB57" si="135">+CA57+1</f>
        <v>2076</v>
      </c>
      <c r="CC57" s="1399">
        <f t="shared" ref="CC57" si="136">+CB57+1</f>
        <v>2077</v>
      </c>
      <c r="CD57" s="1399">
        <f t="shared" ref="CD57" si="137">+CC57+1</f>
        <v>2078</v>
      </c>
      <c r="CE57" s="1399">
        <f t="shared" ref="CE57" si="138">+CD57+1</f>
        <v>2079</v>
      </c>
      <c r="CF57" s="1399">
        <f t="shared" ref="CF57" si="139">+CE57+1</f>
        <v>2080</v>
      </c>
      <c r="CG57" s="1399">
        <f t="shared" ref="CG57" si="140">+CF57+1</f>
        <v>2081</v>
      </c>
      <c r="CH57" s="1399">
        <f t="shared" ref="CH57" si="141">+CG57+1</f>
        <v>2082</v>
      </c>
      <c r="CI57" s="1399">
        <f t="shared" ref="CI57" si="142">+CH57+1</f>
        <v>2083</v>
      </c>
      <c r="CJ57" s="1399">
        <f t="shared" ref="CJ57" si="143">+CI57+1</f>
        <v>2084</v>
      </c>
      <c r="CK57" s="1399">
        <f t="shared" ref="CK57" si="144">+CJ57+1</f>
        <v>2085</v>
      </c>
      <c r="CL57" s="1399">
        <f t="shared" ref="CL57" si="145">+CK57+1</f>
        <v>2086</v>
      </c>
      <c r="CM57" s="1399">
        <f t="shared" ref="CM57" si="146">+CL57+1</f>
        <v>2087</v>
      </c>
      <c r="CN57" s="1399">
        <f t="shared" ref="CN57" si="147">+CM57+1</f>
        <v>2088</v>
      </c>
      <c r="CO57" s="1399">
        <f t="shared" ref="CO57" si="148">+CN57+1</f>
        <v>2089</v>
      </c>
      <c r="CP57" s="1399">
        <f t="shared" ref="CP57" si="149">+CO57+1</f>
        <v>2090</v>
      </c>
      <c r="CQ57" s="1399">
        <f t="shared" ref="CQ57" si="150">+CP57+1</f>
        <v>2091</v>
      </c>
      <c r="CR57" s="1399">
        <f t="shared" ref="CR57" si="151">+CQ57+1</f>
        <v>2092</v>
      </c>
      <c r="CS57" s="1399">
        <f t="shared" ref="CS57" si="152">+CR57+1</f>
        <v>2093</v>
      </c>
      <c r="CT57" s="1399">
        <f t="shared" ref="CT57" si="153">+CS57+1</f>
        <v>2094</v>
      </c>
      <c r="CU57" s="1399">
        <f t="shared" ref="CU57" si="154">+CT57+1</f>
        <v>2095</v>
      </c>
      <c r="CV57" s="1399">
        <f t="shared" ref="CV57" si="155">+CU57+1</f>
        <v>2096</v>
      </c>
      <c r="CW57" s="1399">
        <f t="shared" ref="CW57" si="156">+CV57+1</f>
        <v>2097</v>
      </c>
      <c r="CX57" s="1399">
        <f t="shared" ref="CX57" si="157">+CW57+1</f>
        <v>2098</v>
      </c>
      <c r="CY57" s="1399">
        <f t="shared" ref="CY57" si="158">+CX57+1</f>
        <v>2099</v>
      </c>
      <c r="CZ57" s="1399">
        <f t="shared" ref="CZ57" si="159">+CY57+1</f>
        <v>2100</v>
      </c>
    </row>
    <row r="58" spans="1:104" ht="13" thickBot="1" x14ac:dyDescent="0.3">
      <c r="A58" s="870" t="s">
        <v>1090</v>
      </c>
      <c r="B58" s="871"/>
      <c r="C58" s="871"/>
      <c r="D58" s="1257"/>
      <c r="E58" s="871"/>
      <c r="F58" s="871"/>
      <c r="G58" s="871"/>
      <c r="H58" s="871"/>
      <c r="I58" s="871"/>
      <c r="J58" s="871"/>
      <c r="K58" s="871"/>
      <c r="L58" s="871"/>
      <c r="M58" s="871"/>
      <c r="N58" s="871"/>
      <c r="O58" s="871"/>
      <c r="P58" s="871"/>
      <c r="Q58" s="871"/>
      <c r="R58" s="871"/>
      <c r="S58" s="871"/>
      <c r="T58" s="871"/>
      <c r="U58" s="871"/>
      <c r="V58" s="871"/>
      <c r="W58" s="871"/>
      <c r="X58" s="871"/>
      <c r="Y58" s="871"/>
      <c r="Z58" s="871"/>
      <c r="AA58" s="871"/>
      <c r="AB58" s="871"/>
      <c r="AC58" s="871"/>
      <c r="AD58" s="871"/>
      <c r="AE58" s="871"/>
      <c r="AF58" s="871"/>
      <c r="AG58" s="871"/>
      <c r="AH58" s="871"/>
      <c r="AI58" s="871"/>
      <c r="AJ58" s="871"/>
      <c r="AK58" s="871"/>
      <c r="AL58" s="871"/>
      <c r="AM58" s="871"/>
      <c r="AN58" s="871"/>
      <c r="AO58" s="871"/>
      <c r="AP58" s="871"/>
      <c r="AQ58" s="871"/>
      <c r="AR58" s="871"/>
      <c r="AS58" s="871"/>
      <c r="AT58" s="871"/>
      <c r="AU58" s="871"/>
      <c r="AV58" s="871"/>
      <c r="AW58" s="871"/>
      <c r="AX58" s="871"/>
      <c r="AY58" s="871"/>
      <c r="AZ58" s="871"/>
      <c r="BA58" s="871"/>
      <c r="BB58" s="871"/>
      <c r="BC58" s="871"/>
      <c r="BD58" s="871"/>
      <c r="BE58" s="871"/>
      <c r="BF58" s="871"/>
      <c r="BG58" s="871"/>
      <c r="BH58" s="871"/>
      <c r="BI58" s="871"/>
      <c r="BJ58" s="871"/>
      <c r="BK58" s="871"/>
      <c r="BL58" s="871"/>
      <c r="BM58" s="871"/>
      <c r="BN58" s="871"/>
      <c r="BO58" s="871"/>
      <c r="BP58" s="871"/>
      <c r="BQ58" s="871"/>
      <c r="BR58" s="871"/>
      <c r="BS58" s="871"/>
      <c r="BT58" s="871"/>
      <c r="BU58" s="871"/>
      <c r="BV58" s="872"/>
    </row>
    <row r="59" spans="1:104" ht="13" x14ac:dyDescent="0.3">
      <c r="A59" s="873" t="str">
        <f>'HyARC Physical Property Data'!A73</f>
        <v>Residential Natural Gas</v>
      </c>
      <c r="B59" s="260">
        <v>2011</v>
      </c>
      <c r="C59" s="874">
        <f>VLOOKUP(ref_year,DeflatorTable,2,FALSE)/VLOOKUP(B59,DeflatorTable,2,FALSE)</f>
        <v>1.0784554773635862</v>
      </c>
      <c r="D59" s="1258" t="str">
        <f>'HyARC Physical Property Data'!H73</f>
        <v>mmBtu</v>
      </c>
      <c r="E59" s="874" t="s">
        <v>1058</v>
      </c>
      <c r="F59" s="260">
        <f>'HyARC Physical Property Data'!$E$6</f>
        <v>47.141269049911173</v>
      </c>
      <c r="G59" s="260">
        <f>'HyARC Physical Property Data'!$I$6</f>
        <v>52.224661236371581</v>
      </c>
      <c r="H59" s="1069">
        <v>13.568796522291001</v>
      </c>
      <c r="I59" s="1069">
        <v>13.568796522291001</v>
      </c>
      <c r="J59" s="1069">
        <v>13.568796522291001</v>
      </c>
      <c r="K59" s="1069">
        <v>12.569562315288914</v>
      </c>
      <c r="L59" s="1069">
        <v>12.891154499364562</v>
      </c>
      <c r="M59" s="1069">
        <v>11.574514296329017</v>
      </c>
      <c r="N59" s="260">
        <f t="shared" ref="N59:AR59" si="160">N74*(1/mmBTU_to_GJ*$C59*$G59/$F59)</f>
        <v>12.864072624231566</v>
      </c>
      <c r="O59" s="260">
        <f t="shared" si="160"/>
        <v>12.233256612302414</v>
      </c>
      <c r="P59" s="260">
        <f t="shared" si="160"/>
        <v>11.861152965490446</v>
      </c>
      <c r="Q59" s="260">
        <f t="shared" si="160"/>
        <v>11.893055588099742</v>
      </c>
      <c r="R59" s="260">
        <f t="shared" si="160"/>
        <v>11.702900284056764</v>
      </c>
      <c r="S59" s="260">
        <f t="shared" si="160"/>
        <v>11.584863638053182</v>
      </c>
      <c r="T59" s="260">
        <f t="shared" si="160"/>
        <v>12.172704934041207</v>
      </c>
      <c r="U59" s="260">
        <f t="shared" si="160"/>
        <v>12.561660766684307</v>
      </c>
      <c r="V59" s="260">
        <f t="shared" si="160"/>
        <v>13.040849007274005</v>
      </c>
      <c r="W59" s="260">
        <f t="shared" si="160"/>
        <v>13.334636024602869</v>
      </c>
      <c r="X59" s="260">
        <f t="shared" si="160"/>
        <v>13.585497021910953</v>
      </c>
      <c r="Y59" s="260">
        <f t="shared" si="160"/>
        <v>13.826832870705786</v>
      </c>
      <c r="Z59" s="260">
        <f t="shared" si="160"/>
        <v>14.133121150005612</v>
      </c>
      <c r="AA59" s="260">
        <f t="shared" si="160"/>
        <v>14.415523514141789</v>
      </c>
      <c r="AB59" s="260">
        <f t="shared" si="160"/>
        <v>14.555819858061962</v>
      </c>
      <c r="AC59" s="260">
        <f t="shared" si="160"/>
        <v>14.74260268650484</v>
      </c>
      <c r="AD59" s="260">
        <f t="shared" si="160"/>
        <v>14.962909824951016</v>
      </c>
      <c r="AE59" s="260">
        <f t="shared" si="160"/>
        <v>15.13708380741285</v>
      </c>
      <c r="AF59" s="260">
        <f t="shared" si="160"/>
        <v>15.40515937879654</v>
      </c>
      <c r="AG59" s="260">
        <f t="shared" si="160"/>
        <v>15.610444392046157</v>
      </c>
      <c r="AH59" s="260">
        <f t="shared" si="160"/>
        <v>15.844346751976293</v>
      </c>
      <c r="AI59" s="959">
        <f t="shared" si="160"/>
        <v>16.116906877885302</v>
      </c>
      <c r="AJ59" s="959">
        <f t="shared" si="160"/>
        <v>16.508795790382088</v>
      </c>
      <c r="AK59" s="959">
        <f t="shared" si="160"/>
        <v>16.937809113598334</v>
      </c>
      <c r="AL59" s="959">
        <f t="shared" si="160"/>
        <v>17.381004274269273</v>
      </c>
      <c r="AM59" s="959">
        <f t="shared" si="160"/>
        <v>17.788911879634913</v>
      </c>
      <c r="AN59" s="959">
        <f t="shared" si="160"/>
        <v>18.311687498791546</v>
      </c>
      <c r="AO59" s="959">
        <f t="shared" si="160"/>
        <v>18.65334373828842</v>
      </c>
      <c r="AP59" s="959">
        <f t="shared" si="160"/>
        <v>19.195162859691969</v>
      </c>
      <c r="AQ59" s="959">
        <f t="shared" si="160"/>
        <v>19.682735858288098</v>
      </c>
      <c r="AR59" s="959">
        <f t="shared" si="160"/>
        <v>20.015032288908259</v>
      </c>
      <c r="AS59" s="959">
        <f>($BB59-$AR59)/10+AR59</f>
        <v>20.01518684253227</v>
      </c>
      <c r="AT59" s="959">
        <f t="shared" ref="AT59:BA59" si="161">($BB59-$AR59)/10+AS59</f>
        <v>20.01534139615628</v>
      </c>
      <c r="AU59" s="959">
        <f t="shared" si="161"/>
        <v>20.015495949780291</v>
      </c>
      <c r="AV59" s="959">
        <f t="shared" si="161"/>
        <v>20.015650503404302</v>
      </c>
      <c r="AW59" s="959">
        <f t="shared" si="161"/>
        <v>20.015805057028313</v>
      </c>
      <c r="AX59" s="959">
        <f t="shared" si="161"/>
        <v>20.015959610652324</v>
      </c>
      <c r="AY59" s="959">
        <f t="shared" si="161"/>
        <v>20.016114164276335</v>
      </c>
      <c r="AZ59" s="959">
        <f t="shared" si="161"/>
        <v>20.016268717900346</v>
      </c>
      <c r="BA59" s="959">
        <f t="shared" si="161"/>
        <v>20.016423271524356</v>
      </c>
      <c r="BB59" s="961">
        <f>'AEO Data'!$B$30*AM59</f>
        <v>20.01657782514836</v>
      </c>
      <c r="BC59" s="959">
        <f>($BQ59-$BB59)/15+BB59</f>
        <v>20.179679524085394</v>
      </c>
      <c r="BD59" s="959">
        <f t="shared" ref="BD59:BP62" si="162">($BQ59-$BB59)/15+BC59</f>
        <v>20.342781223022428</v>
      </c>
      <c r="BE59" s="959">
        <f t="shared" si="162"/>
        <v>20.505882921959461</v>
      </c>
      <c r="BF59" s="959">
        <f t="shared" si="162"/>
        <v>20.668984620896495</v>
      </c>
      <c r="BG59" s="959">
        <f t="shared" si="162"/>
        <v>20.832086319833529</v>
      </c>
      <c r="BH59" s="959">
        <f t="shared" si="162"/>
        <v>20.995188018770563</v>
      </c>
      <c r="BI59" s="959">
        <f t="shared" si="162"/>
        <v>21.158289717707596</v>
      </c>
      <c r="BJ59" s="959">
        <f t="shared" si="162"/>
        <v>21.32139141664463</v>
      </c>
      <c r="BK59" s="959">
        <f t="shared" si="162"/>
        <v>21.484493115581664</v>
      </c>
      <c r="BL59" s="959">
        <f t="shared" si="162"/>
        <v>21.647594814518698</v>
      </c>
      <c r="BM59" s="959">
        <f t="shared" si="162"/>
        <v>21.810696513455731</v>
      </c>
      <c r="BN59" s="959">
        <f t="shared" si="162"/>
        <v>21.973798212392765</v>
      </c>
      <c r="BO59" s="959">
        <f t="shared" si="162"/>
        <v>22.136899911329799</v>
      </c>
      <c r="BP59" s="959">
        <f t="shared" si="162"/>
        <v>22.300001610266833</v>
      </c>
      <c r="BQ59" s="961">
        <f>'AEO Data'!$C$30*BB59</f>
        <v>22.463103309203859</v>
      </c>
      <c r="BR59" s="958">
        <f>($BV59-$BQ59)/5+BQ59</f>
        <v>22.591499473992489</v>
      </c>
      <c r="BS59" s="959">
        <f t="shared" ref="BS59:BU62" si="163">($BV59-$BQ59)/5+BR59</f>
        <v>22.719895638781118</v>
      </c>
      <c r="BT59" s="959">
        <f t="shared" si="163"/>
        <v>22.848291803569747</v>
      </c>
      <c r="BU59" s="959">
        <f t="shared" si="163"/>
        <v>22.976687968358377</v>
      </c>
      <c r="BV59" s="962">
        <f>'AEO Data'!$D$30*BQ59</f>
        <v>23.105084133146999</v>
      </c>
      <c r="BW59" s="1398">
        <f>+BV59*BW$133/BV$133</f>
        <v>23.181799806296944</v>
      </c>
      <c r="BX59" s="1398">
        <f t="shared" ref="BX59:CZ59" si="164">+BW59*BX$133/BW$133</f>
        <v>23.258770198039247</v>
      </c>
      <c r="BY59" s="1398">
        <f t="shared" si="164"/>
        <v>23.335996154114543</v>
      </c>
      <c r="BZ59" s="1398">
        <f t="shared" si="164"/>
        <v>23.413478523071561</v>
      </c>
      <c r="CA59" s="1398">
        <f t="shared" si="164"/>
        <v>23.491218156276457</v>
      </c>
      <c r="CB59" s="1398">
        <f t="shared" si="164"/>
        <v>23.541346730111329</v>
      </c>
      <c r="CC59" s="1398">
        <f t="shared" si="164"/>
        <v>23.591582274725578</v>
      </c>
      <c r="CD59" s="1398">
        <f t="shared" si="164"/>
        <v>23.641925018387173</v>
      </c>
      <c r="CE59" s="1398">
        <f t="shared" si="164"/>
        <v>23.692375189851191</v>
      </c>
      <c r="CF59" s="1398">
        <f t="shared" si="164"/>
        <v>23.742933018360848</v>
      </c>
      <c r="CG59" s="1398">
        <f t="shared" si="164"/>
        <v>23.759348824569351</v>
      </c>
      <c r="CH59" s="1398">
        <f t="shared" si="164"/>
        <v>23.775775980626385</v>
      </c>
      <c r="CI59" s="1398">
        <f t="shared" si="164"/>
        <v>23.792214494379209</v>
      </c>
      <c r="CJ59" s="1398">
        <f t="shared" si="164"/>
        <v>23.808664373680507</v>
      </c>
      <c r="CK59" s="1398">
        <f t="shared" si="164"/>
        <v>23.825125626388392</v>
      </c>
      <c r="CL59" s="1398">
        <f t="shared" si="164"/>
        <v>23.830705260336195</v>
      </c>
      <c r="CM59" s="1398">
        <f t="shared" si="164"/>
        <v>23.836286200984979</v>
      </c>
      <c r="CN59" s="1398">
        <f t="shared" si="164"/>
        <v>23.841868448640763</v>
      </c>
      <c r="CO59" s="1398">
        <f t="shared" si="164"/>
        <v>23.847452003609632</v>
      </c>
      <c r="CP59" s="1398">
        <f t="shared" si="164"/>
        <v>23.853036866197748</v>
      </c>
      <c r="CQ59" s="1398">
        <f t="shared" si="164"/>
        <v>23.861501261663879</v>
      </c>
      <c r="CR59" s="1398">
        <f t="shared" si="164"/>
        <v>23.869968660772315</v>
      </c>
      <c r="CS59" s="1398">
        <f t="shared" si="164"/>
        <v>23.878439064588914</v>
      </c>
      <c r="CT59" s="1398">
        <f t="shared" si="164"/>
        <v>23.886912474179919</v>
      </c>
      <c r="CU59" s="1398">
        <f t="shared" si="164"/>
        <v>23.89538889061194</v>
      </c>
      <c r="CV59" s="1398">
        <f t="shared" si="164"/>
        <v>23.908434131387597</v>
      </c>
      <c r="CW59" s="1398">
        <f t="shared" si="164"/>
        <v>23.921486493968537</v>
      </c>
      <c r="CX59" s="1398">
        <f t="shared" si="164"/>
        <v>23.934545982242778</v>
      </c>
      <c r="CY59" s="1398">
        <f t="shared" si="164"/>
        <v>23.947612600100459</v>
      </c>
      <c r="CZ59" s="1398">
        <f t="shared" si="164"/>
        <v>23.960686351433843</v>
      </c>
    </row>
    <row r="60" spans="1:104" ht="13" x14ac:dyDescent="0.3">
      <c r="A60" s="873" t="str">
        <f>'HyARC Physical Property Data'!A71</f>
        <v>Commercial Natural Gas</v>
      </c>
      <c r="B60" s="260">
        <v>2011</v>
      </c>
      <c r="C60" s="874">
        <f t="shared" ref="C60:C68" si="165">VLOOKUP(ref_year,DeflatorTable,2,FALSE)/VLOOKUP(B60,DeflatorTable,2,FALSE)</f>
        <v>1.0784554773635862</v>
      </c>
      <c r="D60" s="1258" t="str">
        <f>'HyARC Physical Property Data'!H71</f>
        <v>mmBtu</v>
      </c>
      <c r="E60" s="874" t="s">
        <v>1058</v>
      </c>
      <c r="F60" s="260">
        <f>'HyARC Physical Property Data'!$E$6</f>
        <v>47.141269049911173</v>
      </c>
      <c r="G60" s="260">
        <f>'HyARC Physical Property Data'!$I$6</f>
        <v>52.224661236371581</v>
      </c>
      <c r="H60" s="1069">
        <v>11.78211597551449</v>
      </c>
      <c r="I60" s="1069">
        <v>11.78211597551449</v>
      </c>
      <c r="J60" s="1069">
        <v>11.78211597551449</v>
      </c>
      <c r="K60" s="1069">
        <v>10.884547954455588</v>
      </c>
      <c r="L60" s="1069">
        <v>11.412186165255939</v>
      </c>
      <c r="M60" s="1069">
        <v>10.075756967258858</v>
      </c>
      <c r="N60" s="260">
        <f t="shared" ref="N60:AR60" si="166">N75*(1/mmBTU_to_GJ*$C60*$G60/$F60)</f>
        <v>10.64172897994356</v>
      </c>
      <c r="O60" s="260">
        <f t="shared" si="166"/>
        <v>10.007414788992003</v>
      </c>
      <c r="P60" s="260">
        <f t="shared" si="166"/>
        <v>9.1519429796830281</v>
      </c>
      <c r="Q60" s="260">
        <f t="shared" si="166"/>
        <v>9.6083607814240821</v>
      </c>
      <c r="R60" s="260">
        <f t="shared" si="166"/>
        <v>9.4170571596314385</v>
      </c>
      <c r="S60" s="260">
        <f t="shared" si="166"/>
        <v>9.2604963783141265</v>
      </c>
      <c r="T60" s="260">
        <f t="shared" si="166"/>
        <v>9.7880272107161694</v>
      </c>
      <c r="U60" s="260">
        <f t="shared" si="166"/>
        <v>10.102152135802671</v>
      </c>
      <c r="V60" s="260">
        <f t="shared" si="166"/>
        <v>10.510533110812647</v>
      </c>
      <c r="W60" s="260">
        <f t="shared" si="166"/>
        <v>10.749394527375706</v>
      </c>
      <c r="X60" s="260">
        <f t="shared" si="166"/>
        <v>10.957396319995588</v>
      </c>
      <c r="Y60" s="260">
        <f t="shared" si="166"/>
        <v>11.154595545540458</v>
      </c>
      <c r="Z60" s="260">
        <f t="shared" si="166"/>
        <v>11.419131036760978</v>
      </c>
      <c r="AA60" s="260">
        <f t="shared" si="166"/>
        <v>11.655986860883548</v>
      </c>
      <c r="AB60" s="260">
        <f t="shared" si="166"/>
        <v>11.761963905589115</v>
      </c>
      <c r="AC60" s="260">
        <f t="shared" si="166"/>
        <v>11.916887145026724</v>
      </c>
      <c r="AD60" s="260">
        <f t="shared" si="166"/>
        <v>12.10487944423552</v>
      </c>
      <c r="AE60" s="260">
        <f t="shared" si="166"/>
        <v>12.234521573768266</v>
      </c>
      <c r="AF60" s="260">
        <f t="shared" si="166"/>
        <v>12.450381528976834</v>
      </c>
      <c r="AG60" s="260">
        <f t="shared" si="166"/>
        <v>12.607433799350707</v>
      </c>
      <c r="AH60" s="260">
        <f t="shared" si="166"/>
        <v>12.785898685119724</v>
      </c>
      <c r="AI60" s="260">
        <f t="shared" si="166"/>
        <v>13.004609050363703</v>
      </c>
      <c r="AJ60" s="260">
        <f t="shared" si="166"/>
        <v>13.334459360333689</v>
      </c>
      <c r="AK60" s="260">
        <f t="shared" si="166"/>
        <v>13.708042004168398</v>
      </c>
      <c r="AL60" s="260">
        <f t="shared" si="166"/>
        <v>14.091726220317723</v>
      </c>
      <c r="AM60" s="260">
        <f t="shared" si="166"/>
        <v>14.43493053709644</v>
      </c>
      <c r="AN60" s="260">
        <f t="shared" si="166"/>
        <v>14.903089717958334</v>
      </c>
      <c r="AO60" s="260">
        <f t="shared" si="166"/>
        <v>15.194282261949443</v>
      </c>
      <c r="AP60" s="260">
        <f t="shared" si="166"/>
        <v>15.688899182047464</v>
      </c>
      <c r="AQ60" s="260">
        <f t="shared" si="166"/>
        <v>16.126102479588738</v>
      </c>
      <c r="AR60" s="260">
        <f t="shared" si="166"/>
        <v>16.399079351978891</v>
      </c>
      <c r="AS60" s="260">
        <f t="shared" ref="AS60:BA60" si="167">($BB60-$AR60)/10+AR60</f>
        <v>16.383429901231551</v>
      </c>
      <c r="AT60" s="260">
        <f t="shared" si="167"/>
        <v>16.367780450484211</v>
      </c>
      <c r="AU60" s="260">
        <f t="shared" si="167"/>
        <v>16.352130999736872</v>
      </c>
      <c r="AV60" s="260">
        <f t="shared" si="167"/>
        <v>16.336481548989532</v>
      </c>
      <c r="AW60" s="260">
        <f t="shared" si="167"/>
        <v>16.320832098242192</v>
      </c>
      <c r="AX60" s="260">
        <f t="shared" si="167"/>
        <v>16.305182647494853</v>
      </c>
      <c r="AY60" s="260">
        <f t="shared" si="167"/>
        <v>16.289533196747513</v>
      </c>
      <c r="AZ60" s="260">
        <f t="shared" si="167"/>
        <v>16.273883746000173</v>
      </c>
      <c r="BA60" s="260">
        <f t="shared" si="167"/>
        <v>16.258234295252834</v>
      </c>
      <c r="BB60" s="939">
        <f>'AEO Data'!$B$30*AM60</f>
        <v>16.242584844505476</v>
      </c>
      <c r="BC60" s="260">
        <f>($BQ60-$BB60)/15+BB60</f>
        <v>16.374934799947876</v>
      </c>
      <c r="BD60" s="260">
        <f t="shared" si="162"/>
        <v>16.507284755390277</v>
      </c>
      <c r="BE60" s="260">
        <f t="shared" si="162"/>
        <v>16.639634710832677</v>
      </c>
      <c r="BF60" s="260">
        <f t="shared" si="162"/>
        <v>16.771984666275078</v>
      </c>
      <c r="BG60" s="260">
        <f t="shared" si="162"/>
        <v>16.904334621717478</v>
      </c>
      <c r="BH60" s="260">
        <f t="shared" si="162"/>
        <v>17.036684577159878</v>
      </c>
      <c r="BI60" s="260">
        <f t="shared" si="162"/>
        <v>17.169034532602279</v>
      </c>
      <c r="BJ60" s="260">
        <f t="shared" si="162"/>
        <v>17.301384488044679</v>
      </c>
      <c r="BK60" s="260">
        <f t="shared" si="162"/>
        <v>17.433734443487079</v>
      </c>
      <c r="BL60" s="260">
        <f t="shared" si="162"/>
        <v>17.56608439892948</v>
      </c>
      <c r="BM60" s="260">
        <f t="shared" si="162"/>
        <v>17.69843435437188</v>
      </c>
      <c r="BN60" s="260">
        <f t="shared" si="162"/>
        <v>17.83078430981428</v>
      </c>
      <c r="BO60" s="260">
        <f t="shared" si="162"/>
        <v>17.963134265256681</v>
      </c>
      <c r="BP60" s="260">
        <f t="shared" si="162"/>
        <v>18.095484220699081</v>
      </c>
      <c r="BQ60" s="939">
        <f>'AEO Data'!$C$30*BB60</f>
        <v>18.227834176141503</v>
      </c>
      <c r="BR60" s="873">
        <f>($BV60-$BQ60)/5+BQ60</f>
        <v>18.332022095700271</v>
      </c>
      <c r="BS60" s="260">
        <f t="shared" si="163"/>
        <v>18.436210015259039</v>
      </c>
      <c r="BT60" s="260">
        <f t="shared" si="163"/>
        <v>18.540397934817808</v>
      </c>
      <c r="BU60" s="260">
        <f t="shared" si="163"/>
        <v>18.644585854376576</v>
      </c>
      <c r="BV60" s="963">
        <f>'AEO Data'!$D$30*BQ60</f>
        <v>18.748773773935348</v>
      </c>
      <c r="BW60" s="1398">
        <f>+BV60*BW$134/BV$134</f>
        <v>18.811025215761521</v>
      </c>
      <c r="BX60" s="1398">
        <f t="shared" ref="BX60:CZ60" si="168">+BW60*BX$134/BW$134</f>
        <v>18.873483350678995</v>
      </c>
      <c r="BY60" s="1398">
        <f t="shared" si="168"/>
        <v>18.93614886496961</v>
      </c>
      <c r="BZ60" s="1398">
        <f t="shared" si="168"/>
        <v>18.999022447193862</v>
      </c>
      <c r="CA60" s="1398">
        <f t="shared" si="168"/>
        <v>19.062104788198472</v>
      </c>
      <c r="CB60" s="1398">
        <f t="shared" si="168"/>
        <v>19.102781951935423</v>
      </c>
      <c r="CC60" s="1398">
        <f t="shared" si="168"/>
        <v>19.143545917820827</v>
      </c>
      <c r="CD60" s="1398">
        <f t="shared" si="168"/>
        <v>19.184396871084243</v>
      </c>
      <c r="CE60" s="1398">
        <f t="shared" si="168"/>
        <v>19.22533499735049</v>
      </c>
      <c r="CF60" s="1398">
        <f t="shared" si="168"/>
        <v>19.266360482640504</v>
      </c>
      <c r="CG60" s="1398">
        <f t="shared" si="168"/>
        <v>19.279681197473067</v>
      </c>
      <c r="CH60" s="1398">
        <f t="shared" si="168"/>
        <v>19.293011122215507</v>
      </c>
      <c r="CI60" s="1398">
        <f t="shared" si="168"/>
        <v>19.306350263235526</v>
      </c>
      <c r="CJ60" s="1398">
        <f t="shared" si="168"/>
        <v>19.319698626905243</v>
      </c>
      <c r="CK60" s="1398">
        <f t="shared" si="168"/>
        <v>19.333056219601172</v>
      </c>
      <c r="CL60" s="1398">
        <f t="shared" si="168"/>
        <v>19.337583850577364</v>
      </c>
      <c r="CM60" s="1398">
        <f t="shared" si="168"/>
        <v>19.342112541884731</v>
      </c>
      <c r="CN60" s="1398">
        <f t="shared" si="168"/>
        <v>19.346642293771598</v>
      </c>
      <c r="CO60" s="1398">
        <f t="shared" si="168"/>
        <v>19.351173106486343</v>
      </c>
      <c r="CP60" s="1398">
        <f t="shared" si="168"/>
        <v>19.355704980277398</v>
      </c>
      <c r="CQ60" s="1398">
        <f t="shared" si="168"/>
        <v>19.362573470122019</v>
      </c>
      <c r="CR60" s="1398">
        <f t="shared" si="168"/>
        <v>19.369444397292106</v>
      </c>
      <c r="CS60" s="1398">
        <f t="shared" si="168"/>
        <v>19.376317762652565</v>
      </c>
      <c r="CT60" s="1398">
        <f t="shared" si="168"/>
        <v>19.383193567068602</v>
      </c>
      <c r="CU60" s="1398">
        <f t="shared" si="168"/>
        <v>19.390071811405733</v>
      </c>
      <c r="CV60" s="1398">
        <f t="shared" si="168"/>
        <v>19.400657458561128</v>
      </c>
      <c r="CW60" s="1398">
        <f t="shared" si="168"/>
        <v>19.411248884752663</v>
      </c>
      <c r="CX60" s="1398">
        <f t="shared" si="168"/>
        <v>19.42184609313529</v>
      </c>
      <c r="CY60" s="1398">
        <f t="shared" si="168"/>
        <v>19.432449086865692</v>
      </c>
      <c r="CZ60" s="1398">
        <f t="shared" si="168"/>
        <v>19.443057869102269</v>
      </c>
    </row>
    <row r="61" spans="1:104" ht="13" x14ac:dyDescent="0.3">
      <c r="A61" s="873" t="str">
        <f>'HyARC Physical Property Data'!A72</f>
        <v>Industrial Natural Gas</v>
      </c>
      <c r="B61" s="260">
        <v>2011</v>
      </c>
      <c r="C61" s="874">
        <f t="shared" si="165"/>
        <v>1.0784554773635862</v>
      </c>
      <c r="D61" s="1258" t="str">
        <f>'HyARC Physical Property Data'!H72</f>
        <v>mmBtu</v>
      </c>
      <c r="E61" s="874" t="s">
        <v>1058</v>
      </c>
      <c r="F61" s="260">
        <f>'HyARC Physical Property Data'!$E$6</f>
        <v>47.141269049911173</v>
      </c>
      <c r="G61" s="260">
        <f>'HyARC Physical Property Data'!$I$6</f>
        <v>52.224661236371581</v>
      </c>
      <c r="H61" s="1069">
        <v>7.8800725307970341</v>
      </c>
      <c r="I61" s="1069">
        <v>7.8800725307970341</v>
      </c>
      <c r="J61" s="1069">
        <v>7.8800725307970341</v>
      </c>
      <c r="K61" s="1069">
        <v>7.4431315976064605</v>
      </c>
      <c r="L61" s="1069">
        <v>8.8750360136942668</v>
      </c>
      <c r="M61" s="1069">
        <v>6.5580125743803235</v>
      </c>
      <c r="N61" s="260">
        <f t="shared" ref="N61:AR61" si="169">N76*(1/mmBTU_to_GJ*$C61*$G61/$F61)</f>
        <v>6.2103798436905873</v>
      </c>
      <c r="O61" s="260">
        <f t="shared" si="169"/>
        <v>5.5365993079896789</v>
      </c>
      <c r="P61" s="260">
        <f t="shared" si="169"/>
        <v>4.2658486899298849</v>
      </c>
      <c r="Q61" s="260">
        <f t="shared" si="169"/>
        <v>4.9262435098506687</v>
      </c>
      <c r="R61" s="260">
        <f t="shared" si="169"/>
        <v>5.0011287756439424</v>
      </c>
      <c r="S61" s="260">
        <f t="shared" si="169"/>
        <v>5.043267733696263</v>
      </c>
      <c r="T61" s="260">
        <f t="shared" si="169"/>
        <v>5.5677692268671866</v>
      </c>
      <c r="U61" s="260">
        <f t="shared" si="169"/>
        <v>5.811978134962712</v>
      </c>
      <c r="V61" s="260">
        <f t="shared" si="169"/>
        <v>6.1008547915790015</v>
      </c>
      <c r="W61" s="260">
        <f t="shared" si="169"/>
        <v>6.2889829863794731</v>
      </c>
      <c r="X61" s="260">
        <f t="shared" si="169"/>
        <v>6.4543826434720692</v>
      </c>
      <c r="Y61" s="260">
        <f t="shared" si="169"/>
        <v>6.6186022738436092</v>
      </c>
      <c r="Z61" s="260">
        <f t="shared" si="169"/>
        <v>6.8574772799658357</v>
      </c>
      <c r="AA61" s="260">
        <f t="shared" si="169"/>
        <v>7.0784899430254651</v>
      </c>
      <c r="AB61" s="260">
        <f t="shared" si="169"/>
        <v>7.1627859785423293</v>
      </c>
      <c r="AC61" s="260">
        <f t="shared" si="169"/>
        <v>7.2980043571868638</v>
      </c>
      <c r="AD61" s="260">
        <f t="shared" si="169"/>
        <v>7.4390911604652894</v>
      </c>
      <c r="AE61" s="260">
        <f t="shared" si="169"/>
        <v>7.5449878002791149</v>
      </c>
      <c r="AF61" s="260">
        <f t="shared" si="169"/>
        <v>7.7612180709749996</v>
      </c>
      <c r="AG61" s="260">
        <f t="shared" si="169"/>
        <v>7.9069717553642462</v>
      </c>
      <c r="AH61" s="260">
        <f t="shared" si="169"/>
        <v>8.0635665105794754</v>
      </c>
      <c r="AI61" s="260">
        <f t="shared" si="169"/>
        <v>8.2711923253957185</v>
      </c>
      <c r="AJ61" s="260">
        <f t="shared" si="169"/>
        <v>8.5949477180790161</v>
      </c>
      <c r="AK61" s="260">
        <f t="shared" si="169"/>
        <v>8.9590199354229085</v>
      </c>
      <c r="AL61" s="260">
        <f t="shared" si="169"/>
        <v>9.332634288229011</v>
      </c>
      <c r="AM61" s="260">
        <f t="shared" si="169"/>
        <v>9.6599444830979113</v>
      </c>
      <c r="AN61" s="260">
        <f t="shared" si="169"/>
        <v>10.080315979146802</v>
      </c>
      <c r="AO61" s="260">
        <f t="shared" si="169"/>
        <v>10.318380141572026</v>
      </c>
      <c r="AP61" s="260">
        <f t="shared" si="169"/>
        <v>10.748724109123437</v>
      </c>
      <c r="AQ61" s="260">
        <f t="shared" si="169"/>
        <v>11.112492826312584</v>
      </c>
      <c r="AR61" s="260">
        <f t="shared" si="169"/>
        <v>11.338483797880626</v>
      </c>
      <c r="AS61" s="260">
        <f t="shared" ref="AS61:BA61" si="170">($BB61-$AR61)/10+AR61</f>
        <v>11.291599206776587</v>
      </c>
      <c r="AT61" s="260">
        <f t="shared" si="170"/>
        <v>11.244714615672548</v>
      </c>
      <c r="AU61" s="260">
        <f t="shared" si="170"/>
        <v>11.197830024568509</v>
      </c>
      <c r="AV61" s="260">
        <f t="shared" si="170"/>
        <v>11.15094543346447</v>
      </c>
      <c r="AW61" s="260">
        <f t="shared" si="170"/>
        <v>11.104060842360431</v>
      </c>
      <c r="AX61" s="260">
        <f t="shared" si="170"/>
        <v>11.057176251256392</v>
      </c>
      <c r="AY61" s="260">
        <f t="shared" si="170"/>
        <v>11.010291660152353</v>
      </c>
      <c r="AZ61" s="260">
        <f t="shared" si="170"/>
        <v>10.963407069048314</v>
      </c>
      <c r="BA61" s="260">
        <f t="shared" si="170"/>
        <v>10.916522477944275</v>
      </c>
      <c r="BB61" s="939">
        <f>'AEO Data'!$B$30*AM61</f>
        <v>10.869637886840229</v>
      </c>
      <c r="BC61" s="260">
        <f>($BQ61-$BB61)/15+BB61</f>
        <v>10.958207292742701</v>
      </c>
      <c r="BD61" s="260">
        <f t="shared" si="162"/>
        <v>11.046776698645173</v>
      </c>
      <c r="BE61" s="260">
        <f t="shared" si="162"/>
        <v>11.135346104547645</v>
      </c>
      <c r="BF61" s="260">
        <f t="shared" si="162"/>
        <v>11.223915510450118</v>
      </c>
      <c r="BG61" s="260">
        <f t="shared" si="162"/>
        <v>11.31248491635259</v>
      </c>
      <c r="BH61" s="260">
        <f t="shared" si="162"/>
        <v>11.401054322255062</v>
      </c>
      <c r="BI61" s="260">
        <f t="shared" si="162"/>
        <v>11.489623728157534</v>
      </c>
      <c r="BJ61" s="260">
        <f t="shared" si="162"/>
        <v>11.578193134060006</v>
      </c>
      <c r="BK61" s="260">
        <f t="shared" si="162"/>
        <v>11.666762539962479</v>
      </c>
      <c r="BL61" s="260">
        <f t="shared" si="162"/>
        <v>11.755331945864951</v>
      </c>
      <c r="BM61" s="260">
        <f t="shared" si="162"/>
        <v>11.843901351767423</v>
      </c>
      <c r="BN61" s="260">
        <f t="shared" si="162"/>
        <v>11.932470757669895</v>
      </c>
      <c r="BO61" s="260">
        <f t="shared" si="162"/>
        <v>12.021040163572367</v>
      </c>
      <c r="BP61" s="260">
        <f t="shared" si="162"/>
        <v>12.10960956947484</v>
      </c>
      <c r="BQ61" s="939">
        <f>'AEO Data'!$C$30*BB61</f>
        <v>12.19817897537731</v>
      </c>
      <c r="BR61" s="873">
        <f>($BV61-$BQ61)/5+BQ61</f>
        <v>12.26790217329369</v>
      </c>
      <c r="BS61" s="260">
        <f t="shared" si="163"/>
        <v>12.33762537121007</v>
      </c>
      <c r="BT61" s="260">
        <f t="shared" si="163"/>
        <v>12.40734856912645</v>
      </c>
      <c r="BU61" s="260">
        <f t="shared" si="163"/>
        <v>12.47707176704283</v>
      </c>
      <c r="BV61" s="963">
        <f>'AEO Data'!$D$30*BQ61</f>
        <v>12.546794964959213</v>
      </c>
      <c r="BW61" s="1398">
        <f>+BV61*BW$135/BV$135</f>
        <v>12.588454013507333</v>
      </c>
      <c r="BX61" s="1398">
        <f t="shared" ref="BX61:CZ61" si="171">+BW61*BX$135/BW$135</f>
        <v>12.630251382346072</v>
      </c>
      <c r="BY61" s="1398">
        <f t="shared" si="171"/>
        <v>12.672187530739475</v>
      </c>
      <c r="BZ61" s="1398">
        <f t="shared" si="171"/>
        <v>12.714262919476461</v>
      </c>
      <c r="CA61" s="1398">
        <f t="shared" si="171"/>
        <v>12.75647801087592</v>
      </c>
      <c r="CB61" s="1398">
        <f t="shared" si="171"/>
        <v>12.78369941955669</v>
      </c>
      <c r="CC61" s="1398">
        <f t="shared" si="171"/>
        <v>12.810978916770198</v>
      </c>
      <c r="CD61" s="1398">
        <f t="shared" si="171"/>
        <v>12.838316626473205</v>
      </c>
      <c r="CE61" s="1398">
        <f t="shared" si="171"/>
        <v>12.865712672886987</v>
      </c>
      <c r="CF61" s="1398">
        <f t="shared" si="171"/>
        <v>12.893167180497899</v>
      </c>
      <c r="CG61" s="1398">
        <f t="shared" si="171"/>
        <v>12.90208148496421</v>
      </c>
      <c r="CH61" s="1398">
        <f t="shared" si="171"/>
        <v>12.911001952758973</v>
      </c>
      <c r="CI61" s="1398">
        <f t="shared" si="171"/>
        <v>12.919928588143499</v>
      </c>
      <c r="CJ61" s="1398">
        <f t="shared" si="171"/>
        <v>12.928861395382043</v>
      </c>
      <c r="CK61" s="1398">
        <f t="shared" si="171"/>
        <v>12.937800378741811</v>
      </c>
      <c r="CL61" s="1398">
        <f t="shared" si="171"/>
        <v>12.940830297296499</v>
      </c>
      <c r="CM61" s="1398">
        <f t="shared" si="171"/>
        <v>12.943860925431345</v>
      </c>
      <c r="CN61" s="1398">
        <f t="shared" si="171"/>
        <v>12.946892263312527</v>
      </c>
      <c r="CO61" s="1398">
        <f t="shared" si="171"/>
        <v>12.949924311106264</v>
      </c>
      <c r="CP61" s="1398">
        <f t="shared" si="171"/>
        <v>12.952957068978808</v>
      </c>
      <c r="CQ61" s="1398">
        <f t="shared" si="171"/>
        <v>12.957553504715802</v>
      </c>
      <c r="CR61" s="1398">
        <f t="shared" si="171"/>
        <v>12.962151571526023</v>
      </c>
      <c r="CS61" s="1398">
        <f t="shared" si="171"/>
        <v>12.966751269988269</v>
      </c>
      <c r="CT61" s="1398">
        <f t="shared" si="171"/>
        <v>12.971352600681538</v>
      </c>
      <c r="CU61" s="1398">
        <f t="shared" si="171"/>
        <v>12.975955564185037</v>
      </c>
      <c r="CV61" s="1398">
        <f t="shared" si="171"/>
        <v>12.983039544504583</v>
      </c>
      <c r="CW61" s="1398">
        <f t="shared" si="171"/>
        <v>12.990127392190731</v>
      </c>
      <c r="CX61" s="1398">
        <f t="shared" si="171"/>
        <v>12.997219109354795</v>
      </c>
      <c r="CY61" s="1398">
        <f t="shared" si="171"/>
        <v>13.004314698109246</v>
      </c>
      <c r="CZ61" s="1398">
        <f t="shared" si="171"/>
        <v>13.011414160567707</v>
      </c>
    </row>
    <row r="62" spans="1:104" ht="13" x14ac:dyDescent="0.3">
      <c r="A62" s="873" t="str">
        <f>'HyARC Physical Property Data'!A74</f>
        <v>Electric Utility Natural Gas</v>
      </c>
      <c r="B62" s="260">
        <v>2011</v>
      </c>
      <c r="C62" s="874">
        <f t="shared" si="165"/>
        <v>1.0784554773635862</v>
      </c>
      <c r="D62" s="1258" t="str">
        <f>'HyARC Physical Property Data'!H74</f>
        <v>mmBtu</v>
      </c>
      <c r="E62" s="874" t="s">
        <v>1058</v>
      </c>
      <c r="F62" s="260">
        <f>'HyARC Physical Property Data'!$E$6</f>
        <v>47.141269049911173</v>
      </c>
      <c r="G62" s="260">
        <f>'HyARC Physical Property Data'!$I$6</f>
        <v>52.224661236371581</v>
      </c>
      <c r="H62" s="1069">
        <v>6.9870463159656619</v>
      </c>
      <c r="I62" s="1069">
        <v>6.9870463159656619</v>
      </c>
      <c r="J62" s="1069">
        <v>6.9870463159656619</v>
      </c>
      <c r="K62" s="1069">
        <v>6.9519071777354364</v>
      </c>
      <c r="L62" s="1069">
        <v>9.0904707383294223</v>
      </c>
      <c r="M62" s="1069">
        <v>6.2626950486669273</v>
      </c>
      <c r="N62" s="260">
        <f t="shared" ref="N62:AR62" si="172">N77*(1/mmBTU_to_GJ*$C62*$G62/$F62)</f>
        <v>5.9546798308555591</v>
      </c>
      <c r="O62" s="260">
        <f t="shared" si="172"/>
        <v>5.4071882009627821</v>
      </c>
      <c r="P62" s="260">
        <f t="shared" si="172"/>
        <v>3.768852464514262</v>
      </c>
      <c r="Q62" s="260">
        <f t="shared" si="172"/>
        <v>4.2197914089842286</v>
      </c>
      <c r="R62" s="260">
        <f t="shared" si="172"/>
        <v>4.3421608594357606</v>
      </c>
      <c r="S62" s="260">
        <f t="shared" si="172"/>
        <v>4.4350092575221245</v>
      </c>
      <c r="T62" s="260">
        <f t="shared" si="172"/>
        <v>4.9227430659017379</v>
      </c>
      <c r="U62" s="260">
        <f t="shared" si="172"/>
        <v>5.1227134290535421</v>
      </c>
      <c r="V62" s="260">
        <f t="shared" si="172"/>
        <v>5.404199630409166</v>
      </c>
      <c r="W62" s="260">
        <f t="shared" si="172"/>
        <v>5.5835002740669921</v>
      </c>
      <c r="X62" s="260">
        <f t="shared" si="172"/>
        <v>5.7378889908440085</v>
      </c>
      <c r="Y62" s="260">
        <f t="shared" si="172"/>
        <v>5.8922335415537308</v>
      </c>
      <c r="Z62" s="260">
        <f t="shared" si="172"/>
        <v>6.1313078612104164</v>
      </c>
      <c r="AA62" s="260">
        <f t="shared" si="172"/>
        <v>6.355420076223532</v>
      </c>
      <c r="AB62" s="260">
        <f t="shared" si="172"/>
        <v>6.4754872288594125</v>
      </c>
      <c r="AC62" s="260">
        <f t="shared" si="172"/>
        <v>6.6246700120119595</v>
      </c>
      <c r="AD62" s="260">
        <f t="shared" si="172"/>
        <v>6.7907434847466179</v>
      </c>
      <c r="AE62" s="260">
        <f t="shared" si="172"/>
        <v>6.9234738416002104</v>
      </c>
      <c r="AF62" s="260">
        <f t="shared" si="172"/>
        <v>7.1128771900359125</v>
      </c>
      <c r="AG62" s="260">
        <f t="shared" si="172"/>
        <v>7.2589977925226847</v>
      </c>
      <c r="AH62" s="260">
        <f t="shared" si="172"/>
        <v>7.4163003372778959</v>
      </c>
      <c r="AI62" s="260">
        <f t="shared" si="172"/>
        <v>7.6223407035245794</v>
      </c>
      <c r="AJ62" s="260">
        <f t="shared" si="172"/>
        <v>7.9461017585241978</v>
      </c>
      <c r="AK62" s="260">
        <f t="shared" si="172"/>
        <v>8.2927532934784409</v>
      </c>
      <c r="AL62" s="260">
        <f t="shared" si="172"/>
        <v>8.6454827587704095</v>
      </c>
      <c r="AM62" s="260">
        <f t="shared" si="172"/>
        <v>8.9495797216544553</v>
      </c>
      <c r="AN62" s="260">
        <f t="shared" si="172"/>
        <v>9.3600297070477065</v>
      </c>
      <c r="AO62" s="260">
        <f t="shared" si="172"/>
        <v>9.6003452064417036</v>
      </c>
      <c r="AP62" s="260">
        <f t="shared" si="172"/>
        <v>10.02812074731043</v>
      </c>
      <c r="AQ62" s="260">
        <f t="shared" si="172"/>
        <v>10.386438918810089</v>
      </c>
      <c r="AR62" s="260">
        <f t="shared" si="172"/>
        <v>10.572567183486392</v>
      </c>
      <c r="AS62" s="260">
        <f t="shared" ref="AS62:BA62" si="173">($BB62-$AR62)/10+AR62</f>
        <v>10.522342037462021</v>
      </c>
      <c r="AT62" s="260">
        <f t="shared" si="173"/>
        <v>10.472116891437651</v>
      </c>
      <c r="AU62" s="260">
        <f t="shared" si="173"/>
        <v>10.42189174541328</v>
      </c>
      <c r="AV62" s="260">
        <f t="shared" si="173"/>
        <v>10.371666599388909</v>
      </c>
      <c r="AW62" s="260">
        <f t="shared" si="173"/>
        <v>10.321441453364539</v>
      </c>
      <c r="AX62" s="260">
        <f t="shared" si="173"/>
        <v>10.271216307340168</v>
      </c>
      <c r="AY62" s="260">
        <f t="shared" si="173"/>
        <v>10.220991161315798</v>
      </c>
      <c r="AZ62" s="260">
        <f t="shared" si="173"/>
        <v>10.170766015291427</v>
      </c>
      <c r="BA62" s="260">
        <f t="shared" si="173"/>
        <v>10.120540869267057</v>
      </c>
      <c r="BB62" s="939">
        <f>'AEO Data'!$B$30*AM62</f>
        <v>10.070315723242683</v>
      </c>
      <c r="BC62" s="260">
        <f>($BQ62-$BB62)/15+BB62</f>
        <v>10.152371987687129</v>
      </c>
      <c r="BD62" s="260">
        <f t="shared" si="162"/>
        <v>10.234428252131575</v>
      </c>
      <c r="BE62" s="260">
        <f t="shared" si="162"/>
        <v>10.316484516576022</v>
      </c>
      <c r="BF62" s="260">
        <f t="shared" si="162"/>
        <v>10.398540781020468</v>
      </c>
      <c r="BG62" s="260">
        <f t="shared" si="162"/>
        <v>10.480597045464915</v>
      </c>
      <c r="BH62" s="260">
        <f t="shared" si="162"/>
        <v>10.562653309909361</v>
      </c>
      <c r="BI62" s="260">
        <f t="shared" si="162"/>
        <v>10.644709574353808</v>
      </c>
      <c r="BJ62" s="260">
        <f t="shared" si="162"/>
        <v>10.726765838798254</v>
      </c>
      <c r="BK62" s="260">
        <f t="shared" si="162"/>
        <v>10.808822103242701</v>
      </c>
      <c r="BL62" s="260">
        <f t="shared" si="162"/>
        <v>10.890878367687147</v>
      </c>
      <c r="BM62" s="260">
        <f t="shared" si="162"/>
        <v>10.972934632131594</v>
      </c>
      <c r="BN62" s="260">
        <f t="shared" si="162"/>
        <v>11.05499089657604</v>
      </c>
      <c r="BO62" s="260">
        <f t="shared" si="162"/>
        <v>11.137047161020487</v>
      </c>
      <c r="BP62" s="260">
        <f t="shared" si="162"/>
        <v>11.219103425464933</v>
      </c>
      <c r="BQ62" s="939">
        <f>'AEO Data'!$C$30*BB62</f>
        <v>11.301159689909367</v>
      </c>
      <c r="BR62" s="873">
        <f>($BV62-$BQ62)/5+BQ62</f>
        <v>11.365755642742549</v>
      </c>
      <c r="BS62" s="260">
        <f t="shared" si="163"/>
        <v>11.430351595575731</v>
      </c>
      <c r="BT62" s="260">
        <f t="shared" si="163"/>
        <v>11.494947548408913</v>
      </c>
      <c r="BU62" s="260">
        <f t="shared" si="163"/>
        <v>11.559543501242095</v>
      </c>
      <c r="BV62" s="963">
        <f>'AEO Data'!$D$30*BQ62</f>
        <v>11.624139454075273</v>
      </c>
      <c r="BW62" s="1398">
        <f>+BV62*BW$136/BV$136</f>
        <v>11.662735015029273</v>
      </c>
      <c r="BX62" s="1398">
        <f t="shared" ref="BX62:CZ63" si="174">+BW62*BX$136/BW$136</f>
        <v>11.701458724594294</v>
      </c>
      <c r="BY62" s="1398">
        <f t="shared" si="174"/>
        <v>11.740311008261404</v>
      </c>
      <c r="BZ62" s="1398">
        <f t="shared" si="174"/>
        <v>11.779292292934432</v>
      </c>
      <c r="CA62" s="1398">
        <f t="shared" si="174"/>
        <v>11.818403006934647</v>
      </c>
      <c r="CB62" s="1398">
        <f t="shared" si="174"/>
        <v>11.843622630872503</v>
      </c>
      <c r="CC62" s="1398">
        <f t="shared" si="174"/>
        <v>11.868896071678103</v>
      </c>
      <c r="CD62" s="1398">
        <f t="shared" si="174"/>
        <v>11.894223444192779</v>
      </c>
      <c r="CE62" s="1398">
        <f t="shared" si="174"/>
        <v>11.919604863502929</v>
      </c>
      <c r="CF62" s="1398">
        <f t="shared" si="174"/>
        <v>11.94504044494054</v>
      </c>
      <c r="CG62" s="1398">
        <f t="shared" si="174"/>
        <v>11.95329921688524</v>
      </c>
      <c r="CH62" s="1398">
        <f t="shared" si="174"/>
        <v>11.961563698924795</v>
      </c>
      <c r="CI62" s="1398">
        <f t="shared" si="174"/>
        <v>11.969833895007156</v>
      </c>
      <c r="CJ62" s="1398">
        <f t="shared" si="174"/>
        <v>11.978109809082998</v>
      </c>
      <c r="CK62" s="1398">
        <f t="shared" si="174"/>
        <v>11.986391445105726</v>
      </c>
      <c r="CL62" s="1398">
        <f t="shared" si="174"/>
        <v>11.98919855209301</v>
      </c>
      <c r="CM62" s="1398">
        <f t="shared" si="174"/>
        <v>11.992006316479953</v>
      </c>
      <c r="CN62" s="1398">
        <f t="shared" si="174"/>
        <v>11.994814738420512</v>
      </c>
      <c r="CO62" s="1398">
        <f t="shared" si="174"/>
        <v>11.99762381806868</v>
      </c>
      <c r="CP62" s="1398">
        <f t="shared" si="174"/>
        <v>12.000433555578486</v>
      </c>
      <c r="CQ62" s="1398">
        <f t="shared" si="174"/>
        <v>12.00469198254312</v>
      </c>
      <c r="CR62" s="1398">
        <f t="shared" si="174"/>
        <v>12.008951920636509</v>
      </c>
      <c r="CS62" s="1398">
        <f t="shared" si="174"/>
        <v>12.013213370394887</v>
      </c>
      <c r="CT62" s="1398">
        <f t="shared" si="174"/>
        <v>12.017476332354676</v>
      </c>
      <c r="CU62" s="1398">
        <f t="shared" si="174"/>
        <v>12.021740807052488</v>
      </c>
      <c r="CV62" s="1398">
        <f t="shared" si="174"/>
        <v>12.028303851667012</v>
      </c>
      <c r="CW62" s="1398">
        <f t="shared" si="174"/>
        <v>12.034870479253032</v>
      </c>
      <c r="CX62" s="1398">
        <f t="shared" si="174"/>
        <v>12.041440691766601</v>
      </c>
      <c r="CY62" s="1398">
        <f t="shared" si="174"/>
        <v>12.048014491164842</v>
      </c>
      <c r="CZ62" s="1398">
        <f t="shared" si="174"/>
        <v>12.054591879405951</v>
      </c>
    </row>
    <row r="63" spans="1:104" ht="13" x14ac:dyDescent="0.3">
      <c r="A63" s="873" t="str">
        <f>'HyARC Physical Property Data'!A75</f>
        <v>Bio Methane</v>
      </c>
      <c r="B63" s="260">
        <v>2007</v>
      </c>
      <c r="C63" s="874">
        <f t="shared" si="165"/>
        <v>1.1446359956438654</v>
      </c>
      <c r="D63" s="1261" t="str">
        <f>'HyARC Physical Property Data'!H75</f>
        <v>mmBtu</v>
      </c>
      <c r="E63" s="874" t="s">
        <v>1058</v>
      </c>
      <c r="F63" s="260">
        <f>'HyARC Physical Property Data'!$E$6</f>
        <v>47.141269049911173</v>
      </c>
      <c r="G63" s="260">
        <f>'HyARC Physical Property Data'!$I$6</f>
        <v>52.224661236371581</v>
      </c>
      <c r="H63" s="1069">
        <v>12.42654028436019</v>
      </c>
      <c r="I63" s="1069">
        <v>12.42654028436019</v>
      </c>
      <c r="J63" s="1069">
        <v>12.42654028436019</v>
      </c>
      <c r="K63" s="1069">
        <v>12.42654028436019</v>
      </c>
      <c r="L63" s="1069">
        <v>12.42654028436019</v>
      </c>
      <c r="M63" s="1069">
        <v>12.42654028436019</v>
      </c>
      <c r="N63" s="260">
        <f t="shared" ref="N63:AM63" si="175">13.11*($C$63/mmBTU_to_GJ)</f>
        <v>14.223865310797228</v>
      </c>
      <c r="O63" s="260">
        <f t="shared" si="175"/>
        <v>14.223865310797228</v>
      </c>
      <c r="P63" s="260">
        <f t="shared" si="175"/>
        <v>14.223865310797228</v>
      </c>
      <c r="Q63" s="260">
        <f t="shared" si="175"/>
        <v>14.223865310797228</v>
      </c>
      <c r="R63" s="260">
        <f t="shared" si="175"/>
        <v>14.223865310797228</v>
      </c>
      <c r="S63" s="260">
        <f t="shared" si="175"/>
        <v>14.223865310797228</v>
      </c>
      <c r="T63" s="260">
        <f t="shared" si="175"/>
        <v>14.223865310797228</v>
      </c>
      <c r="U63" s="260">
        <f t="shared" si="175"/>
        <v>14.223865310797228</v>
      </c>
      <c r="V63" s="260">
        <f t="shared" si="175"/>
        <v>14.223865310797228</v>
      </c>
      <c r="W63" s="260">
        <f t="shared" si="175"/>
        <v>14.223865310797228</v>
      </c>
      <c r="X63" s="260">
        <f t="shared" si="175"/>
        <v>14.223865310797228</v>
      </c>
      <c r="Y63" s="260">
        <f t="shared" si="175"/>
        <v>14.223865310797228</v>
      </c>
      <c r="Z63" s="260">
        <f t="shared" si="175"/>
        <v>14.223865310797228</v>
      </c>
      <c r="AA63" s="260">
        <f t="shared" si="175"/>
        <v>14.223865310797228</v>
      </c>
      <c r="AB63" s="260">
        <f t="shared" si="175"/>
        <v>14.223865310797228</v>
      </c>
      <c r="AC63" s="260">
        <f t="shared" si="175"/>
        <v>14.223865310797228</v>
      </c>
      <c r="AD63" s="260">
        <f t="shared" si="175"/>
        <v>14.223865310797228</v>
      </c>
      <c r="AE63" s="260">
        <f t="shared" si="175"/>
        <v>14.223865310797228</v>
      </c>
      <c r="AF63" s="260">
        <f t="shared" si="175"/>
        <v>14.223865310797228</v>
      </c>
      <c r="AG63" s="260">
        <f t="shared" si="175"/>
        <v>14.223865310797228</v>
      </c>
      <c r="AH63" s="260">
        <f t="shared" si="175"/>
        <v>14.223865310797228</v>
      </c>
      <c r="AI63" s="260">
        <f t="shared" si="175"/>
        <v>14.223865310797228</v>
      </c>
      <c r="AJ63" s="260">
        <f t="shared" si="175"/>
        <v>14.223865310797228</v>
      </c>
      <c r="AK63" s="260">
        <f t="shared" si="175"/>
        <v>14.223865310797228</v>
      </c>
      <c r="AL63" s="260">
        <f t="shared" si="175"/>
        <v>14.223865310797228</v>
      </c>
      <c r="AM63" s="260">
        <f t="shared" si="175"/>
        <v>14.223865310797228</v>
      </c>
      <c r="AN63" s="260">
        <f t="shared" ref="AN63:BV63" si="176">13.11*($C$63/mmBTU_to_GJ)</f>
        <v>14.223865310797228</v>
      </c>
      <c r="AO63" s="260">
        <f t="shared" si="176"/>
        <v>14.223865310797228</v>
      </c>
      <c r="AP63" s="260">
        <f t="shared" si="176"/>
        <v>14.223865310797228</v>
      </c>
      <c r="AQ63" s="260">
        <f t="shared" si="176"/>
        <v>14.223865310797228</v>
      </c>
      <c r="AR63" s="260">
        <f t="shared" si="176"/>
        <v>14.223865310797228</v>
      </c>
      <c r="AS63" s="260">
        <f t="shared" si="176"/>
        <v>14.223865310797228</v>
      </c>
      <c r="AT63" s="260">
        <f t="shared" si="176"/>
        <v>14.223865310797228</v>
      </c>
      <c r="AU63" s="260">
        <f t="shared" si="176"/>
        <v>14.223865310797228</v>
      </c>
      <c r="AV63" s="260">
        <f t="shared" si="176"/>
        <v>14.223865310797228</v>
      </c>
      <c r="AW63" s="260">
        <f t="shared" si="176"/>
        <v>14.223865310797228</v>
      </c>
      <c r="AX63" s="260">
        <f t="shared" si="176"/>
        <v>14.223865310797228</v>
      </c>
      <c r="AY63" s="260">
        <f t="shared" si="176"/>
        <v>14.223865310797228</v>
      </c>
      <c r="AZ63" s="260">
        <f t="shared" si="176"/>
        <v>14.223865310797228</v>
      </c>
      <c r="BA63" s="260">
        <f t="shared" si="176"/>
        <v>14.223865310797228</v>
      </c>
      <c r="BB63" s="260">
        <f t="shared" si="176"/>
        <v>14.223865310797228</v>
      </c>
      <c r="BC63" s="260">
        <f t="shared" si="176"/>
        <v>14.223865310797228</v>
      </c>
      <c r="BD63" s="260">
        <f t="shared" si="176"/>
        <v>14.223865310797228</v>
      </c>
      <c r="BE63" s="260">
        <f t="shared" si="176"/>
        <v>14.223865310797228</v>
      </c>
      <c r="BF63" s="260">
        <f t="shared" si="176"/>
        <v>14.223865310797228</v>
      </c>
      <c r="BG63" s="260">
        <f t="shared" si="176"/>
        <v>14.223865310797228</v>
      </c>
      <c r="BH63" s="260">
        <f t="shared" si="176"/>
        <v>14.223865310797228</v>
      </c>
      <c r="BI63" s="260">
        <f t="shared" si="176"/>
        <v>14.223865310797228</v>
      </c>
      <c r="BJ63" s="260">
        <f t="shared" si="176"/>
        <v>14.223865310797228</v>
      </c>
      <c r="BK63" s="260">
        <f t="shared" si="176"/>
        <v>14.223865310797228</v>
      </c>
      <c r="BL63" s="260">
        <f t="shared" si="176"/>
        <v>14.223865310797228</v>
      </c>
      <c r="BM63" s="260">
        <f t="shared" si="176"/>
        <v>14.223865310797228</v>
      </c>
      <c r="BN63" s="260">
        <f t="shared" si="176"/>
        <v>14.223865310797228</v>
      </c>
      <c r="BO63" s="260">
        <f t="shared" si="176"/>
        <v>14.223865310797228</v>
      </c>
      <c r="BP63" s="260">
        <f t="shared" si="176"/>
        <v>14.223865310797228</v>
      </c>
      <c r="BQ63" s="260">
        <f t="shared" si="176"/>
        <v>14.223865310797228</v>
      </c>
      <c r="BR63" s="873">
        <f t="shared" si="176"/>
        <v>14.223865310797228</v>
      </c>
      <c r="BS63" s="260">
        <f t="shared" si="176"/>
        <v>14.223865310797228</v>
      </c>
      <c r="BT63" s="260">
        <f t="shared" si="176"/>
        <v>14.223865310797228</v>
      </c>
      <c r="BU63" s="260">
        <f t="shared" si="176"/>
        <v>14.223865310797228</v>
      </c>
      <c r="BV63" s="876">
        <f t="shared" si="176"/>
        <v>14.223865310797228</v>
      </c>
      <c r="BW63" s="1398">
        <f>+BV63*BW$136/BV$136</f>
        <v>14.271092726019944</v>
      </c>
      <c r="BX63" s="1398">
        <f t="shared" si="174"/>
        <v>14.318476950147966</v>
      </c>
      <c r="BY63" s="1398">
        <f t="shared" si="174"/>
        <v>14.366018503832969</v>
      </c>
      <c r="BZ63" s="1398">
        <f t="shared" si="174"/>
        <v>14.413717909455341</v>
      </c>
      <c r="CA63" s="1398">
        <f t="shared" si="174"/>
        <v>14.461575691129934</v>
      </c>
      <c r="CB63" s="1398">
        <f t="shared" si="174"/>
        <v>14.49243565590395</v>
      </c>
      <c r="CC63" s="1398">
        <f t="shared" si="174"/>
        <v>14.523361473628309</v>
      </c>
      <c r="CD63" s="1398">
        <f t="shared" si="174"/>
        <v>14.554353284828478</v>
      </c>
      <c r="CE63" s="1398">
        <f t="shared" si="174"/>
        <v>14.585411230329802</v>
      </c>
      <c r="CF63" s="1398">
        <f t="shared" si="174"/>
        <v>14.616535451258134</v>
      </c>
      <c r="CG63" s="1398">
        <f t="shared" si="174"/>
        <v>14.626641288360148</v>
      </c>
      <c r="CH63" s="1398">
        <f t="shared" si="174"/>
        <v>14.636754112613382</v>
      </c>
      <c r="CI63" s="1398">
        <f t="shared" si="174"/>
        <v>14.646873928848736</v>
      </c>
      <c r="CJ63" s="1398">
        <f t="shared" si="174"/>
        <v>14.657000741900452</v>
      </c>
      <c r="CK63" s="1398">
        <f t="shared" si="174"/>
        <v>14.667134556606111</v>
      </c>
      <c r="CL63" s="1398">
        <f t="shared" si="174"/>
        <v>14.670569469948116</v>
      </c>
      <c r="CM63" s="1398">
        <f t="shared" si="174"/>
        <v>14.674005187716483</v>
      </c>
      <c r="CN63" s="1398">
        <f t="shared" si="174"/>
        <v>14.6774417100996</v>
      </c>
      <c r="CO63" s="1398">
        <f t="shared" si="174"/>
        <v>14.6808790372859</v>
      </c>
      <c r="CP63" s="1398">
        <f t="shared" si="174"/>
        <v>14.684317169463862</v>
      </c>
      <c r="CQ63" s="1398">
        <f t="shared" si="174"/>
        <v>14.689527988881515</v>
      </c>
      <c r="CR63" s="1398">
        <f t="shared" si="174"/>
        <v>14.69474065739019</v>
      </c>
      <c r="CS63" s="1398">
        <f t="shared" si="174"/>
        <v>14.699955175646044</v>
      </c>
      <c r="CT63" s="1398">
        <f t="shared" si="174"/>
        <v>14.705171544305472</v>
      </c>
      <c r="CU63" s="1398">
        <f t="shared" si="174"/>
        <v>14.710389764025104</v>
      </c>
      <c r="CV63" s="1398">
        <f t="shared" si="174"/>
        <v>14.718420626266095</v>
      </c>
      <c r="CW63" s="1398">
        <f t="shared" si="174"/>
        <v>14.726455872806168</v>
      </c>
      <c r="CX63" s="1398">
        <f t="shared" si="174"/>
        <v>14.734495506038849</v>
      </c>
      <c r="CY63" s="1398">
        <f t="shared" si="174"/>
        <v>14.74253952835897</v>
      </c>
      <c r="CZ63" s="1398">
        <f t="shared" si="174"/>
        <v>14.750587942162673</v>
      </c>
    </row>
    <row r="64" spans="1:104" ht="13" x14ac:dyDescent="0.3">
      <c r="A64" s="964" t="str">
        <f>'HyARC Physical Property Data'!A85</f>
        <v>Woody Biomass</v>
      </c>
      <c r="B64" s="260">
        <v>2005</v>
      </c>
      <c r="C64" s="874">
        <f>VLOOKUP(ref_year,DeflatorTable,2,FALSE)/VLOOKUP(B64,DeflatorTable,2,FALSE)</f>
        <v>1.2112501494873942</v>
      </c>
      <c r="D64" s="1260" t="str">
        <f>+'HyARC Physical Property Data'!$H$85</f>
        <v>kg</v>
      </c>
      <c r="E64" s="901" t="s">
        <v>1052</v>
      </c>
      <c r="F64" s="260">
        <f>'HyARC Physical Property Data'!$E$45</f>
        <v>19.551069237418005</v>
      </c>
      <c r="G64" s="260">
        <f>'HyARC Physical Property Data'!$I$45</f>
        <v>20.588656379262464</v>
      </c>
      <c r="H64" s="1069">
        <v>1.3438238843289665</v>
      </c>
      <c r="I64" s="1069">
        <v>1.3438238843289665</v>
      </c>
      <c r="J64" s="1069">
        <v>1.3438238843289665</v>
      </c>
      <c r="K64" s="1069">
        <v>1.3438238843289665</v>
      </c>
      <c r="L64" s="1069">
        <v>1.3438238843289665</v>
      </c>
      <c r="M64" s="1069">
        <v>1.3438238843289665</v>
      </c>
      <c r="N64" s="260">
        <f>1.27*($C$64)</f>
        <v>1.5382876898489906</v>
      </c>
      <c r="O64" s="260">
        <f>1.27*($C$64)</f>
        <v>1.5382876898489906</v>
      </c>
      <c r="P64" s="260">
        <f>1.28*($C$64)</f>
        <v>1.5504001913438645</v>
      </c>
      <c r="Q64" s="260">
        <f>1.32*($C$64)</f>
        <v>1.5988501973233604</v>
      </c>
      <c r="R64" s="260">
        <f>1.32*($C$64)</f>
        <v>1.5988501973233604</v>
      </c>
      <c r="S64" s="260">
        <f>1.34*($C$64)</f>
        <v>1.6230752003131084</v>
      </c>
      <c r="T64" s="260">
        <f>1.34*($C$64)</f>
        <v>1.6230752003131084</v>
      </c>
      <c r="U64" s="260">
        <f>1.36*($C$64)</f>
        <v>1.6473002033028561</v>
      </c>
      <c r="V64" s="260">
        <f>1.36*($C$64)</f>
        <v>1.6473002033028561</v>
      </c>
      <c r="W64" s="260">
        <f>1.38*($C$64)</f>
        <v>1.6715252062926038</v>
      </c>
      <c r="X64" s="260">
        <f>1.4*($C$64)</f>
        <v>1.6957502092823518</v>
      </c>
      <c r="Y64" s="260">
        <f>1.46*($C$64)</f>
        <v>1.7684252182515954</v>
      </c>
      <c r="Z64" s="260">
        <f>1.48*($C$64)</f>
        <v>1.7926502212413433</v>
      </c>
      <c r="AA64" s="260">
        <f>1.48*($C$64)</f>
        <v>1.7926502212413433</v>
      </c>
      <c r="AB64" s="260">
        <f>1.51*($C$64)</f>
        <v>1.8289877257259652</v>
      </c>
      <c r="AC64" s="260">
        <f>1.52*($C$64)</f>
        <v>1.8411002272208392</v>
      </c>
      <c r="AD64" s="260">
        <f>1.62*($C$64)</f>
        <v>1.9622252421695787</v>
      </c>
      <c r="AE64" s="260">
        <f>1.72*($C$64)</f>
        <v>2.083350257118318</v>
      </c>
      <c r="AF64" s="260">
        <f>1.82*($C$64)</f>
        <v>2.2044752720670573</v>
      </c>
      <c r="AG64" s="260">
        <f>1.91*($C$64)</f>
        <v>2.3134877855209228</v>
      </c>
      <c r="AH64" s="260">
        <f>2.01*($C$64)</f>
        <v>2.4346128004696621</v>
      </c>
      <c r="AI64" s="260">
        <f>2.11*($C$64)</f>
        <v>2.5557378154184014</v>
      </c>
      <c r="AJ64" s="260">
        <f>2.2*($C$64)</f>
        <v>2.6647503288722674</v>
      </c>
      <c r="AK64" s="260">
        <f>2.3*($C$64)</f>
        <v>2.7858753438210062</v>
      </c>
      <c r="AL64" s="260">
        <f>2.4*($C$64)</f>
        <v>2.9070003587697459</v>
      </c>
      <c r="AM64" s="260">
        <f>2.5*($C$64)</f>
        <v>3.0281253737184857</v>
      </c>
      <c r="AN64" s="260">
        <f>2.57*($C$64)</f>
        <v>3.1129128841826028</v>
      </c>
      <c r="AO64" s="260">
        <f>2.64*($C$64)</f>
        <v>3.1977003946467208</v>
      </c>
      <c r="AP64" s="260">
        <f>2.71*($C$64)</f>
        <v>3.282487905110838</v>
      </c>
      <c r="AQ64" s="260">
        <f>2.78*($C$64)</f>
        <v>3.3672754155749556</v>
      </c>
      <c r="AR64" s="260">
        <f>2.85*($C$64)</f>
        <v>3.4520629260390736</v>
      </c>
      <c r="AS64" s="260">
        <f>2.92*($C$64)</f>
        <v>3.5368504365031908</v>
      </c>
      <c r="AT64" s="260">
        <f>2.99*($C$64)</f>
        <v>3.6216379469673088</v>
      </c>
      <c r="AU64" s="260">
        <f>3.07*($C$64)</f>
        <v>3.7185379589263001</v>
      </c>
      <c r="AV64" s="260">
        <f>3.14*($C$64)</f>
        <v>3.8033254693904177</v>
      </c>
      <c r="AW64" s="260">
        <f>3.21*($C$64)</f>
        <v>3.8881129798545353</v>
      </c>
      <c r="AX64" s="260">
        <f>3.28*($C$64)</f>
        <v>3.9729004903186529</v>
      </c>
      <c r="AY64" s="260">
        <f>3.35*($C$64)</f>
        <v>4.0576880007827709</v>
      </c>
      <c r="AZ64" s="260">
        <f>3.42*($C$64)</f>
        <v>4.1424755112468876</v>
      </c>
      <c r="BA64" s="260">
        <f>3.49*($C$64)</f>
        <v>4.2272630217110061</v>
      </c>
      <c r="BB64" s="260">
        <f>3.56*($C$64)</f>
        <v>4.3120505321751237</v>
      </c>
      <c r="BC64" s="260">
        <f>3.64*($C$64)</f>
        <v>4.4089505441341146</v>
      </c>
      <c r="BD64" s="260">
        <f>3.71*($C$64)</f>
        <v>4.4937380545982322</v>
      </c>
      <c r="BE64" s="260">
        <f>3.78*($C$64)</f>
        <v>4.5785255650623498</v>
      </c>
      <c r="BF64" s="260">
        <f>3.85*($C$64)</f>
        <v>4.6633130755264673</v>
      </c>
      <c r="BG64" s="260">
        <f>3.92*($C$64)</f>
        <v>4.7481005859905849</v>
      </c>
      <c r="BH64" s="260">
        <f>3.99*($C$64)</f>
        <v>4.8328880964547034</v>
      </c>
      <c r="BI64" s="260">
        <f>4.06*($C$64)</f>
        <v>4.9176756069188201</v>
      </c>
      <c r="BJ64" s="260">
        <f>4.14*($C$64)</f>
        <v>5.0145756188778119</v>
      </c>
      <c r="BK64" s="260">
        <f>4.21*($C$64)</f>
        <v>5.0993631293419295</v>
      </c>
      <c r="BL64" s="260">
        <f>4.28*($C$64)</f>
        <v>5.1841506398060471</v>
      </c>
      <c r="BM64" s="260">
        <f>4.35*($C$64)</f>
        <v>5.2689381502701647</v>
      </c>
      <c r="BN64" s="260">
        <f>4.42*($C$64)</f>
        <v>5.3537256607342822</v>
      </c>
      <c r="BO64" s="260">
        <f>4.49*($C$64)</f>
        <v>5.4385131711983998</v>
      </c>
      <c r="BP64" s="260">
        <f>4.56*($C$64)</f>
        <v>5.5233006816625174</v>
      </c>
      <c r="BQ64" s="260">
        <f>4.63*($C$64)</f>
        <v>5.608088192126635</v>
      </c>
      <c r="BR64" s="873">
        <f>4.71*($C$64)</f>
        <v>5.7049882040856268</v>
      </c>
      <c r="BS64" s="260">
        <f>4.78*($C$64)</f>
        <v>5.7897757145497444</v>
      </c>
      <c r="BT64" s="260">
        <f>4.85*($C$64)</f>
        <v>5.8745632250138611</v>
      </c>
      <c r="BU64" s="260">
        <f>4.92*($C$64)</f>
        <v>5.9593507354779796</v>
      </c>
      <c r="BV64" s="876">
        <f>4.99*($C$64)</f>
        <v>6.0441382459420971</v>
      </c>
      <c r="BW64" s="1398">
        <f>+BV64*BW$137/BV$137</f>
        <v>6.0586659764672328</v>
      </c>
      <c r="BX64" s="1398">
        <f t="shared" ref="BX64:CZ64" si="177">+BW64*BX$137/BW$137</f>
        <v>6.0732286259412112</v>
      </c>
      <c r="BY64" s="1398">
        <f t="shared" si="177"/>
        <v>6.0878262782954495</v>
      </c>
      <c r="BZ64" s="1398">
        <f t="shared" si="177"/>
        <v>6.1024590176630999</v>
      </c>
      <c r="CA64" s="1398">
        <f t="shared" si="177"/>
        <v>6.1171269283795393</v>
      </c>
      <c r="CB64" s="1398">
        <f t="shared" si="177"/>
        <v>6.1299667153690152</v>
      </c>
      <c r="CC64" s="1398">
        <f t="shared" si="177"/>
        <v>6.1428334529403346</v>
      </c>
      <c r="CD64" s="1398">
        <f t="shared" si="177"/>
        <v>6.155727197662495</v>
      </c>
      <c r="CE64" s="1398">
        <f t="shared" si="177"/>
        <v>6.1686480062232301</v>
      </c>
      <c r="CF64" s="1398">
        <f t="shared" si="177"/>
        <v>6.18159593542926</v>
      </c>
      <c r="CG64" s="1398">
        <f t="shared" si="177"/>
        <v>6.197524392005751</v>
      </c>
      <c r="CH64" s="1398">
        <f t="shared" si="177"/>
        <v>6.2134938923080965</v>
      </c>
      <c r="CI64" s="1398">
        <f t="shared" si="177"/>
        <v>6.229504542095909</v>
      </c>
      <c r="CJ64" s="1398">
        <f t="shared" si="177"/>
        <v>6.245556447401321</v>
      </c>
      <c r="CK64" s="1398">
        <f t="shared" si="177"/>
        <v>6.2616497145296828</v>
      </c>
      <c r="CL64" s="1398">
        <f t="shared" si="177"/>
        <v>6.2750522655841658</v>
      </c>
      <c r="CM64" s="1398">
        <f t="shared" si="177"/>
        <v>6.2884835037072264</v>
      </c>
      <c r="CN64" s="1398">
        <f t="shared" si="177"/>
        <v>6.3019434903011975</v>
      </c>
      <c r="CO64" s="1398">
        <f t="shared" si="177"/>
        <v>6.3154322868998385</v>
      </c>
      <c r="CP64" s="1398">
        <f t="shared" si="177"/>
        <v>6.3289499551686168</v>
      </c>
      <c r="CQ64" s="1398">
        <f t="shared" si="177"/>
        <v>6.3413225489579119</v>
      </c>
      <c r="CR64" s="1398">
        <f t="shared" si="177"/>
        <v>6.3537193301840116</v>
      </c>
      <c r="CS64" s="1398">
        <f t="shared" si="177"/>
        <v>6.3661403461314299</v>
      </c>
      <c r="CT64" s="1398">
        <f t="shared" si="177"/>
        <v>6.3785856441771198</v>
      </c>
      <c r="CU64" s="1398">
        <f t="shared" si="177"/>
        <v>6.3910552717906537</v>
      </c>
      <c r="CV64" s="1398">
        <f t="shared" si="177"/>
        <v>6.4057772391562917</v>
      </c>
      <c r="CW64" s="1398">
        <f t="shared" si="177"/>
        <v>6.4205331189689208</v>
      </c>
      <c r="CX64" s="1398">
        <f t="shared" si="177"/>
        <v>6.4353229893467718</v>
      </c>
      <c r="CY64" s="1398">
        <f t="shared" si="177"/>
        <v>6.4501469285880244</v>
      </c>
      <c r="CZ64" s="1398">
        <f t="shared" si="177"/>
        <v>6.4650050151712186</v>
      </c>
    </row>
    <row r="65" spans="1:104" ht="13" x14ac:dyDescent="0.3">
      <c r="A65" s="910" t="str">
        <f>'HyARC Physical Property Data'!A79</f>
        <v>Electric Utility Steam Coal</v>
      </c>
      <c r="B65" s="260">
        <v>2011</v>
      </c>
      <c r="C65" s="874">
        <f>VLOOKUP(ref_year,DeflatorTable,2,FALSE)/VLOOKUP(B65,DeflatorTable,2,FALSE)</f>
        <v>1.0784554773635862</v>
      </c>
      <c r="D65" s="1260" t="str">
        <f>+'HyARC Physical Property Data'!$H$79</f>
        <v>kg</v>
      </c>
      <c r="E65" s="901" t="s">
        <v>1052</v>
      </c>
      <c r="F65" s="260">
        <f>'HyARC Physical Property Data'!$E$42</f>
        <v>22.7322030001394</v>
      </c>
      <c r="G65" s="260">
        <f>'HyARC Physical Property Data'!$I$42</f>
        <v>23.967615189707661</v>
      </c>
      <c r="H65" s="1069">
        <v>1.6359074751967535</v>
      </c>
      <c r="I65" s="1069">
        <v>1.6359074751967535</v>
      </c>
      <c r="J65" s="1069">
        <v>1.6359074751967535</v>
      </c>
      <c r="K65" s="1069">
        <v>1.6778298347292193</v>
      </c>
      <c r="L65" s="1069">
        <v>1.8315470257945772</v>
      </c>
      <c r="M65" s="1069">
        <v>1.8060149340317679</v>
      </c>
      <c r="N65" s="260">
        <f t="shared" ref="N65:AR65" si="178">N79*($C65/mmBTU_to_GJ*$G65/$F65)</f>
        <v>2.4767433408545654</v>
      </c>
      <c r="O65" s="260">
        <f t="shared" si="178"/>
        <v>2.5651337544408896</v>
      </c>
      <c r="P65" s="260">
        <f t="shared" si="178"/>
        <v>2.6023831610321637</v>
      </c>
      <c r="Q65" s="260">
        <f t="shared" si="178"/>
        <v>2.5126832358863247</v>
      </c>
      <c r="R65" s="260">
        <f t="shared" si="178"/>
        <v>2.6585542013179602</v>
      </c>
      <c r="S65" s="260">
        <f t="shared" si="178"/>
        <v>2.6840072260006811</v>
      </c>
      <c r="T65" s="260">
        <f t="shared" si="178"/>
        <v>2.7699747737550795</v>
      </c>
      <c r="U65" s="260">
        <f t="shared" si="178"/>
        <v>2.7766301102818329</v>
      </c>
      <c r="V65" s="260">
        <f t="shared" si="178"/>
        <v>2.7968493998756609</v>
      </c>
      <c r="W65" s="260">
        <f t="shared" si="178"/>
        <v>2.8115213182786878</v>
      </c>
      <c r="X65" s="260">
        <f t="shared" si="178"/>
        <v>2.8489776600299841</v>
      </c>
      <c r="Y65" s="260">
        <f t="shared" si="178"/>
        <v>2.8785704657004394</v>
      </c>
      <c r="Z65" s="260">
        <f t="shared" si="178"/>
        <v>2.9253496675256483</v>
      </c>
      <c r="AA65" s="260">
        <f t="shared" si="178"/>
        <v>2.9630312668209267</v>
      </c>
      <c r="AB65" s="260">
        <f t="shared" si="178"/>
        <v>3.0053645960675355</v>
      </c>
      <c r="AC65" s="260">
        <f t="shared" si="178"/>
        <v>3.0521599647021214</v>
      </c>
      <c r="AD65" s="260">
        <f t="shared" si="178"/>
        <v>3.0924023866026737</v>
      </c>
      <c r="AE65" s="260">
        <f t="shared" si="178"/>
        <v>3.1249741963476141</v>
      </c>
      <c r="AF65" s="260">
        <f t="shared" si="178"/>
        <v>3.1652489518669196</v>
      </c>
      <c r="AG65" s="260">
        <f t="shared" si="178"/>
        <v>3.2097820449760555</v>
      </c>
      <c r="AH65" s="260">
        <f t="shared" si="178"/>
        <v>3.2527092350204363</v>
      </c>
      <c r="AI65" s="260">
        <f t="shared" si="178"/>
        <v>3.2901989881777776</v>
      </c>
      <c r="AJ65" s="260">
        <f t="shared" si="178"/>
        <v>3.3307065457521077</v>
      </c>
      <c r="AK65" s="260">
        <f t="shared" si="178"/>
        <v>3.3733136329708291</v>
      </c>
      <c r="AL65" s="260">
        <f t="shared" si="178"/>
        <v>3.4171795757463519</v>
      </c>
      <c r="AM65" s="260">
        <f t="shared" si="178"/>
        <v>3.4665778006905912</v>
      </c>
      <c r="AN65" s="260">
        <f t="shared" si="178"/>
        <v>3.5046355477507012</v>
      </c>
      <c r="AO65" s="260">
        <f t="shared" si="178"/>
        <v>3.5333294788198106</v>
      </c>
      <c r="AP65" s="260">
        <f t="shared" si="178"/>
        <v>3.5689945380921646</v>
      </c>
      <c r="AQ65" s="260">
        <f t="shared" si="178"/>
        <v>3.6172858754877444</v>
      </c>
      <c r="AR65" s="260">
        <f t="shared" si="178"/>
        <v>3.6632858371009949</v>
      </c>
      <c r="AS65" s="260">
        <f>($BB65-$AR65)/10+AR65</f>
        <v>3.6603339305711646</v>
      </c>
      <c r="AT65" s="260">
        <f t="shared" ref="AT65:BA65" si="179">($BB65-$AR65)/10+AS65</f>
        <v>3.6573820240413344</v>
      </c>
      <c r="AU65" s="260">
        <f t="shared" si="179"/>
        <v>3.6544301175115042</v>
      </c>
      <c r="AV65" s="260">
        <f t="shared" si="179"/>
        <v>3.6514782109816739</v>
      </c>
      <c r="AW65" s="260">
        <f t="shared" si="179"/>
        <v>3.6485263044518437</v>
      </c>
      <c r="AX65" s="260">
        <f t="shared" si="179"/>
        <v>3.6455743979220134</v>
      </c>
      <c r="AY65" s="260">
        <f t="shared" si="179"/>
        <v>3.6426224913921832</v>
      </c>
      <c r="AZ65" s="260">
        <f t="shared" si="179"/>
        <v>3.639670584862353</v>
      </c>
      <c r="BA65" s="260">
        <f t="shared" si="179"/>
        <v>3.6367186783325227</v>
      </c>
      <c r="BB65" s="939">
        <f>('AEO Data'!$B$28*AM65)</f>
        <v>3.6337667718026938</v>
      </c>
      <c r="BC65" s="260">
        <f>($BQ65-$BB65)/15+BB65</f>
        <v>3.6465192456024029</v>
      </c>
      <c r="BD65" s="260">
        <f t="shared" ref="BD65:BP68" si="180">($BQ65-$BB65)/15+BC65</f>
        <v>3.659271719402112</v>
      </c>
      <c r="BE65" s="260">
        <f t="shared" si="180"/>
        <v>3.6720241932018212</v>
      </c>
      <c r="BF65" s="260">
        <f t="shared" si="180"/>
        <v>3.6847766670015303</v>
      </c>
      <c r="BG65" s="260">
        <f t="shared" si="180"/>
        <v>3.6975291408012394</v>
      </c>
      <c r="BH65" s="260">
        <f t="shared" si="180"/>
        <v>3.7102816146009485</v>
      </c>
      <c r="BI65" s="260">
        <f t="shared" si="180"/>
        <v>3.7230340884006576</v>
      </c>
      <c r="BJ65" s="260">
        <f t="shared" si="180"/>
        <v>3.7357865622003668</v>
      </c>
      <c r="BK65" s="260">
        <f t="shared" si="180"/>
        <v>3.7485390360000759</v>
      </c>
      <c r="BL65" s="260">
        <f t="shared" si="180"/>
        <v>3.761291509799785</v>
      </c>
      <c r="BM65" s="260">
        <f t="shared" si="180"/>
        <v>3.7740439835994941</v>
      </c>
      <c r="BN65" s="260">
        <f t="shared" si="180"/>
        <v>3.7867964573992032</v>
      </c>
      <c r="BO65" s="260">
        <f t="shared" si="180"/>
        <v>3.7995489311989123</v>
      </c>
      <c r="BP65" s="260">
        <f t="shared" si="180"/>
        <v>3.8123014049986215</v>
      </c>
      <c r="BQ65" s="939">
        <f>('AEO Data'!$C$28*BB65)</f>
        <v>3.8250538787983337</v>
      </c>
      <c r="BR65" s="873">
        <f t="shared" ref="BR65:BU68" si="181">($BV65-$BQ65)/5+BQ65</f>
        <v>3.8373166225762918</v>
      </c>
      <c r="BS65" s="260">
        <f t="shared" si="181"/>
        <v>3.8495793663542499</v>
      </c>
      <c r="BT65" s="260">
        <f t="shared" si="181"/>
        <v>3.861842110132208</v>
      </c>
      <c r="BU65" s="260">
        <f t="shared" si="181"/>
        <v>3.8741048539101661</v>
      </c>
      <c r="BV65" s="963">
        <f>('AEO Data'!$D$28*BQ65)</f>
        <v>3.8863675976881238</v>
      </c>
      <c r="BW65" s="1398">
        <f>+BV65*BW$138/BV$138</f>
        <v>3.8995072326040932</v>
      </c>
      <c r="BX65" s="1398">
        <f t="shared" ref="BX65:CZ65" si="182">+BW65*BX$138/BW$138</f>
        <v>3.9126912920376582</v>
      </c>
      <c r="BY65" s="1398">
        <f t="shared" si="182"/>
        <v>3.9259199261861233</v>
      </c>
      <c r="BZ65" s="1398">
        <f t="shared" si="182"/>
        <v>3.9391932857546061</v>
      </c>
      <c r="CA65" s="1398">
        <f t="shared" si="182"/>
        <v>3.9525115219577494</v>
      </c>
      <c r="CB65" s="1398">
        <f t="shared" si="182"/>
        <v>3.9638281829885078</v>
      </c>
      <c r="CC65" s="1398">
        <f t="shared" si="182"/>
        <v>3.9751772453965106</v>
      </c>
      <c r="CD65" s="1398">
        <f t="shared" si="182"/>
        <v>3.9865588019519875</v>
      </c>
      <c r="CE65" s="1398">
        <f t="shared" si="182"/>
        <v>3.9979729456907847</v>
      </c>
      <c r="CF65" s="1398">
        <f t="shared" si="182"/>
        <v>4.0094197699151231</v>
      </c>
      <c r="CG65" s="1398">
        <f t="shared" si="182"/>
        <v>4.0181594321320722</v>
      </c>
      <c r="CH65" s="1398">
        <f t="shared" si="182"/>
        <v>4.0269181449099625</v>
      </c>
      <c r="CI65" s="1398">
        <f t="shared" si="182"/>
        <v>4.0356959497748699</v>
      </c>
      <c r="CJ65" s="1398">
        <f t="shared" si="182"/>
        <v>4.0444928883433882</v>
      </c>
      <c r="CK65" s="1398">
        <f t="shared" si="182"/>
        <v>4.0533090023228242</v>
      </c>
      <c r="CL65" s="1398">
        <f t="shared" si="182"/>
        <v>4.0592855925032651</v>
      </c>
      <c r="CM65" s="1398">
        <f t="shared" si="182"/>
        <v>4.0652709951453678</v>
      </c>
      <c r="CN65" s="1398">
        <f t="shared" si="182"/>
        <v>4.0712652232430759</v>
      </c>
      <c r="CO65" s="1398">
        <f t="shared" si="182"/>
        <v>4.0772682898094939</v>
      </c>
      <c r="CP65" s="1398">
        <f t="shared" si="182"/>
        <v>4.0832802078769133</v>
      </c>
      <c r="CQ65" s="1398">
        <f t="shared" si="182"/>
        <v>4.0852935052227286</v>
      </c>
      <c r="CR65" s="1398">
        <f t="shared" si="182"/>
        <v>4.0873077952425705</v>
      </c>
      <c r="CS65" s="1398">
        <f t="shared" si="182"/>
        <v>4.0893230784258847</v>
      </c>
      <c r="CT65" s="1398">
        <f t="shared" si="182"/>
        <v>4.0913393552623587</v>
      </c>
      <c r="CU65" s="1398">
        <f t="shared" si="182"/>
        <v>4.0933566262419232</v>
      </c>
      <c r="CV65" s="1398">
        <f t="shared" si="182"/>
        <v>4.0904573728021916</v>
      </c>
      <c r="CW65" s="1398">
        <f t="shared" si="182"/>
        <v>4.0875601728533422</v>
      </c>
      <c r="CX65" s="1398">
        <f t="shared" si="182"/>
        <v>4.0846650249409233</v>
      </c>
      <c r="CY65" s="1398">
        <f t="shared" si="182"/>
        <v>4.081771927611511</v>
      </c>
      <c r="CZ65" s="1398">
        <f t="shared" si="182"/>
        <v>4.0788808794127149</v>
      </c>
    </row>
    <row r="66" spans="1:104" ht="13" x14ac:dyDescent="0.3">
      <c r="A66" s="877" t="str">
        <f>'HyARC Physical Property Data'!A76</f>
        <v>Commercial Electricity</v>
      </c>
      <c r="B66" s="260">
        <v>2011</v>
      </c>
      <c r="C66" s="874">
        <f t="shared" si="165"/>
        <v>1.0784554773635862</v>
      </c>
      <c r="D66" s="1260" t="str">
        <f>'HyARC Physical Property Data'!$H$76</f>
        <v>kWh</v>
      </c>
      <c r="E66" s="874" t="s">
        <v>1071</v>
      </c>
      <c r="F66" s="878"/>
      <c r="G66" s="874"/>
      <c r="H66" s="1069">
        <v>26.764062885406638</v>
      </c>
      <c r="I66" s="1069">
        <v>26.764062885406638</v>
      </c>
      <c r="J66" s="1069">
        <v>26.764062885406638</v>
      </c>
      <c r="K66" s="1069">
        <v>26.478521097803213</v>
      </c>
      <c r="L66" s="1069">
        <v>27.879470162766175</v>
      </c>
      <c r="M66" s="1069">
        <v>27.895326399478549</v>
      </c>
      <c r="N66" s="260">
        <f>N80*($C66)</f>
        <v>32.884888841491865</v>
      </c>
      <c r="O66" s="260">
        <f t="shared" ref="O66:AR68" si="183">O80*($C66)</f>
        <v>32.332798364331552</v>
      </c>
      <c r="P66" s="260">
        <f t="shared" si="183"/>
        <v>30.737262309969314</v>
      </c>
      <c r="Q66" s="260">
        <f t="shared" si="183"/>
        <v>29.97242384233401</v>
      </c>
      <c r="R66" s="260">
        <f t="shared" si="183"/>
        <v>30.387977542238183</v>
      </c>
      <c r="S66" s="260">
        <f t="shared" si="183"/>
        <v>30.347150453231627</v>
      </c>
      <c r="T66" s="260">
        <f t="shared" si="183"/>
        <v>30.940154295836678</v>
      </c>
      <c r="U66" s="260">
        <f t="shared" si="183"/>
        <v>31.301692474701618</v>
      </c>
      <c r="V66" s="260">
        <f t="shared" si="183"/>
        <v>31.392652645028893</v>
      </c>
      <c r="W66" s="260">
        <f t="shared" si="183"/>
        <v>31.248251770431818</v>
      </c>
      <c r="X66" s="260">
        <f t="shared" si="183"/>
        <v>31.319545226673895</v>
      </c>
      <c r="Y66" s="260">
        <f t="shared" si="183"/>
        <v>31.450144028071669</v>
      </c>
      <c r="Z66" s="260">
        <f t="shared" si="183"/>
        <v>31.542321774632889</v>
      </c>
      <c r="AA66" s="260">
        <f t="shared" si="183"/>
        <v>31.486595823206557</v>
      </c>
      <c r="AB66" s="260">
        <f t="shared" si="183"/>
        <v>31.399882610549138</v>
      </c>
      <c r="AC66" s="260">
        <f t="shared" si="183"/>
        <v>31.493015868663306</v>
      </c>
      <c r="AD66" s="260">
        <f t="shared" si="183"/>
        <v>31.467305490082953</v>
      </c>
      <c r="AE66" s="260">
        <f t="shared" si="183"/>
        <v>31.504678286195514</v>
      </c>
      <c r="AF66" s="260">
        <f t="shared" si="183"/>
        <v>31.506435090168136</v>
      </c>
      <c r="AG66" s="260">
        <f t="shared" si="183"/>
        <v>31.647141176299762</v>
      </c>
      <c r="AH66" s="260">
        <f t="shared" si="183"/>
        <v>31.868543771980598</v>
      </c>
      <c r="AI66" s="260">
        <f t="shared" si="183"/>
        <v>32.132385747606648</v>
      </c>
      <c r="AJ66" s="260">
        <f t="shared" si="183"/>
        <v>32.307495641921648</v>
      </c>
      <c r="AK66" s="260">
        <f t="shared" si="183"/>
        <v>32.65090606266758</v>
      </c>
      <c r="AL66" s="260">
        <f t="shared" si="183"/>
        <v>33.217937462011285</v>
      </c>
      <c r="AM66" s="260">
        <f t="shared" si="183"/>
        <v>33.746086227574118</v>
      </c>
      <c r="AN66" s="260">
        <f t="shared" si="183"/>
        <v>34.302393465650923</v>
      </c>
      <c r="AO66" s="260">
        <f t="shared" si="183"/>
        <v>34.800179395704063</v>
      </c>
      <c r="AP66" s="260">
        <f t="shared" si="183"/>
        <v>35.230419502298972</v>
      </c>
      <c r="AQ66" s="260">
        <f t="shared" si="183"/>
        <v>35.829986824939262</v>
      </c>
      <c r="AR66" s="260">
        <f t="shared" si="183"/>
        <v>36.211973598110482</v>
      </c>
      <c r="AS66" s="260">
        <f t="shared" ref="AS66:BA66" si="184">($BB66-$AR66)/10+AR66</f>
        <v>35.881261041922635</v>
      </c>
      <c r="AT66" s="260">
        <f t="shared" si="184"/>
        <v>35.550548485734787</v>
      </c>
      <c r="AU66" s="260">
        <f t="shared" si="184"/>
        <v>35.219835929546939</v>
      </c>
      <c r="AV66" s="260">
        <f t="shared" si="184"/>
        <v>34.889123373359091</v>
      </c>
      <c r="AW66" s="260">
        <f t="shared" si="184"/>
        <v>34.558410817171243</v>
      </c>
      <c r="AX66" s="260">
        <f t="shared" si="184"/>
        <v>34.227698260983395</v>
      </c>
      <c r="AY66" s="260">
        <f t="shared" si="184"/>
        <v>33.896985704795547</v>
      </c>
      <c r="AZ66" s="260">
        <f t="shared" si="184"/>
        <v>33.566273148607699</v>
      </c>
      <c r="BA66" s="260">
        <f t="shared" si="184"/>
        <v>33.235560592419851</v>
      </c>
      <c r="BB66" s="939">
        <f>'AEO Data'!$B$33*AM66</f>
        <v>32.904848036232032</v>
      </c>
      <c r="BC66" s="260">
        <f>($BQ66-$BB66)/15+BB66</f>
        <v>32.924019184217244</v>
      </c>
      <c r="BD66" s="260">
        <f t="shared" si="180"/>
        <v>32.943190332202455</v>
      </c>
      <c r="BE66" s="260">
        <f t="shared" si="180"/>
        <v>32.962361480187667</v>
      </c>
      <c r="BF66" s="260">
        <f t="shared" si="180"/>
        <v>32.981532628172879</v>
      </c>
      <c r="BG66" s="260">
        <f t="shared" si="180"/>
        <v>33.00070377615809</v>
      </c>
      <c r="BH66" s="260">
        <f t="shared" si="180"/>
        <v>33.019874924143302</v>
      </c>
      <c r="BI66" s="260">
        <f t="shared" si="180"/>
        <v>33.039046072128514</v>
      </c>
      <c r="BJ66" s="260">
        <f t="shared" si="180"/>
        <v>33.058217220113725</v>
      </c>
      <c r="BK66" s="260">
        <f t="shared" si="180"/>
        <v>33.077388368098937</v>
      </c>
      <c r="BL66" s="260">
        <f t="shared" si="180"/>
        <v>33.096559516084149</v>
      </c>
      <c r="BM66" s="260">
        <f t="shared" si="180"/>
        <v>33.115730664069361</v>
      </c>
      <c r="BN66" s="260">
        <f t="shared" si="180"/>
        <v>33.134901812054572</v>
      </c>
      <c r="BO66" s="260">
        <f t="shared" si="180"/>
        <v>33.154072960039784</v>
      </c>
      <c r="BP66" s="260">
        <f t="shared" si="180"/>
        <v>33.173244108024996</v>
      </c>
      <c r="BQ66" s="939">
        <f>'AEO Data'!$C$33*BB66</f>
        <v>33.192415256010214</v>
      </c>
      <c r="BR66" s="873">
        <f t="shared" si="181"/>
        <v>33.170065135939467</v>
      </c>
      <c r="BS66" s="260">
        <f t="shared" si="181"/>
        <v>33.147715015868719</v>
      </c>
      <c r="BT66" s="260">
        <f t="shared" si="181"/>
        <v>33.125364895797972</v>
      </c>
      <c r="BU66" s="260">
        <f t="shared" si="181"/>
        <v>33.103014775727225</v>
      </c>
      <c r="BV66" s="963">
        <f>'AEO Data'!$D$33*BQ66</f>
        <v>33.080664655656477</v>
      </c>
      <c r="BW66" s="1398">
        <f>+BV66*BW$139/BV$139</f>
        <v>33.066099114275488</v>
      </c>
      <c r="BX66" s="1398">
        <f t="shared" ref="BX66:CZ66" si="185">+BW66*BX$139/BW$139</f>
        <v>33.051539986157294</v>
      </c>
      <c r="BY66" s="1398">
        <f t="shared" si="185"/>
        <v>33.0369872684781</v>
      </c>
      <c r="BZ66" s="1398">
        <f t="shared" si="185"/>
        <v>33.022440958415373</v>
      </c>
      <c r="CA66" s="1398">
        <f t="shared" si="185"/>
        <v>33.007901053147819</v>
      </c>
      <c r="CB66" s="1398">
        <f t="shared" si="185"/>
        <v>32.98146223987488</v>
      </c>
      <c r="CC66" s="1398">
        <f t="shared" si="185"/>
        <v>32.955044603678495</v>
      </c>
      <c r="CD66" s="1398">
        <f t="shared" si="185"/>
        <v>32.928648127596141</v>
      </c>
      <c r="CE66" s="1398">
        <f t="shared" si="185"/>
        <v>32.902272794678915</v>
      </c>
      <c r="CF66" s="1398">
        <f t="shared" si="185"/>
        <v>32.875918587991457</v>
      </c>
      <c r="CG66" s="1398">
        <f t="shared" si="185"/>
        <v>32.839614191376278</v>
      </c>
      <c r="CH66" s="1398">
        <f t="shared" si="185"/>
        <v>32.803349885175919</v>
      </c>
      <c r="CI66" s="1398">
        <f t="shared" si="185"/>
        <v>32.767125625119114</v>
      </c>
      <c r="CJ66" s="1398">
        <f t="shared" si="185"/>
        <v>32.730941366983494</v>
      </c>
      <c r="CK66" s="1398">
        <f t="shared" si="185"/>
        <v>32.69479706659552</v>
      </c>
      <c r="CL66" s="1398">
        <f t="shared" si="185"/>
        <v>32.65539094584242</v>
      </c>
      <c r="CM66" s="1398">
        <f t="shared" si="185"/>
        <v>32.616032320180047</v>
      </c>
      <c r="CN66" s="1398">
        <f t="shared" si="185"/>
        <v>32.576721132363886</v>
      </c>
      <c r="CO66" s="1398">
        <f t="shared" si="185"/>
        <v>32.537457325218448</v>
      </c>
      <c r="CP66" s="1398">
        <f t="shared" si="185"/>
        <v>32.498240841637141</v>
      </c>
      <c r="CQ66" s="1398">
        <f t="shared" si="185"/>
        <v>32.452817913303896</v>
      </c>
      <c r="CR66" s="1398">
        <f t="shared" si="185"/>
        <v>32.407458472789216</v>
      </c>
      <c r="CS66" s="1398">
        <f t="shared" si="185"/>
        <v>32.362162431355912</v>
      </c>
      <c r="CT66" s="1398">
        <f t="shared" si="185"/>
        <v>32.31692970039083</v>
      </c>
      <c r="CU66" s="1398">
        <f t="shared" si="185"/>
        <v>32.271760191404653</v>
      </c>
      <c r="CV66" s="1398">
        <f t="shared" si="185"/>
        <v>32.22766670904133</v>
      </c>
      <c r="CW66" s="1398">
        <f t="shared" si="185"/>
        <v>32.183633472390525</v>
      </c>
      <c r="CX66" s="1398">
        <f t="shared" si="185"/>
        <v>32.139660399137448</v>
      </c>
      <c r="CY66" s="1398">
        <f t="shared" si="185"/>
        <v>32.09574740707977</v>
      </c>
      <c r="CZ66" s="1398">
        <f t="shared" si="185"/>
        <v>32.051894414127482</v>
      </c>
    </row>
    <row r="67" spans="1:104" ht="13" x14ac:dyDescent="0.3">
      <c r="A67" s="877" t="str">
        <f>'HyARC Physical Property Data'!A77</f>
        <v>Industrial Electricity</v>
      </c>
      <c r="B67" s="260">
        <v>2011</v>
      </c>
      <c r="C67" s="874">
        <f t="shared" si="165"/>
        <v>1.0784554773635862</v>
      </c>
      <c r="D67" s="1248" t="str">
        <f>'HyARC Physical Property Data'!$H$77</f>
        <v>kWh</v>
      </c>
      <c r="E67" s="874" t="s">
        <v>1071</v>
      </c>
      <c r="F67" s="885"/>
      <c r="G67" s="222"/>
      <c r="H67" s="1072">
        <v>17.365230901091444</v>
      </c>
      <c r="I67" s="1072">
        <v>17.365230901091444</v>
      </c>
      <c r="J67" s="1072">
        <v>17.365230901091444</v>
      </c>
      <c r="K67" s="1072">
        <v>17.575551809904887</v>
      </c>
      <c r="L67" s="1072">
        <v>19.530121721487372</v>
      </c>
      <c r="M67" s="1072">
        <v>19.467200489895287</v>
      </c>
      <c r="N67" s="222">
        <f t="shared" ref="N67:AC68" si="186">N81*($C67)</f>
        <v>21.849987884073684</v>
      </c>
      <c r="O67" s="222">
        <f t="shared" si="186"/>
        <v>21.542925726736811</v>
      </c>
      <c r="P67" s="222">
        <f t="shared" si="186"/>
        <v>19.902451511088309</v>
      </c>
      <c r="Q67" s="222">
        <f t="shared" si="186"/>
        <v>19.582235432294034</v>
      </c>
      <c r="R67" s="222">
        <f t="shared" si="186"/>
        <v>19.704756602166356</v>
      </c>
      <c r="S67" s="222">
        <f t="shared" si="186"/>
        <v>19.619020470171431</v>
      </c>
      <c r="T67" s="222">
        <f t="shared" si="186"/>
        <v>20.171031141626411</v>
      </c>
      <c r="U67" s="222">
        <f t="shared" si="186"/>
        <v>20.49385492576495</v>
      </c>
      <c r="V67" s="222">
        <f t="shared" si="186"/>
        <v>20.594470507981068</v>
      </c>
      <c r="W67" s="222">
        <f t="shared" si="186"/>
        <v>20.544822731625157</v>
      </c>
      <c r="X67" s="222">
        <f t="shared" si="186"/>
        <v>20.594035890423687</v>
      </c>
      <c r="Y67" s="222">
        <f t="shared" si="186"/>
        <v>20.76255102949461</v>
      </c>
      <c r="Z67" s="222">
        <f t="shared" si="186"/>
        <v>20.94633062739214</v>
      </c>
      <c r="AA67" s="222">
        <f t="shared" si="186"/>
        <v>21.072253245840066</v>
      </c>
      <c r="AB67" s="222">
        <f t="shared" si="186"/>
        <v>21.100348089480867</v>
      </c>
      <c r="AC67" s="222">
        <f t="shared" si="186"/>
        <v>21.269441280687655</v>
      </c>
      <c r="AD67" s="222">
        <f t="shared" si="183"/>
        <v>21.365271755950712</v>
      </c>
      <c r="AE67" s="222">
        <f t="shared" si="183"/>
        <v>21.508514369365095</v>
      </c>
      <c r="AF67" s="222">
        <f t="shared" si="183"/>
        <v>21.619174685897374</v>
      </c>
      <c r="AG67" s="222">
        <f t="shared" si="183"/>
        <v>21.826218725352589</v>
      </c>
      <c r="AH67" s="222">
        <f t="shared" si="183"/>
        <v>22.023947066394335</v>
      </c>
      <c r="AI67" s="222">
        <f t="shared" si="183"/>
        <v>22.224293897335123</v>
      </c>
      <c r="AJ67" s="222">
        <f t="shared" si="183"/>
        <v>22.474376937980967</v>
      </c>
      <c r="AK67" s="222">
        <f t="shared" si="183"/>
        <v>22.838414976642433</v>
      </c>
      <c r="AL67" s="222">
        <f t="shared" si="183"/>
        <v>23.325651455216004</v>
      </c>
      <c r="AM67" s="222">
        <f t="shared" si="183"/>
        <v>23.843532246178864</v>
      </c>
      <c r="AN67" s="222">
        <f t="shared" si="183"/>
        <v>24.337545738972189</v>
      </c>
      <c r="AO67" s="222">
        <f t="shared" si="183"/>
        <v>24.794215553950846</v>
      </c>
      <c r="AP67" s="222">
        <f t="shared" si="183"/>
        <v>25.214004348514621</v>
      </c>
      <c r="AQ67" s="222">
        <f t="shared" si="183"/>
        <v>25.744343457151981</v>
      </c>
      <c r="AR67" s="222">
        <f t="shared" si="183"/>
        <v>26.063271860106287</v>
      </c>
      <c r="AS67" s="260">
        <f t="shared" ref="AS67:BA67" si="187">($BB67-$AR67)/10+AR67</f>
        <v>25.78185962843024</v>
      </c>
      <c r="AT67" s="260">
        <f t="shared" si="187"/>
        <v>25.500447396754193</v>
      </c>
      <c r="AU67" s="260">
        <f t="shared" si="187"/>
        <v>25.219035165078147</v>
      </c>
      <c r="AV67" s="260">
        <f t="shared" si="187"/>
        <v>24.9376229334021</v>
      </c>
      <c r="AW67" s="260">
        <f t="shared" si="187"/>
        <v>24.656210701726053</v>
      </c>
      <c r="AX67" s="260">
        <f t="shared" si="187"/>
        <v>24.374798470050006</v>
      </c>
      <c r="AY67" s="260">
        <f t="shared" si="187"/>
        <v>24.093386238373959</v>
      </c>
      <c r="AZ67" s="260">
        <f t="shared" si="187"/>
        <v>23.811974006697913</v>
      </c>
      <c r="BA67" s="260">
        <f t="shared" si="187"/>
        <v>23.530561775021866</v>
      </c>
      <c r="BB67" s="939">
        <f>'AEO Data'!$B$33*AM67</f>
        <v>23.24914954334583</v>
      </c>
      <c r="BC67" s="260">
        <f>($BQ67-$BB67)/15+BB67</f>
        <v>23.262695051470804</v>
      </c>
      <c r="BD67" s="260">
        <f t="shared" si="180"/>
        <v>23.276240559595777</v>
      </c>
      <c r="BE67" s="260">
        <f t="shared" si="180"/>
        <v>23.289786067720751</v>
      </c>
      <c r="BF67" s="260">
        <f t="shared" si="180"/>
        <v>23.303331575845725</v>
      </c>
      <c r="BG67" s="260">
        <f t="shared" si="180"/>
        <v>23.316877083970699</v>
      </c>
      <c r="BH67" s="260">
        <f t="shared" si="180"/>
        <v>23.330422592095672</v>
      </c>
      <c r="BI67" s="260">
        <f t="shared" si="180"/>
        <v>23.343968100220646</v>
      </c>
      <c r="BJ67" s="260">
        <f t="shared" si="180"/>
        <v>23.35751360834562</v>
      </c>
      <c r="BK67" s="260">
        <f t="shared" si="180"/>
        <v>23.371059116470594</v>
      </c>
      <c r="BL67" s="260">
        <f t="shared" si="180"/>
        <v>23.384604624595568</v>
      </c>
      <c r="BM67" s="260">
        <f t="shared" si="180"/>
        <v>23.398150132720541</v>
      </c>
      <c r="BN67" s="260">
        <f t="shared" si="180"/>
        <v>23.411695640845515</v>
      </c>
      <c r="BO67" s="260">
        <f t="shared" si="180"/>
        <v>23.425241148970489</v>
      </c>
      <c r="BP67" s="260">
        <f t="shared" si="180"/>
        <v>23.438786657095463</v>
      </c>
      <c r="BQ67" s="939">
        <f>'AEO Data'!$C$33*BB67</f>
        <v>23.45233216522044</v>
      </c>
      <c r="BR67" s="873">
        <f t="shared" si="181"/>
        <v>23.436540532228719</v>
      </c>
      <c r="BS67" s="260">
        <f t="shared" si="181"/>
        <v>23.420748899236997</v>
      </c>
      <c r="BT67" s="260">
        <f t="shared" si="181"/>
        <v>23.404957266245276</v>
      </c>
      <c r="BU67" s="260">
        <f t="shared" si="181"/>
        <v>23.389165633253555</v>
      </c>
      <c r="BV67" s="963">
        <f>'AEO Data'!$D$33*BQ67</f>
        <v>23.373374000261833</v>
      </c>
      <c r="BW67" s="1398">
        <f>+BV67*BW$140/BV$140</f>
        <v>23.380436490829396</v>
      </c>
      <c r="BX67" s="1398">
        <f t="shared" ref="BX67:CZ67" si="188">+BW67*BX$140/BW$140</f>
        <v>23.387501115396649</v>
      </c>
      <c r="BY67" s="1398">
        <f t="shared" si="188"/>
        <v>23.394567874608409</v>
      </c>
      <c r="BZ67" s="1398">
        <f t="shared" si="188"/>
        <v>23.401636769109679</v>
      </c>
      <c r="CA67" s="1398">
        <f t="shared" si="188"/>
        <v>23.408707799545656</v>
      </c>
      <c r="CB67" s="1398">
        <f t="shared" si="188"/>
        <v>23.406060454578945</v>
      </c>
      <c r="CC67" s="1398">
        <f t="shared" si="188"/>
        <v>23.403413409006607</v>
      </c>
      <c r="CD67" s="1398">
        <f t="shared" si="188"/>
        <v>23.40076666279478</v>
      </c>
      <c r="CE67" s="1398">
        <f t="shared" si="188"/>
        <v>23.398120215909611</v>
      </c>
      <c r="CF67" s="1398">
        <f t="shared" si="188"/>
        <v>23.395474068317245</v>
      </c>
      <c r="CG67" s="1398">
        <f t="shared" si="188"/>
        <v>23.384861674186023</v>
      </c>
      <c r="CH67" s="1398">
        <f t="shared" si="188"/>
        <v>23.374254093930716</v>
      </c>
      <c r="CI67" s="1398">
        <f t="shared" si="188"/>
        <v>23.363651325367709</v>
      </c>
      <c r="CJ67" s="1398">
        <f t="shared" si="188"/>
        <v>23.353053366314384</v>
      </c>
      <c r="CK67" s="1398">
        <f t="shared" si="188"/>
        <v>23.342460214589092</v>
      </c>
      <c r="CL67" s="1398">
        <f t="shared" si="188"/>
        <v>23.329464593323419</v>
      </c>
      <c r="CM67" s="1398">
        <f t="shared" si="188"/>
        <v>23.316476207206502</v>
      </c>
      <c r="CN67" s="1398">
        <f t="shared" si="188"/>
        <v>23.303495052210266</v>
      </c>
      <c r="CO67" s="1398">
        <f t="shared" si="188"/>
        <v>23.290521124308881</v>
      </c>
      <c r="CP67" s="1398">
        <f t="shared" si="188"/>
        <v>23.277554419478744</v>
      </c>
      <c r="CQ67" s="1398">
        <f t="shared" si="188"/>
        <v>23.259789388655847</v>
      </c>
      <c r="CR67" s="1398">
        <f t="shared" si="188"/>
        <v>23.242037915800186</v>
      </c>
      <c r="CS67" s="1398">
        <f t="shared" si="188"/>
        <v>23.224299990564553</v>
      </c>
      <c r="CT67" s="1398">
        <f t="shared" si="188"/>
        <v>23.206575602609636</v>
      </c>
      <c r="CU67" s="1398">
        <f t="shared" si="188"/>
        <v>23.188864741604011</v>
      </c>
      <c r="CV67" s="1398">
        <f t="shared" si="188"/>
        <v>23.17221317404951</v>
      </c>
      <c r="CW67" s="1398">
        <f t="shared" si="188"/>
        <v>23.155573563729877</v>
      </c>
      <c r="CX67" s="1398">
        <f t="shared" si="188"/>
        <v>23.138945902058804</v>
      </c>
      <c r="CY67" s="1398">
        <f t="shared" si="188"/>
        <v>23.122330180456149</v>
      </c>
      <c r="CZ67" s="1398">
        <f t="shared" si="188"/>
        <v>23.105726390347936</v>
      </c>
    </row>
    <row r="68" spans="1:104" ht="13.5" thickBot="1" x14ac:dyDescent="0.35">
      <c r="A68" s="879" t="str">
        <f>'HyARC Physical Property Data'!A78</f>
        <v>Residential Electricity</v>
      </c>
      <c r="B68" s="880">
        <v>2011</v>
      </c>
      <c r="C68" s="881">
        <f t="shared" si="165"/>
        <v>1.0784554773635862</v>
      </c>
      <c r="D68" s="1249" t="str">
        <f>'HyARC Physical Property Data'!$H$78</f>
        <v>kWh</v>
      </c>
      <c r="E68" s="881" t="s">
        <v>1071</v>
      </c>
      <c r="F68" s="886"/>
      <c r="G68" s="569"/>
      <c r="H68" s="1073">
        <v>29.433773538887177</v>
      </c>
      <c r="I68" s="1073">
        <v>29.433773538887177</v>
      </c>
      <c r="J68" s="1073">
        <v>29.433773538887177</v>
      </c>
      <c r="K68" s="1073">
        <v>29.415861064534436</v>
      </c>
      <c r="L68" s="1073">
        <v>30.500905105766051</v>
      </c>
      <c r="M68" s="1073">
        <v>30.574559070308627</v>
      </c>
      <c r="N68" s="569">
        <f t="shared" si="186"/>
        <v>37.231327558403592</v>
      </c>
      <c r="O68" s="569">
        <f t="shared" si="183"/>
        <v>37.029713542276902</v>
      </c>
      <c r="P68" s="569">
        <f t="shared" si="183"/>
        <v>35.904219072357151</v>
      </c>
      <c r="Q68" s="569">
        <f t="shared" si="183"/>
        <v>35.115964100941852</v>
      </c>
      <c r="R68" s="569">
        <f t="shared" si="183"/>
        <v>35.969434353528804</v>
      </c>
      <c r="S68" s="569">
        <f t="shared" si="183"/>
        <v>36.116413815172251</v>
      </c>
      <c r="T68" s="569">
        <f t="shared" si="183"/>
        <v>36.717853336521245</v>
      </c>
      <c r="U68" s="569">
        <f t="shared" si="183"/>
        <v>37.019523216471292</v>
      </c>
      <c r="V68" s="569">
        <f t="shared" si="183"/>
        <v>36.994572070547008</v>
      </c>
      <c r="W68" s="569">
        <f t="shared" si="183"/>
        <v>36.749885621109897</v>
      </c>
      <c r="X68" s="569">
        <f t="shared" si="183"/>
        <v>36.78085131323143</v>
      </c>
      <c r="Y68" s="569">
        <f t="shared" si="183"/>
        <v>36.866643524911183</v>
      </c>
      <c r="Z68" s="569">
        <f t="shared" si="183"/>
        <v>36.980382831831335</v>
      </c>
      <c r="AA68" s="569">
        <f t="shared" si="183"/>
        <v>37.011953537475684</v>
      </c>
      <c r="AB68" s="569">
        <f t="shared" si="183"/>
        <v>37.116621955375727</v>
      </c>
      <c r="AC68" s="569">
        <f t="shared" si="183"/>
        <v>37.450882759851702</v>
      </c>
      <c r="AD68" s="569">
        <f t="shared" si="183"/>
        <v>37.642585770141416</v>
      </c>
      <c r="AE68" s="569">
        <f t="shared" si="183"/>
        <v>37.813937247117813</v>
      </c>
      <c r="AF68" s="569">
        <f t="shared" si="183"/>
        <v>37.937612364350912</v>
      </c>
      <c r="AG68" s="569">
        <f t="shared" si="183"/>
        <v>38.109761898380555</v>
      </c>
      <c r="AH68" s="569">
        <f t="shared" si="183"/>
        <v>38.292401568838507</v>
      </c>
      <c r="AI68" s="569">
        <f t="shared" si="183"/>
        <v>38.52845390372385</v>
      </c>
      <c r="AJ68" s="569">
        <f t="shared" si="183"/>
        <v>38.699570277406174</v>
      </c>
      <c r="AK68" s="569">
        <f t="shared" si="183"/>
        <v>38.991412192591014</v>
      </c>
      <c r="AL68" s="569">
        <f t="shared" si="183"/>
        <v>39.480914506122524</v>
      </c>
      <c r="AM68" s="569">
        <f t="shared" si="183"/>
        <v>39.991294639240323</v>
      </c>
      <c r="AN68" s="569">
        <f t="shared" si="183"/>
        <v>40.444338686904082</v>
      </c>
      <c r="AO68" s="569">
        <f t="shared" si="183"/>
        <v>40.811228161847694</v>
      </c>
      <c r="AP68" s="569">
        <f t="shared" si="183"/>
        <v>41.155489483965269</v>
      </c>
      <c r="AQ68" s="569">
        <f t="shared" si="183"/>
        <v>41.648278929791786</v>
      </c>
      <c r="AR68" s="569">
        <f t="shared" si="183"/>
        <v>41.89880413718334</v>
      </c>
      <c r="AS68" s="880">
        <f t="shared" ref="AS68:BA68" si="189">($BB68-$AR68)/10+AR68</f>
        <v>41.608361021177913</v>
      </c>
      <c r="AT68" s="880">
        <f t="shared" si="189"/>
        <v>41.317917905172486</v>
      </c>
      <c r="AU68" s="880">
        <f t="shared" si="189"/>
        <v>41.027474789167059</v>
      </c>
      <c r="AV68" s="880">
        <f t="shared" si="189"/>
        <v>40.737031673161631</v>
      </c>
      <c r="AW68" s="880">
        <f t="shared" si="189"/>
        <v>40.446588557156204</v>
      </c>
      <c r="AX68" s="880">
        <f t="shared" si="189"/>
        <v>40.156145441150777</v>
      </c>
      <c r="AY68" s="880">
        <f t="shared" si="189"/>
        <v>39.86570232514535</v>
      </c>
      <c r="AZ68" s="880">
        <f t="shared" si="189"/>
        <v>39.575259209139922</v>
      </c>
      <c r="BA68" s="880">
        <f t="shared" si="189"/>
        <v>39.284816093134495</v>
      </c>
      <c r="BB68" s="968">
        <f>'AEO Data'!$B$33*AM68</f>
        <v>38.994372977129068</v>
      </c>
      <c r="BC68" s="880">
        <f>($BQ68-$BB68)/15+BB68</f>
        <v>39.017092027346592</v>
      </c>
      <c r="BD68" s="880">
        <f t="shared" si="180"/>
        <v>39.039811077564117</v>
      </c>
      <c r="BE68" s="880">
        <f t="shared" si="180"/>
        <v>39.062530127781642</v>
      </c>
      <c r="BF68" s="880">
        <f t="shared" si="180"/>
        <v>39.085249177999167</v>
      </c>
      <c r="BG68" s="880">
        <f t="shared" si="180"/>
        <v>39.107968228216691</v>
      </c>
      <c r="BH68" s="880">
        <f t="shared" si="180"/>
        <v>39.130687278434216</v>
      </c>
      <c r="BI68" s="880">
        <f t="shared" si="180"/>
        <v>39.153406328651741</v>
      </c>
      <c r="BJ68" s="880">
        <f t="shared" si="180"/>
        <v>39.176125378869266</v>
      </c>
      <c r="BK68" s="880">
        <f t="shared" si="180"/>
        <v>39.19884442908679</v>
      </c>
      <c r="BL68" s="880">
        <f t="shared" si="180"/>
        <v>39.221563479304315</v>
      </c>
      <c r="BM68" s="880">
        <f t="shared" si="180"/>
        <v>39.24428252952184</v>
      </c>
      <c r="BN68" s="880">
        <f t="shared" si="180"/>
        <v>39.267001579739365</v>
      </c>
      <c r="BO68" s="880">
        <f t="shared" si="180"/>
        <v>39.289720629956889</v>
      </c>
      <c r="BP68" s="880">
        <f t="shared" si="180"/>
        <v>39.312439680174414</v>
      </c>
      <c r="BQ68" s="968">
        <f>'AEO Data'!$C$33*BB68</f>
        <v>39.335158730391903</v>
      </c>
      <c r="BR68" s="976">
        <f t="shared" si="181"/>
        <v>39.30867239265946</v>
      </c>
      <c r="BS68" s="880">
        <f t="shared" si="181"/>
        <v>39.282186054927017</v>
      </c>
      <c r="BT68" s="880">
        <f t="shared" si="181"/>
        <v>39.255699717194574</v>
      </c>
      <c r="BU68" s="880">
        <f t="shared" si="181"/>
        <v>39.229213379462131</v>
      </c>
      <c r="BV68" s="969">
        <f>'AEO Data'!$D$33*BQ68</f>
        <v>39.202727041729688</v>
      </c>
      <c r="BW68" s="1398">
        <f>+BV68*BW$141/BV$141</f>
        <v>39.185465933196419</v>
      </c>
      <c r="BX68" s="1398">
        <f t="shared" ref="BX68:CZ68" si="190">+BW68*BX$141/BW$141</f>
        <v>39.168212424794326</v>
      </c>
      <c r="BY68" s="1398">
        <f t="shared" si="190"/>
        <v>39.150966513177039</v>
      </c>
      <c r="BZ68" s="1398">
        <f t="shared" si="190"/>
        <v>39.133728194999662</v>
      </c>
      <c r="CA68" s="1398">
        <f t="shared" si="190"/>
        <v>39.11649746691878</v>
      </c>
      <c r="CB68" s="1398">
        <f t="shared" si="190"/>
        <v>39.085165763313817</v>
      </c>
      <c r="CC68" s="1398">
        <f t="shared" si="190"/>
        <v>39.053859155914154</v>
      </c>
      <c r="CD68" s="1398">
        <f t="shared" si="190"/>
        <v>39.022577624618116</v>
      </c>
      <c r="CE68" s="1398">
        <f t="shared" si="190"/>
        <v>38.991321149340131</v>
      </c>
      <c r="CF68" s="1398">
        <f t="shared" si="190"/>
        <v>38.960089710010728</v>
      </c>
      <c r="CG68" s="1398">
        <f t="shared" si="190"/>
        <v>38.917066652108652</v>
      </c>
      <c r="CH68" s="1398">
        <f t="shared" si="190"/>
        <v>38.874091103940906</v>
      </c>
      <c r="CI68" s="1398">
        <f t="shared" si="190"/>
        <v>38.831163013043174</v>
      </c>
      <c r="CJ68" s="1398">
        <f t="shared" si="190"/>
        <v>38.788282327009078</v>
      </c>
      <c r="CK68" s="1398">
        <f t="shared" si="190"/>
        <v>38.745448993490129</v>
      </c>
      <c r="CL68" s="1398">
        <f t="shared" si="190"/>
        <v>38.698750191886909</v>
      </c>
      <c r="CM68" s="1398">
        <f t="shared" si="190"/>
        <v>38.652107675037847</v>
      </c>
      <c r="CN68" s="1398">
        <f t="shared" si="190"/>
        <v>38.605521375104502</v>
      </c>
      <c r="CO68" s="1398">
        <f t="shared" si="190"/>
        <v>38.558991224330207</v>
      </c>
      <c r="CP68" s="1398">
        <f t="shared" si="190"/>
        <v>38.512517155039959</v>
      </c>
      <c r="CQ68" s="1398">
        <f t="shared" si="190"/>
        <v>38.45868804732946</v>
      </c>
      <c r="CR68" s="1398">
        <f t="shared" si="190"/>
        <v>38.404934176789915</v>
      </c>
      <c r="CS68" s="1398">
        <f t="shared" si="190"/>
        <v>38.351255438262001</v>
      </c>
      <c r="CT68" s="1398">
        <f t="shared" si="190"/>
        <v>38.297651726733392</v>
      </c>
      <c r="CU68" s="1398">
        <f t="shared" si="190"/>
        <v>38.244122937338538</v>
      </c>
      <c r="CV68" s="1398">
        <f t="shared" si="190"/>
        <v>38.191869309081618</v>
      </c>
      <c r="CW68" s="1398">
        <f t="shared" si="190"/>
        <v>38.139687075890301</v>
      </c>
      <c r="CX68" s="1398">
        <f t="shared" si="190"/>
        <v>38.087576140216228</v>
      </c>
      <c r="CY68" s="1398">
        <f t="shared" si="190"/>
        <v>38.03553640464434</v>
      </c>
      <c r="CZ68" s="1398">
        <f t="shared" si="190"/>
        <v>37.983567771892652</v>
      </c>
    </row>
    <row r="69" spans="1:104" ht="13" thickTop="1" x14ac:dyDescent="0.25">
      <c r="D69" s="1096"/>
    </row>
    <row r="70" spans="1:104" ht="13" thickBot="1" x14ac:dyDescent="0.3">
      <c r="D70" s="1096"/>
      <c r="E70" s="975"/>
    </row>
    <row r="71" spans="1:104" s="1053" customFormat="1" ht="13" x14ac:dyDescent="0.3">
      <c r="A71" s="1049" t="s">
        <v>1112</v>
      </c>
      <c r="B71" s="1050"/>
      <c r="C71" s="1051"/>
      <c r="D71" s="1252"/>
      <c r="E71" s="1051"/>
      <c r="F71" s="1050"/>
      <c r="G71" s="1050"/>
      <c r="H71" s="1050"/>
      <c r="I71" s="1050"/>
      <c r="J71" s="1050"/>
      <c r="K71" s="1050"/>
      <c r="L71" s="1050"/>
      <c r="M71" s="1050"/>
      <c r="N71" s="1050"/>
      <c r="O71" s="1050"/>
      <c r="P71" s="1050"/>
      <c r="Q71" s="1050"/>
      <c r="R71" s="1050"/>
      <c r="S71" s="1050"/>
      <c r="T71" s="1050"/>
      <c r="U71" s="1050"/>
      <c r="V71" s="1050"/>
      <c r="W71" s="1050"/>
      <c r="X71" s="1050"/>
      <c r="Y71" s="1050"/>
      <c r="Z71" s="1050"/>
      <c r="AA71" s="1050"/>
      <c r="AB71" s="1050"/>
      <c r="AC71" s="1050"/>
      <c r="AD71" s="1050"/>
      <c r="AE71" s="1050"/>
      <c r="AF71" s="1050"/>
      <c r="AG71" s="1050"/>
      <c r="AH71" s="1050"/>
      <c r="AI71" s="1050"/>
      <c r="AJ71" s="1050"/>
      <c r="AK71" s="1050"/>
      <c r="AL71" s="1050"/>
      <c r="AM71" s="1050"/>
      <c r="AN71" s="1050"/>
      <c r="AO71" s="1050"/>
      <c r="AP71" s="1050"/>
      <c r="AQ71" s="1050"/>
      <c r="AR71" s="1050"/>
      <c r="AS71" s="1050"/>
      <c r="AT71" s="1050"/>
      <c r="AU71" s="1050"/>
      <c r="AV71" s="1050"/>
      <c r="AW71" s="1050"/>
      <c r="AX71" s="1050"/>
      <c r="AY71" s="1050"/>
      <c r="AZ71" s="1050"/>
      <c r="BA71" s="1050"/>
      <c r="BB71" s="1050"/>
      <c r="BC71" s="1050"/>
      <c r="BD71" s="1050"/>
      <c r="BE71" s="1050"/>
      <c r="BF71" s="1050"/>
      <c r="BG71" s="1050"/>
      <c r="BH71" s="1050"/>
      <c r="BI71" s="1050"/>
      <c r="BJ71" s="1050"/>
      <c r="BK71" s="1050"/>
      <c r="BL71" s="1050"/>
      <c r="BM71" s="1050"/>
      <c r="BN71" s="1050"/>
      <c r="BO71" s="1050"/>
      <c r="BP71" s="1050"/>
      <c r="BQ71" s="1050"/>
      <c r="BR71" s="1050"/>
      <c r="BS71" s="1050"/>
      <c r="BT71" s="1050"/>
      <c r="BU71" s="1050"/>
      <c r="BV71" s="1052"/>
    </row>
    <row r="72" spans="1:104" s="1053" customFormat="1" ht="13" x14ac:dyDescent="0.3">
      <c r="A72" s="1054" t="s">
        <v>1109</v>
      </c>
      <c r="B72" s="1055"/>
      <c r="C72" s="1056"/>
      <c r="D72" s="1253"/>
      <c r="E72" s="1056"/>
      <c r="F72" s="1055"/>
      <c r="G72" s="1055"/>
      <c r="H72" s="1055"/>
      <c r="I72" s="1055"/>
      <c r="J72" s="1055"/>
      <c r="K72" s="1055"/>
      <c r="L72" s="1055"/>
      <c r="M72" s="1055"/>
      <c r="N72" s="1055"/>
      <c r="O72" s="1055"/>
      <c r="P72" s="1055"/>
      <c r="Q72" s="1055"/>
      <c r="R72" s="1055"/>
      <c r="S72" s="1055"/>
      <c r="T72" s="1055"/>
      <c r="U72" s="1055"/>
      <c r="V72" s="1055"/>
      <c r="W72" s="1055"/>
      <c r="X72" s="1055"/>
      <c r="Y72" s="1055"/>
      <c r="Z72" s="1055"/>
      <c r="AA72" s="1055"/>
      <c r="AB72" s="1055"/>
      <c r="AC72" s="1055"/>
      <c r="AD72" s="1055"/>
      <c r="AE72" s="1055"/>
      <c r="AF72" s="1055"/>
      <c r="AG72" s="1055"/>
      <c r="AH72" s="1055"/>
      <c r="AI72" s="1055"/>
      <c r="AJ72" s="1055"/>
      <c r="AK72" s="1055"/>
      <c r="AL72" s="1055"/>
      <c r="AM72" s="1055"/>
      <c r="AN72" s="1055"/>
      <c r="AO72" s="1055"/>
      <c r="AP72" s="1055"/>
      <c r="AQ72" s="1055"/>
      <c r="AR72" s="1055"/>
      <c r="AS72" s="1055"/>
      <c r="AT72" s="1055"/>
      <c r="AU72" s="1055"/>
      <c r="AV72" s="1055"/>
      <c r="AW72" s="1055"/>
      <c r="AX72" s="1055"/>
      <c r="AY72" s="1055"/>
      <c r="AZ72" s="1055"/>
      <c r="BA72" s="1055"/>
      <c r="BB72" s="1055"/>
      <c r="BC72" s="1055"/>
      <c r="BD72" s="1055"/>
      <c r="BE72" s="1055"/>
      <c r="BF72" s="1055"/>
      <c r="BG72" s="1055"/>
      <c r="BH72" s="1055"/>
      <c r="BI72" s="1055"/>
      <c r="BJ72" s="1055"/>
      <c r="BK72" s="1055"/>
      <c r="BL72" s="1055"/>
      <c r="BM72" s="1055"/>
      <c r="BN72" s="1055"/>
      <c r="BO72" s="1055"/>
      <c r="BP72" s="1055"/>
      <c r="BQ72" s="1055"/>
      <c r="BR72" s="1055"/>
      <c r="BS72" s="1055"/>
      <c r="BT72" s="1055"/>
      <c r="BU72" s="1055"/>
      <c r="BV72" s="1057"/>
    </row>
    <row r="73" spans="1:104" s="1053" customFormat="1" x14ac:dyDescent="0.25">
      <c r="A73" s="1058"/>
      <c r="B73" s="1055"/>
      <c r="C73" s="1056"/>
      <c r="D73" s="1253"/>
      <c r="E73" s="1074"/>
      <c r="F73" s="1055"/>
      <c r="G73" s="1055"/>
      <c r="H73" s="1055"/>
      <c r="I73" s="1055"/>
      <c r="J73" s="1055"/>
      <c r="K73" s="1055"/>
      <c r="L73" s="1055"/>
      <c r="M73" s="1055"/>
      <c r="N73" s="1055"/>
      <c r="O73" s="1055"/>
      <c r="P73" s="1055"/>
      <c r="Q73" s="1055"/>
      <c r="R73" s="1055"/>
      <c r="S73" s="1055"/>
      <c r="T73" s="1055"/>
      <c r="U73" s="1055"/>
      <c r="V73" s="1055"/>
      <c r="W73" s="1055"/>
      <c r="X73" s="1055"/>
      <c r="Y73" s="1055"/>
      <c r="Z73" s="1055"/>
      <c r="AA73" s="1055"/>
      <c r="AB73" s="1055"/>
      <c r="AC73" s="1055"/>
      <c r="AD73" s="1055"/>
      <c r="AE73" s="1055"/>
      <c r="AF73" s="1055"/>
      <c r="AG73" s="1055"/>
      <c r="AH73" s="1055"/>
      <c r="AI73" s="1055"/>
      <c r="AJ73" s="1055"/>
      <c r="AK73" s="1055"/>
      <c r="AL73" s="1055"/>
      <c r="AM73" s="1055"/>
      <c r="AN73" s="1055"/>
      <c r="AO73" s="1055"/>
      <c r="AP73" s="1055"/>
      <c r="AQ73" s="1055"/>
      <c r="AR73" s="1055"/>
      <c r="AS73" s="1055"/>
      <c r="AT73" s="1055"/>
      <c r="AU73" s="1055"/>
      <c r="AV73" s="1055"/>
      <c r="AW73" s="1055"/>
      <c r="AX73" s="1055"/>
      <c r="AY73" s="1055"/>
      <c r="AZ73" s="1055"/>
      <c r="BA73" s="1055"/>
      <c r="BB73" s="1055"/>
      <c r="BC73" s="1055"/>
      <c r="BD73" s="1055"/>
      <c r="BE73" s="1055"/>
      <c r="BF73" s="1055"/>
      <c r="BG73" s="1055"/>
      <c r="BH73" s="1055"/>
      <c r="BI73" s="1055"/>
      <c r="BJ73" s="1055"/>
      <c r="BK73" s="1055"/>
      <c r="BL73" s="1055"/>
      <c r="BM73" s="1055"/>
      <c r="BN73" s="1055"/>
      <c r="BO73" s="1055"/>
      <c r="BP73" s="1055"/>
      <c r="BQ73" s="1055"/>
      <c r="BR73" s="1055"/>
      <c r="BS73" s="1055"/>
      <c r="BT73" s="1055"/>
      <c r="BU73" s="1055"/>
      <c r="BV73" s="1057"/>
    </row>
    <row r="74" spans="1:104" s="1053" customFormat="1" x14ac:dyDescent="0.25">
      <c r="A74" s="1058" t="s">
        <v>681</v>
      </c>
      <c r="B74" s="1055"/>
      <c r="C74" s="1056"/>
      <c r="D74" s="1253"/>
      <c r="E74" s="1056"/>
      <c r="F74" s="1055"/>
      <c r="G74" s="1055"/>
      <c r="H74" s="1055"/>
      <c r="I74" s="1055"/>
      <c r="J74" s="1055"/>
      <c r="K74" s="1055"/>
      <c r="L74" s="1055"/>
      <c r="M74" s="1055"/>
      <c r="N74" s="1059">
        <v>11.359373</v>
      </c>
      <c r="O74" s="1059">
        <v>10.802343</v>
      </c>
      <c r="P74" s="1059">
        <v>10.473763999999999</v>
      </c>
      <c r="Q74" s="1059">
        <v>10.501935</v>
      </c>
      <c r="R74" s="1059">
        <v>10.334021999999999</v>
      </c>
      <c r="S74" s="1059">
        <v>10.229792</v>
      </c>
      <c r="T74" s="1059">
        <v>10.748874000000001</v>
      </c>
      <c r="U74" s="1059">
        <v>11.092333999999999</v>
      </c>
      <c r="V74" s="1059">
        <v>11.515472000000001</v>
      </c>
      <c r="W74" s="1059">
        <v>11.774895000000001</v>
      </c>
      <c r="X74" s="1059">
        <v>11.996413</v>
      </c>
      <c r="Y74" s="1059">
        <v>12.209519999999999</v>
      </c>
      <c r="Z74" s="1059">
        <v>12.479982</v>
      </c>
      <c r="AA74" s="1059">
        <v>12.729352</v>
      </c>
      <c r="AB74" s="1059">
        <v>12.853237999999999</v>
      </c>
      <c r="AC74" s="1059">
        <v>13.018173000000001</v>
      </c>
      <c r="AD74" s="1059">
        <v>13.212711000000001</v>
      </c>
      <c r="AE74" s="1059">
        <v>13.366512</v>
      </c>
      <c r="AF74" s="1059">
        <v>13.603230999999999</v>
      </c>
      <c r="AG74" s="1059">
        <v>13.784504</v>
      </c>
      <c r="AH74" s="1059">
        <v>13.991047</v>
      </c>
      <c r="AI74" s="1059">
        <v>14.231726</v>
      </c>
      <c r="AJ74" s="1059">
        <v>14.577776</v>
      </c>
      <c r="AK74" s="1059">
        <v>14.956607999999999</v>
      </c>
      <c r="AL74" s="1059">
        <v>15.347963</v>
      </c>
      <c r="AM74" s="1059">
        <v>15.708157999999999</v>
      </c>
      <c r="AN74" s="1059">
        <v>16.169785000000001</v>
      </c>
      <c r="AO74" s="1059">
        <v>16.471478000000001</v>
      </c>
      <c r="AP74" s="1059">
        <v>16.949921</v>
      </c>
      <c r="AQ74" s="1059">
        <v>17.380462999999999</v>
      </c>
      <c r="AR74" s="1059">
        <v>17.673891000000001</v>
      </c>
      <c r="AS74" s="1055"/>
      <c r="AT74" s="1055"/>
      <c r="AU74" s="1055"/>
      <c r="AV74" s="1055"/>
      <c r="AW74" s="1055"/>
      <c r="AX74" s="1055"/>
      <c r="AY74" s="1055"/>
      <c r="AZ74" s="1055"/>
      <c r="BA74" s="1055"/>
      <c r="BB74" s="1055"/>
      <c r="BC74" s="1055"/>
      <c r="BD74" s="1055"/>
      <c r="BE74" s="1055"/>
      <c r="BF74" s="1055"/>
      <c r="BG74" s="1055"/>
      <c r="BH74" s="1055"/>
      <c r="BI74" s="1055"/>
      <c r="BJ74" s="1055"/>
      <c r="BK74" s="1055"/>
      <c r="BL74" s="1055"/>
      <c r="BM74" s="1055"/>
      <c r="BN74" s="1055"/>
      <c r="BO74" s="1055"/>
      <c r="BP74" s="1055"/>
      <c r="BQ74" s="1055"/>
      <c r="BR74" s="1055"/>
      <c r="BS74" s="1055"/>
      <c r="BT74" s="1055"/>
      <c r="BU74" s="1055"/>
      <c r="BV74" s="1057"/>
    </row>
    <row r="75" spans="1:104" s="1053" customFormat="1" x14ac:dyDescent="0.25">
      <c r="A75" s="1058" t="s">
        <v>1085</v>
      </c>
      <c r="B75" s="1055"/>
      <c r="C75" s="1056"/>
      <c r="D75" s="1253"/>
      <c r="E75" s="1056"/>
      <c r="F75" s="1055"/>
      <c r="G75" s="1055"/>
      <c r="H75" s="1055"/>
      <c r="I75" s="1055"/>
      <c r="J75" s="1055"/>
      <c r="K75" s="1055"/>
      <c r="L75" s="1055"/>
      <c r="M75" s="1055"/>
      <c r="N75" s="1059">
        <v>9.3969749999999994</v>
      </c>
      <c r="O75" s="1059">
        <v>8.8368559999999992</v>
      </c>
      <c r="P75" s="1059">
        <v>8.081448</v>
      </c>
      <c r="Q75" s="1059">
        <v>8.4844790000000003</v>
      </c>
      <c r="R75" s="1059">
        <v>8.3155520000000003</v>
      </c>
      <c r="S75" s="1059">
        <v>8.1773039999999995</v>
      </c>
      <c r="T75" s="1059">
        <v>8.6431299999999993</v>
      </c>
      <c r="U75" s="1059">
        <v>8.9205120000000004</v>
      </c>
      <c r="V75" s="1059">
        <v>9.2811249999999994</v>
      </c>
      <c r="W75" s="1059">
        <v>9.4920469999999995</v>
      </c>
      <c r="X75" s="1059">
        <v>9.6757190000000008</v>
      </c>
      <c r="Y75" s="1059">
        <v>9.8498520000000003</v>
      </c>
      <c r="Z75" s="1059">
        <v>10.083444999999999</v>
      </c>
      <c r="AA75" s="1059">
        <v>10.292596</v>
      </c>
      <c r="AB75" s="1059">
        <v>10.386177</v>
      </c>
      <c r="AC75" s="1059">
        <v>10.522978999999999</v>
      </c>
      <c r="AD75" s="1059">
        <v>10.688981999999999</v>
      </c>
      <c r="AE75" s="1059">
        <v>10.803459999999999</v>
      </c>
      <c r="AF75" s="1059">
        <v>10.994071</v>
      </c>
      <c r="AG75" s="1059">
        <v>11.132752999999999</v>
      </c>
      <c r="AH75" s="1059">
        <v>11.290343</v>
      </c>
      <c r="AI75" s="1059">
        <v>11.483471</v>
      </c>
      <c r="AJ75" s="1059">
        <v>11.774739</v>
      </c>
      <c r="AK75" s="1059">
        <v>12.104623999999999</v>
      </c>
      <c r="AL75" s="1059">
        <v>12.443429</v>
      </c>
      <c r="AM75" s="1059">
        <v>12.746489</v>
      </c>
      <c r="AN75" s="1059">
        <v>13.159888</v>
      </c>
      <c r="AO75" s="1059">
        <v>13.417020000000001</v>
      </c>
      <c r="AP75" s="1059">
        <v>13.853782000000001</v>
      </c>
      <c r="AQ75" s="1059">
        <v>14.239846</v>
      </c>
      <c r="AR75" s="1059">
        <v>14.480893</v>
      </c>
      <c r="AS75" s="1055"/>
      <c r="AT75" s="1055"/>
      <c r="AU75" s="1055"/>
      <c r="AV75" s="1055"/>
      <c r="AW75" s="1055"/>
      <c r="AX75" s="1055"/>
      <c r="AY75" s="1055"/>
      <c r="AZ75" s="1055"/>
      <c r="BA75" s="1055"/>
      <c r="BB75" s="1055"/>
      <c r="BC75" s="1055"/>
      <c r="BD75" s="1055"/>
      <c r="BE75" s="1055"/>
      <c r="BF75" s="1055"/>
      <c r="BG75" s="1055"/>
      <c r="BH75" s="1055"/>
      <c r="BI75" s="1055"/>
      <c r="BJ75" s="1055"/>
      <c r="BK75" s="1055"/>
      <c r="BL75" s="1055"/>
      <c r="BM75" s="1055"/>
      <c r="BN75" s="1055"/>
      <c r="BO75" s="1055"/>
      <c r="BP75" s="1055"/>
      <c r="BQ75" s="1055"/>
      <c r="BR75" s="1055"/>
      <c r="BS75" s="1055"/>
      <c r="BT75" s="1055"/>
      <c r="BU75" s="1055"/>
      <c r="BV75" s="1057"/>
    </row>
    <row r="76" spans="1:104" s="1053" customFormat="1" x14ac:dyDescent="0.25">
      <c r="A76" s="1058" t="s">
        <v>283</v>
      </c>
      <c r="B76" s="1055"/>
      <c r="C76" s="1056"/>
      <c r="D76" s="1253"/>
      <c r="E76" s="1056"/>
      <c r="F76" s="1055"/>
      <c r="G76" s="1055"/>
      <c r="H76" s="1055"/>
      <c r="I76" s="1055"/>
      <c r="J76" s="1055"/>
      <c r="K76" s="1055"/>
      <c r="L76" s="1055"/>
      <c r="M76" s="1055"/>
      <c r="N76" s="1059">
        <v>5.4839570000000002</v>
      </c>
      <c r="O76" s="1059">
        <v>4.8889880000000003</v>
      </c>
      <c r="P76" s="1059">
        <v>3.7668759999999999</v>
      </c>
      <c r="Q76" s="1059">
        <v>4.3500249999999996</v>
      </c>
      <c r="R76" s="1059">
        <v>4.4161510000000002</v>
      </c>
      <c r="S76" s="1059">
        <v>4.4533610000000001</v>
      </c>
      <c r="T76" s="1059">
        <v>4.916512</v>
      </c>
      <c r="U76" s="1059">
        <v>5.1321560000000002</v>
      </c>
      <c r="V76" s="1059">
        <v>5.3872429999999998</v>
      </c>
      <c r="W76" s="1059">
        <v>5.5533659999999996</v>
      </c>
      <c r="X76" s="1059">
        <v>5.6994189999999998</v>
      </c>
      <c r="Y76" s="1059">
        <v>5.84443</v>
      </c>
      <c r="Z76" s="1059">
        <v>6.055364</v>
      </c>
      <c r="AA76" s="1059">
        <v>6.2505249999999997</v>
      </c>
      <c r="AB76" s="1059">
        <v>6.3249610000000001</v>
      </c>
      <c r="AC76" s="1059">
        <v>6.4443630000000001</v>
      </c>
      <c r="AD76" s="1059">
        <v>6.5689469999999996</v>
      </c>
      <c r="AE76" s="1059">
        <v>6.6624569999999999</v>
      </c>
      <c r="AF76" s="1059">
        <v>6.8533949999999999</v>
      </c>
      <c r="AG76" s="1059">
        <v>6.9821</v>
      </c>
      <c r="AH76" s="1059">
        <v>7.1203779999999997</v>
      </c>
      <c r="AI76" s="1059">
        <v>7.3037179999999999</v>
      </c>
      <c r="AJ76" s="1059">
        <v>7.5896039999999996</v>
      </c>
      <c r="AK76" s="1059">
        <v>7.9110909999999999</v>
      </c>
      <c r="AL76" s="1059">
        <v>8.2410040000000002</v>
      </c>
      <c r="AM76" s="1059">
        <v>8.5300290000000007</v>
      </c>
      <c r="AN76" s="1059">
        <v>8.90123</v>
      </c>
      <c r="AO76" s="1059">
        <v>9.1114479999999993</v>
      </c>
      <c r="AP76" s="1059">
        <v>9.4914550000000002</v>
      </c>
      <c r="AQ76" s="1059">
        <v>9.8126739999999995</v>
      </c>
      <c r="AR76" s="1059">
        <v>10.012231</v>
      </c>
      <c r="AS76" s="1055"/>
      <c r="AT76" s="1055"/>
      <c r="AU76" s="1055"/>
      <c r="AV76" s="1055"/>
      <c r="AW76" s="1055"/>
      <c r="AX76" s="1055"/>
      <c r="AY76" s="1055"/>
      <c r="AZ76" s="1055"/>
      <c r="BA76" s="1055"/>
      <c r="BB76" s="1055"/>
      <c r="BC76" s="1055"/>
      <c r="BD76" s="1055"/>
      <c r="BE76" s="1055"/>
      <c r="BF76" s="1055"/>
      <c r="BG76" s="1055"/>
      <c r="BH76" s="1055"/>
      <c r="BI76" s="1055"/>
      <c r="BJ76" s="1055"/>
      <c r="BK76" s="1055"/>
      <c r="BL76" s="1055"/>
      <c r="BM76" s="1055"/>
      <c r="BN76" s="1055"/>
      <c r="BO76" s="1055"/>
      <c r="BP76" s="1055"/>
      <c r="BQ76" s="1055"/>
      <c r="BR76" s="1055"/>
      <c r="BS76" s="1055"/>
      <c r="BT76" s="1055"/>
      <c r="BU76" s="1055"/>
      <c r="BV76" s="1057"/>
    </row>
    <row r="77" spans="1:104" s="1053" customFormat="1" x14ac:dyDescent="0.25">
      <c r="A77" s="1060" t="str">
        <f>'HyARC Physical Property Data'!$A$74</f>
        <v>Electric Utility Natural Gas</v>
      </c>
      <c r="B77" s="1055"/>
      <c r="C77" s="1056"/>
      <c r="D77" s="1253"/>
      <c r="E77" s="1056"/>
      <c r="F77" s="1055"/>
      <c r="G77" s="1055"/>
      <c r="H77" s="1055"/>
      <c r="I77" s="1055"/>
      <c r="J77" s="1055"/>
      <c r="K77" s="1055"/>
      <c r="L77" s="1055"/>
      <c r="M77" s="1055"/>
      <c r="N77" s="1059">
        <v>5.2581660000000001</v>
      </c>
      <c r="O77" s="1059">
        <v>4.7747140000000003</v>
      </c>
      <c r="P77" s="1059">
        <v>3.3280129999999999</v>
      </c>
      <c r="Q77" s="1059">
        <v>3.7262059999999999</v>
      </c>
      <c r="R77" s="1059">
        <v>3.8342619999999998</v>
      </c>
      <c r="S77" s="1059">
        <v>3.9162499999999998</v>
      </c>
      <c r="T77" s="1059">
        <v>4.3469340000000001</v>
      </c>
      <c r="U77" s="1059">
        <v>4.5235139999999996</v>
      </c>
      <c r="V77" s="1059">
        <v>4.7720750000000001</v>
      </c>
      <c r="W77" s="1059">
        <v>4.9304030000000001</v>
      </c>
      <c r="X77" s="1059">
        <v>5.0667330000000002</v>
      </c>
      <c r="Y77" s="1059">
        <v>5.2030240000000001</v>
      </c>
      <c r="Z77" s="1059">
        <v>5.4141339999999998</v>
      </c>
      <c r="AA77" s="1059">
        <v>5.6120320000000001</v>
      </c>
      <c r="AB77" s="1059">
        <v>5.7180549999999997</v>
      </c>
      <c r="AC77" s="1059">
        <v>5.8497880000000002</v>
      </c>
      <c r="AD77" s="1059">
        <v>5.9964360000000001</v>
      </c>
      <c r="AE77" s="1059">
        <v>6.1136410000000003</v>
      </c>
      <c r="AF77" s="1059">
        <v>6.2808900000000003</v>
      </c>
      <c r="AG77" s="1059">
        <v>6.4099190000000004</v>
      </c>
      <c r="AH77" s="1059">
        <v>6.5488220000000004</v>
      </c>
      <c r="AI77" s="1059">
        <v>6.7307620000000004</v>
      </c>
      <c r="AJ77" s="1059">
        <v>7.0166529999999998</v>
      </c>
      <c r="AK77" s="1059">
        <v>7.3227570000000002</v>
      </c>
      <c r="AL77" s="1059">
        <v>7.6342280000000002</v>
      </c>
      <c r="AM77" s="1059">
        <v>7.902755</v>
      </c>
      <c r="AN77" s="1059">
        <v>8.2651950000000003</v>
      </c>
      <c r="AO77" s="1059">
        <v>8.4774010000000004</v>
      </c>
      <c r="AP77" s="1059">
        <v>8.8551400000000005</v>
      </c>
      <c r="AQ77" s="1059">
        <v>9.1715459999999993</v>
      </c>
      <c r="AR77" s="1059">
        <v>9.3359030000000001</v>
      </c>
      <c r="AS77" s="1055"/>
      <c r="AT77" s="1055"/>
      <c r="AU77" s="1055"/>
      <c r="AV77" s="1055"/>
      <c r="AW77" s="1055"/>
      <c r="AX77" s="1055"/>
      <c r="AY77" s="1055"/>
      <c r="AZ77" s="1055"/>
      <c r="BA77" s="1055"/>
      <c r="BB77" s="1055"/>
      <c r="BC77" s="1055"/>
      <c r="BD77" s="1055"/>
      <c r="BE77" s="1055"/>
      <c r="BF77" s="1055"/>
      <c r="BG77" s="1055"/>
      <c r="BH77" s="1055"/>
      <c r="BI77" s="1055"/>
      <c r="BJ77" s="1055"/>
      <c r="BK77" s="1055"/>
      <c r="BL77" s="1055"/>
      <c r="BM77" s="1055"/>
      <c r="BN77" s="1055"/>
      <c r="BO77" s="1055"/>
      <c r="BP77" s="1055"/>
      <c r="BQ77" s="1055"/>
      <c r="BR77" s="1055"/>
      <c r="BS77" s="1055"/>
      <c r="BT77" s="1055"/>
      <c r="BU77" s="1055"/>
      <c r="BV77" s="1057"/>
    </row>
    <row r="78" spans="1:104" s="1053" customFormat="1" x14ac:dyDescent="0.25">
      <c r="A78" s="1060" t="s">
        <v>1081</v>
      </c>
      <c r="B78" s="1055"/>
      <c r="C78" s="1056"/>
      <c r="D78" s="1253"/>
      <c r="E78" s="1056"/>
      <c r="F78" s="1055"/>
      <c r="G78" s="1055"/>
      <c r="H78" s="1055"/>
      <c r="I78" s="1055"/>
      <c r="J78" s="1055"/>
      <c r="K78" s="1055"/>
      <c r="L78" s="1055"/>
      <c r="M78" s="1055"/>
      <c r="N78" s="1059"/>
      <c r="O78" s="1059"/>
      <c r="P78" s="1059"/>
      <c r="Q78" s="1059"/>
      <c r="R78" s="1059"/>
      <c r="S78" s="1059"/>
      <c r="T78" s="1059"/>
      <c r="U78" s="1059"/>
      <c r="V78" s="1059"/>
      <c r="W78" s="1059"/>
      <c r="X78" s="1059"/>
      <c r="Y78" s="1059"/>
      <c r="Z78" s="1059"/>
      <c r="AA78" s="1059"/>
      <c r="AB78" s="1059"/>
      <c r="AC78" s="1059"/>
      <c r="AD78" s="1059"/>
      <c r="AE78" s="1059"/>
      <c r="AF78" s="1059"/>
      <c r="AG78" s="1059"/>
      <c r="AH78" s="1059"/>
      <c r="AI78" s="1059"/>
      <c r="AJ78" s="1059"/>
      <c r="AK78" s="1059"/>
      <c r="AL78" s="1059"/>
      <c r="AM78" s="1059"/>
      <c r="AN78" s="1059"/>
      <c r="AO78" s="1059"/>
      <c r="AP78" s="1059"/>
      <c r="AQ78" s="1059"/>
      <c r="AR78" s="1059"/>
      <c r="AS78" s="1055"/>
      <c r="AT78" s="1055"/>
      <c r="AU78" s="1055"/>
      <c r="AV78" s="1055"/>
      <c r="AW78" s="1055"/>
      <c r="AX78" s="1055"/>
      <c r="AY78" s="1055"/>
      <c r="AZ78" s="1055"/>
      <c r="BA78" s="1055"/>
      <c r="BB78" s="1055"/>
      <c r="BC78" s="1055"/>
      <c r="BD78" s="1055"/>
      <c r="BE78" s="1055"/>
      <c r="BF78" s="1055"/>
      <c r="BG78" s="1055"/>
      <c r="BH78" s="1055"/>
      <c r="BI78" s="1055"/>
      <c r="BJ78" s="1055"/>
      <c r="BK78" s="1055"/>
      <c r="BL78" s="1055"/>
      <c r="BM78" s="1055"/>
      <c r="BN78" s="1055"/>
      <c r="BO78" s="1055"/>
      <c r="BP78" s="1055"/>
      <c r="BQ78" s="1055"/>
      <c r="BR78" s="1055"/>
      <c r="BS78" s="1055"/>
      <c r="BT78" s="1055"/>
      <c r="BU78" s="1055"/>
      <c r="BV78" s="1057"/>
    </row>
    <row r="79" spans="1:104" s="1053" customFormat="1" x14ac:dyDescent="0.25">
      <c r="A79" s="1058" t="s">
        <v>1087</v>
      </c>
      <c r="B79" s="1055"/>
      <c r="C79" s="1056"/>
      <c r="D79" s="1253"/>
      <c r="E79" s="1056"/>
      <c r="F79" s="1055"/>
      <c r="G79" s="1055"/>
      <c r="H79" s="1055"/>
      <c r="I79" s="1055"/>
      <c r="J79" s="1055"/>
      <c r="K79" s="1055"/>
      <c r="L79" s="1055"/>
      <c r="M79" s="1055"/>
      <c r="N79" s="1059">
        <v>2.2979889999999998</v>
      </c>
      <c r="O79" s="1059">
        <v>2.38</v>
      </c>
      <c r="P79" s="1059">
        <v>2.414561</v>
      </c>
      <c r="Q79" s="1059">
        <v>2.3313350000000002</v>
      </c>
      <c r="R79" s="1059">
        <v>2.4666779999999999</v>
      </c>
      <c r="S79" s="1059">
        <v>2.490294</v>
      </c>
      <c r="T79" s="1059">
        <v>2.5700569999999998</v>
      </c>
      <c r="U79" s="1059">
        <v>2.5762320000000001</v>
      </c>
      <c r="V79" s="1059">
        <v>2.594992</v>
      </c>
      <c r="W79" s="1059">
        <v>2.6086049999999998</v>
      </c>
      <c r="X79" s="1059">
        <v>2.6433580000000001</v>
      </c>
      <c r="Y79" s="1059">
        <v>2.6708150000000002</v>
      </c>
      <c r="Z79" s="1059">
        <v>2.7142179999999998</v>
      </c>
      <c r="AA79" s="1059">
        <v>2.74918</v>
      </c>
      <c r="AB79" s="1059">
        <v>2.7884579999999999</v>
      </c>
      <c r="AC79" s="1059">
        <v>2.8318759999999998</v>
      </c>
      <c r="AD79" s="1059">
        <v>2.8692139999999999</v>
      </c>
      <c r="AE79" s="1059">
        <v>2.899435</v>
      </c>
      <c r="AF79" s="1059">
        <v>2.9368029999999998</v>
      </c>
      <c r="AG79" s="1059">
        <v>2.9781219999999999</v>
      </c>
      <c r="AH79" s="1059">
        <v>3.0179510000000001</v>
      </c>
      <c r="AI79" s="1059">
        <v>3.0527350000000002</v>
      </c>
      <c r="AJ79" s="1059">
        <v>3.090319</v>
      </c>
      <c r="AK79" s="1059">
        <v>3.1298509999999999</v>
      </c>
      <c r="AL79" s="1059">
        <v>3.1705510000000001</v>
      </c>
      <c r="AM79" s="1059">
        <v>3.2163840000000001</v>
      </c>
      <c r="AN79" s="1059">
        <v>3.2516949999999998</v>
      </c>
      <c r="AO79" s="1059">
        <v>3.2783180000000001</v>
      </c>
      <c r="AP79" s="1059">
        <v>3.3114089999999998</v>
      </c>
      <c r="AQ79" s="1059">
        <v>3.3562150000000002</v>
      </c>
      <c r="AR79" s="1059">
        <v>3.398895</v>
      </c>
      <c r="AS79" s="1055"/>
      <c r="AT79" s="1055"/>
      <c r="AU79" s="1055"/>
      <c r="AV79" s="1055"/>
      <c r="AW79" s="1055"/>
      <c r="AX79" s="1055"/>
      <c r="AY79" s="1055"/>
      <c r="AZ79" s="1055"/>
      <c r="BA79" s="1055"/>
      <c r="BB79" s="1055"/>
      <c r="BC79" s="1055"/>
      <c r="BD79" s="1055"/>
      <c r="BE79" s="1055"/>
      <c r="BF79" s="1055"/>
      <c r="BG79" s="1055"/>
      <c r="BH79" s="1055"/>
      <c r="BI79" s="1055"/>
      <c r="BJ79" s="1055"/>
      <c r="BK79" s="1055"/>
      <c r="BL79" s="1055"/>
      <c r="BM79" s="1055"/>
      <c r="BN79" s="1055"/>
      <c r="BO79" s="1055"/>
      <c r="BP79" s="1055"/>
      <c r="BQ79" s="1055"/>
      <c r="BR79" s="1055"/>
      <c r="BS79" s="1055"/>
      <c r="BT79" s="1055"/>
      <c r="BU79" s="1055"/>
      <c r="BV79" s="1057"/>
    </row>
    <row r="80" spans="1:104" s="1053" customFormat="1" x14ac:dyDescent="0.25">
      <c r="A80" s="1058" t="s">
        <v>683</v>
      </c>
      <c r="B80" s="1055"/>
      <c r="C80" s="1056"/>
      <c r="D80" s="1253"/>
      <c r="E80" s="1056"/>
      <c r="F80" s="1055"/>
      <c r="G80" s="1055"/>
      <c r="H80" s="1055"/>
      <c r="I80" s="1055"/>
      <c r="J80" s="1055"/>
      <c r="K80" s="1055"/>
      <c r="L80" s="1055"/>
      <c r="M80" s="1055"/>
      <c r="N80" s="1059">
        <v>30.492578999999999</v>
      </c>
      <c r="O80" s="1059">
        <v>29.980651999999999</v>
      </c>
      <c r="P80" s="1059">
        <v>28.501187999999999</v>
      </c>
      <c r="Q80" s="1059">
        <v>27.791989999999998</v>
      </c>
      <c r="R80" s="1059">
        <v>28.177313000000002</v>
      </c>
      <c r="S80" s="1059">
        <v>28.139455999999999</v>
      </c>
      <c r="T80" s="1059">
        <v>28.689319999999999</v>
      </c>
      <c r="U80" s="1059">
        <v>29.024557000000001</v>
      </c>
      <c r="V80" s="1059">
        <v>29.108899999999998</v>
      </c>
      <c r="W80" s="1059">
        <v>28.975003999999998</v>
      </c>
      <c r="X80" s="1059">
        <v>29.041111000000001</v>
      </c>
      <c r="Y80" s="1059">
        <v>29.162209000000001</v>
      </c>
      <c r="Z80" s="1059">
        <v>29.247681</v>
      </c>
      <c r="AA80" s="1059">
        <v>29.196009</v>
      </c>
      <c r="AB80" s="1059">
        <v>29.115604000000001</v>
      </c>
      <c r="AC80" s="1059">
        <v>29.201962000000002</v>
      </c>
      <c r="AD80" s="1059">
        <v>29.178121999999998</v>
      </c>
      <c r="AE80" s="1059">
        <v>29.212776000000002</v>
      </c>
      <c r="AF80" s="1059">
        <v>29.214404999999999</v>
      </c>
      <c r="AG80" s="1059">
        <v>29.344874999999998</v>
      </c>
      <c r="AH80" s="1059">
        <v>29.550170999999999</v>
      </c>
      <c r="AI80" s="1059">
        <v>29.794819</v>
      </c>
      <c r="AJ80" s="1059">
        <v>29.957190000000001</v>
      </c>
      <c r="AK80" s="1059">
        <v>30.275618000000001</v>
      </c>
      <c r="AL80" s="1059">
        <v>30.801399</v>
      </c>
      <c r="AM80" s="1059">
        <v>31.291125999999998</v>
      </c>
      <c r="AN80" s="1059">
        <v>31.806963</v>
      </c>
      <c r="AO80" s="1059">
        <v>32.268535999999997</v>
      </c>
      <c r="AP80" s="1059">
        <v>32.667476999999998</v>
      </c>
      <c r="AQ80" s="1059">
        <v>33.223427000000001</v>
      </c>
      <c r="AR80" s="1059">
        <v>33.577624999999998</v>
      </c>
      <c r="AS80" s="1055"/>
      <c r="AT80" s="1055"/>
      <c r="AU80" s="1055"/>
      <c r="AV80" s="1055"/>
      <c r="AW80" s="1055"/>
      <c r="AX80" s="1055"/>
      <c r="AY80" s="1055"/>
      <c r="AZ80" s="1055"/>
      <c r="BA80" s="1055"/>
      <c r="BB80" s="1055"/>
      <c r="BC80" s="1055"/>
      <c r="BD80" s="1055"/>
      <c r="BE80" s="1055"/>
      <c r="BF80" s="1055"/>
      <c r="BG80" s="1055"/>
      <c r="BH80" s="1055"/>
      <c r="BI80" s="1055"/>
      <c r="BJ80" s="1055"/>
      <c r="BK80" s="1055"/>
      <c r="BL80" s="1055"/>
      <c r="BM80" s="1055"/>
      <c r="BN80" s="1055"/>
      <c r="BO80" s="1055"/>
      <c r="BP80" s="1055"/>
      <c r="BQ80" s="1055"/>
      <c r="BR80" s="1055"/>
      <c r="BS80" s="1055"/>
      <c r="BT80" s="1055"/>
      <c r="BU80" s="1055"/>
      <c r="BV80" s="1057"/>
    </row>
    <row r="81" spans="1:104" s="1053" customFormat="1" x14ac:dyDescent="0.25">
      <c r="A81" s="1058" t="s">
        <v>698</v>
      </c>
      <c r="B81" s="1055"/>
      <c r="C81" s="1056"/>
      <c r="D81" s="1253"/>
      <c r="E81" s="1056"/>
      <c r="F81" s="1055"/>
      <c r="G81" s="1055"/>
      <c r="H81" s="1055"/>
      <c r="I81" s="1055"/>
      <c r="J81" s="1055"/>
      <c r="K81" s="1055"/>
      <c r="L81" s="1055"/>
      <c r="M81" s="1055"/>
      <c r="N81" s="1059">
        <v>20.260445000000001</v>
      </c>
      <c r="O81" s="1059">
        <v>19.975721</v>
      </c>
      <c r="P81" s="1059">
        <v>18.454588000000001</v>
      </c>
      <c r="Q81" s="1059">
        <v>18.157667</v>
      </c>
      <c r="R81" s="1059">
        <v>18.271274999999999</v>
      </c>
      <c r="S81" s="1059">
        <v>18.191776000000001</v>
      </c>
      <c r="T81" s="1059">
        <v>18.703628999999999</v>
      </c>
      <c r="U81" s="1059">
        <v>19.002967999999999</v>
      </c>
      <c r="V81" s="1059">
        <v>19.096264000000001</v>
      </c>
      <c r="W81" s="1059">
        <v>19.050228000000001</v>
      </c>
      <c r="X81" s="1059">
        <v>19.095860999999999</v>
      </c>
      <c r="Y81" s="1059">
        <v>19.252116999999998</v>
      </c>
      <c r="Z81" s="1059">
        <v>19.422526999999999</v>
      </c>
      <c r="AA81" s="1059">
        <v>19.539289</v>
      </c>
      <c r="AB81" s="1059">
        <v>19.565339999999999</v>
      </c>
      <c r="AC81" s="1059">
        <v>19.722131999999998</v>
      </c>
      <c r="AD81" s="1059">
        <v>19.810991000000001</v>
      </c>
      <c r="AE81" s="1059">
        <v>19.943812999999999</v>
      </c>
      <c r="AF81" s="1059">
        <v>20.046423000000001</v>
      </c>
      <c r="AG81" s="1059">
        <v>20.238405</v>
      </c>
      <c r="AH81" s="1059">
        <v>20.421748999999998</v>
      </c>
      <c r="AI81" s="1059">
        <v>20.607520999999998</v>
      </c>
      <c r="AJ81" s="1059">
        <v>20.839410999999998</v>
      </c>
      <c r="AK81" s="1059">
        <v>21.176966</v>
      </c>
      <c r="AL81" s="1059">
        <v>21.628757</v>
      </c>
      <c r="AM81" s="1059">
        <v>22.108962999999999</v>
      </c>
      <c r="AN81" s="1059">
        <v>22.567038</v>
      </c>
      <c r="AO81" s="1059">
        <v>22.990486000000001</v>
      </c>
      <c r="AP81" s="1059">
        <v>23.379736000000001</v>
      </c>
      <c r="AQ81" s="1059">
        <v>23.871493999999998</v>
      </c>
      <c r="AR81" s="1059">
        <v>24.167221000000001</v>
      </c>
      <c r="AS81" s="1055"/>
      <c r="AT81" s="1055"/>
      <c r="AU81" s="1055"/>
      <c r="AV81" s="1055"/>
      <c r="AW81" s="1055"/>
      <c r="AX81" s="1055"/>
      <c r="AY81" s="1055"/>
      <c r="AZ81" s="1055"/>
      <c r="BA81" s="1055"/>
      <c r="BB81" s="1055"/>
      <c r="BC81" s="1055"/>
      <c r="BD81" s="1055"/>
      <c r="BE81" s="1055"/>
      <c r="BF81" s="1055"/>
      <c r="BG81" s="1055"/>
      <c r="BH81" s="1055"/>
      <c r="BI81" s="1055"/>
      <c r="BJ81" s="1055"/>
      <c r="BK81" s="1055"/>
      <c r="BL81" s="1055"/>
      <c r="BM81" s="1055"/>
      <c r="BN81" s="1055"/>
      <c r="BO81" s="1055"/>
      <c r="BP81" s="1055"/>
      <c r="BQ81" s="1055"/>
      <c r="BR81" s="1055"/>
      <c r="BS81" s="1055"/>
      <c r="BT81" s="1055"/>
      <c r="BU81" s="1055"/>
      <c r="BV81" s="1057"/>
    </row>
    <row r="82" spans="1:104" s="1053" customFormat="1" ht="13" thickBot="1" x14ac:dyDescent="0.3">
      <c r="A82" s="1062" t="s">
        <v>684</v>
      </c>
      <c r="B82" s="1063"/>
      <c r="C82" s="1064"/>
      <c r="D82" s="1254"/>
      <c r="E82" s="1064"/>
      <c r="F82" s="1063"/>
      <c r="G82" s="1063"/>
      <c r="H82" s="1063"/>
      <c r="I82" s="1063"/>
      <c r="J82" s="1063"/>
      <c r="K82" s="1063"/>
      <c r="L82" s="1063"/>
      <c r="M82" s="1063"/>
      <c r="N82" s="1065">
        <v>34.522823000000002</v>
      </c>
      <c r="O82" s="1065">
        <v>34.335875999999999</v>
      </c>
      <c r="P82" s="1065">
        <v>33.292259000000001</v>
      </c>
      <c r="Q82" s="1065">
        <v>32.561348000000002</v>
      </c>
      <c r="R82" s="1065">
        <v>33.352730000000001</v>
      </c>
      <c r="S82" s="1065">
        <v>33.489016999999997</v>
      </c>
      <c r="T82" s="1065">
        <v>34.046703000000001</v>
      </c>
      <c r="U82" s="1065">
        <v>34.326427000000002</v>
      </c>
      <c r="V82" s="1065">
        <v>34.303291000000002</v>
      </c>
      <c r="W82" s="1065">
        <v>34.076405000000001</v>
      </c>
      <c r="X82" s="1065">
        <v>34.105117999999997</v>
      </c>
      <c r="Y82" s="1065">
        <v>34.184669</v>
      </c>
      <c r="Z82" s="1065">
        <v>34.290134000000002</v>
      </c>
      <c r="AA82" s="1065">
        <v>34.319408000000003</v>
      </c>
      <c r="AB82" s="1065">
        <v>34.416462000000003</v>
      </c>
      <c r="AC82" s="1065">
        <v>34.726405999999997</v>
      </c>
      <c r="AD82" s="1065">
        <v>34.904162999999997</v>
      </c>
      <c r="AE82" s="1065">
        <v>35.063048999999999</v>
      </c>
      <c r="AF82" s="1065">
        <v>35.177726999999997</v>
      </c>
      <c r="AG82" s="1065">
        <v>35.337353</v>
      </c>
      <c r="AH82" s="1065">
        <v>35.506706000000001</v>
      </c>
      <c r="AI82" s="1065">
        <v>35.725586</v>
      </c>
      <c r="AJ82" s="1065">
        <v>35.884253999999999</v>
      </c>
      <c r="AK82" s="1065">
        <v>36.154865000000001</v>
      </c>
      <c r="AL82" s="1065">
        <v>36.608756999999997</v>
      </c>
      <c r="AM82" s="1065">
        <v>37.082008000000002</v>
      </c>
      <c r="AN82" s="1065">
        <v>37.502094</v>
      </c>
      <c r="AO82" s="1065">
        <v>37.842292999999998</v>
      </c>
      <c r="AP82" s="1065">
        <v>38.16151</v>
      </c>
      <c r="AQ82" s="1065">
        <v>38.618450000000003</v>
      </c>
      <c r="AR82" s="1065">
        <v>38.850749999999998</v>
      </c>
      <c r="AS82" s="1063"/>
      <c r="AT82" s="1063"/>
      <c r="AU82" s="1063"/>
      <c r="AV82" s="1063"/>
      <c r="AW82" s="1063"/>
      <c r="AX82" s="1063"/>
      <c r="AY82" s="1063"/>
      <c r="AZ82" s="1063"/>
      <c r="BA82" s="1063"/>
      <c r="BB82" s="1063"/>
      <c r="BC82" s="1063"/>
      <c r="BD82" s="1063"/>
      <c r="BE82" s="1063"/>
      <c r="BF82" s="1063"/>
      <c r="BG82" s="1063"/>
      <c r="BH82" s="1063"/>
      <c r="BI82" s="1063"/>
      <c r="BJ82" s="1063"/>
      <c r="BK82" s="1063"/>
      <c r="BL82" s="1063"/>
      <c r="BM82" s="1063"/>
      <c r="BN82" s="1063"/>
      <c r="BO82" s="1063"/>
      <c r="BP82" s="1063"/>
      <c r="BQ82" s="1063"/>
      <c r="BR82" s="1063"/>
      <c r="BS82" s="1063"/>
      <c r="BT82" s="1063"/>
      <c r="BU82" s="1063"/>
      <c r="BV82" s="1066"/>
    </row>
    <row r="83" spans="1:104" x14ac:dyDescent="0.25">
      <c r="D83" s="1096"/>
      <c r="E83" s="975"/>
    </row>
    <row r="84" spans="1:104" x14ac:dyDescent="0.25">
      <c r="D84" s="1096"/>
    </row>
    <row r="85" spans="1:104" ht="13" thickBot="1" x14ac:dyDescent="0.3">
      <c r="D85" s="1096"/>
    </row>
    <row r="86" spans="1:104" ht="13.5" thickTop="1" x14ac:dyDescent="0.3">
      <c r="A86" s="867" t="s">
        <v>1107</v>
      </c>
      <c r="B86" s="868" t="str">
        <f>"Prices are in $(" &amp; ref_year&amp;")/GJ LHV"</f>
        <v>Prices are in $(2016)/GJ LHV</v>
      </c>
      <c r="C86" s="868"/>
      <c r="D86" s="1255"/>
      <c r="E86" s="868"/>
      <c r="F86" s="869"/>
      <c r="G86" s="869"/>
      <c r="H86" s="869"/>
      <c r="I86" s="869"/>
      <c r="J86" s="869"/>
      <c r="K86" s="869"/>
      <c r="L86" s="869"/>
      <c r="M86" s="869"/>
      <c r="N86" s="869"/>
      <c r="O86" s="869"/>
      <c r="P86" s="869"/>
      <c r="Q86" s="869"/>
      <c r="R86" s="869"/>
      <c r="S86" s="869"/>
      <c r="T86" s="869"/>
      <c r="U86" s="869"/>
      <c r="V86" s="869"/>
      <c r="W86" s="869"/>
      <c r="X86" s="869"/>
      <c r="Y86" s="869"/>
      <c r="Z86" s="869"/>
      <c r="AA86" s="869"/>
      <c r="AB86" s="869"/>
      <c r="AC86" s="869"/>
      <c r="AD86" s="869"/>
      <c r="AE86" s="869"/>
      <c r="AF86" s="869"/>
      <c r="AG86" s="869"/>
      <c r="AH86" s="869"/>
      <c r="AI86" s="869"/>
      <c r="AJ86" s="869"/>
      <c r="AK86" s="869"/>
      <c r="AL86" s="869"/>
      <c r="AM86" s="869"/>
      <c r="AN86" s="869"/>
      <c r="AO86" s="869"/>
      <c r="AP86" s="869"/>
      <c r="AQ86" s="869"/>
      <c r="AR86" s="869"/>
      <c r="AS86" s="882" t="s">
        <v>772</v>
      </c>
      <c r="AT86" s="883"/>
      <c r="AU86" s="883"/>
      <c r="AV86" s="883"/>
      <c r="AW86" s="883"/>
      <c r="AX86" s="883"/>
      <c r="AY86" s="883"/>
      <c r="AZ86" s="883"/>
      <c r="BA86" s="883"/>
      <c r="BB86" s="883"/>
      <c r="BC86" s="883"/>
      <c r="BD86" s="883"/>
      <c r="BE86" s="883"/>
      <c r="BF86" s="883"/>
      <c r="BG86" s="883"/>
      <c r="BH86" s="883"/>
      <c r="BI86" s="883"/>
      <c r="BJ86" s="883"/>
      <c r="BK86" s="883"/>
      <c r="BL86" s="883"/>
      <c r="BM86" s="883"/>
      <c r="BN86" s="883"/>
      <c r="BO86" s="883"/>
      <c r="BP86" s="883"/>
      <c r="BQ86" s="883"/>
      <c r="BR86" s="883"/>
      <c r="BS86" s="883"/>
      <c r="BT86" s="883"/>
      <c r="BU86" s="883"/>
      <c r="BV86" s="884"/>
    </row>
    <row r="87" spans="1:104" ht="39.5" thickBot="1" x14ac:dyDescent="0.35">
      <c r="A87" s="1122" t="s">
        <v>1084</v>
      </c>
      <c r="B87" s="1123" t="s">
        <v>678</v>
      </c>
      <c r="C87" s="1123" t="s">
        <v>679</v>
      </c>
      <c r="D87" s="1256" t="s">
        <v>690</v>
      </c>
      <c r="E87" s="1123" t="s">
        <v>691</v>
      </c>
      <c r="F87" s="1124" t="s">
        <v>680</v>
      </c>
      <c r="G87" s="1124" t="s">
        <v>692</v>
      </c>
      <c r="H87" s="889">
        <v>2004</v>
      </c>
      <c r="I87" s="889">
        <v>2005</v>
      </c>
      <c r="J87" s="889">
        <v>2006</v>
      </c>
      <c r="K87" s="889">
        <v>2007</v>
      </c>
      <c r="L87" s="889">
        <v>2008</v>
      </c>
      <c r="M87" s="889">
        <v>2009</v>
      </c>
      <c r="N87" s="889">
        <v>2010</v>
      </c>
      <c r="O87" s="889">
        <v>2011</v>
      </c>
      <c r="P87" s="889">
        <v>2012</v>
      </c>
      <c r="Q87" s="889">
        <v>2013</v>
      </c>
      <c r="R87" s="889">
        <v>2014</v>
      </c>
      <c r="S87" s="889">
        <v>2015</v>
      </c>
      <c r="T87" s="889">
        <v>2016</v>
      </c>
      <c r="U87" s="889">
        <v>2017</v>
      </c>
      <c r="V87" s="889">
        <v>2018</v>
      </c>
      <c r="W87" s="889">
        <v>2019</v>
      </c>
      <c r="X87" s="889">
        <v>2020</v>
      </c>
      <c r="Y87" s="889">
        <v>2021</v>
      </c>
      <c r="Z87" s="889">
        <v>2022</v>
      </c>
      <c r="AA87" s="889">
        <v>2023</v>
      </c>
      <c r="AB87" s="889">
        <v>2024</v>
      </c>
      <c r="AC87" s="889">
        <v>2025</v>
      </c>
      <c r="AD87" s="889">
        <v>2026</v>
      </c>
      <c r="AE87" s="889">
        <v>2027</v>
      </c>
      <c r="AF87" s="889">
        <v>2028</v>
      </c>
      <c r="AG87" s="889">
        <v>2029</v>
      </c>
      <c r="AH87" s="889">
        <v>2030</v>
      </c>
      <c r="AI87" s="889">
        <v>2031</v>
      </c>
      <c r="AJ87" s="889">
        <v>2032</v>
      </c>
      <c r="AK87" s="889">
        <v>2033</v>
      </c>
      <c r="AL87" s="889">
        <v>2034</v>
      </c>
      <c r="AM87" s="889">
        <v>2035</v>
      </c>
      <c r="AN87" s="889">
        <v>2036</v>
      </c>
      <c r="AO87" s="889">
        <v>2037</v>
      </c>
      <c r="AP87" s="889">
        <v>2038</v>
      </c>
      <c r="AQ87" s="889">
        <v>2039</v>
      </c>
      <c r="AR87" s="889">
        <v>2040</v>
      </c>
      <c r="AS87" s="889">
        <v>2041</v>
      </c>
      <c r="AT87" s="889">
        <v>2042</v>
      </c>
      <c r="AU87" s="889">
        <v>2043</v>
      </c>
      <c r="AV87" s="889">
        <v>2044</v>
      </c>
      <c r="AW87" s="889">
        <v>2045</v>
      </c>
      <c r="AX87" s="889">
        <v>2046</v>
      </c>
      <c r="AY87" s="889">
        <v>2047</v>
      </c>
      <c r="AZ87" s="889">
        <v>2048</v>
      </c>
      <c r="BA87" s="889">
        <v>2049</v>
      </c>
      <c r="BB87" s="889">
        <v>2050</v>
      </c>
      <c r="BC87" s="889">
        <v>2051</v>
      </c>
      <c r="BD87" s="889">
        <v>2052</v>
      </c>
      <c r="BE87" s="889">
        <v>2053</v>
      </c>
      <c r="BF87" s="889">
        <v>2054</v>
      </c>
      <c r="BG87" s="889">
        <v>2055</v>
      </c>
      <c r="BH87" s="889">
        <v>2056</v>
      </c>
      <c r="BI87" s="889">
        <v>2057</v>
      </c>
      <c r="BJ87" s="889">
        <v>2058</v>
      </c>
      <c r="BK87" s="889">
        <v>2059</v>
      </c>
      <c r="BL87" s="889">
        <v>2060</v>
      </c>
      <c r="BM87" s="889">
        <v>2061</v>
      </c>
      <c r="BN87" s="889">
        <v>2062</v>
      </c>
      <c r="BO87" s="889">
        <v>2063</v>
      </c>
      <c r="BP87" s="889">
        <v>2064</v>
      </c>
      <c r="BQ87" s="889">
        <v>2065</v>
      </c>
      <c r="BR87" s="889">
        <v>2066</v>
      </c>
      <c r="BS87" s="889">
        <v>2067</v>
      </c>
      <c r="BT87" s="889">
        <v>2068</v>
      </c>
      <c r="BU87" s="889">
        <v>2069</v>
      </c>
      <c r="BV87" s="890">
        <v>2070</v>
      </c>
      <c r="BW87" s="1399">
        <f t="shared" ref="BW87" si="191">+BV87+1</f>
        <v>2071</v>
      </c>
      <c r="BX87" s="1399">
        <f t="shared" ref="BX87" si="192">+BW87+1</f>
        <v>2072</v>
      </c>
      <c r="BY87" s="1399">
        <f t="shared" ref="BY87" si="193">+BX87+1</f>
        <v>2073</v>
      </c>
      <c r="BZ87" s="1399">
        <f t="shared" ref="BZ87" si="194">+BY87+1</f>
        <v>2074</v>
      </c>
      <c r="CA87" s="1399">
        <f t="shared" ref="CA87" si="195">+BZ87+1</f>
        <v>2075</v>
      </c>
      <c r="CB87" s="1399">
        <f t="shared" ref="CB87" si="196">+CA87+1</f>
        <v>2076</v>
      </c>
      <c r="CC87" s="1399">
        <f t="shared" ref="CC87" si="197">+CB87+1</f>
        <v>2077</v>
      </c>
      <c r="CD87" s="1399">
        <f t="shared" ref="CD87" si="198">+CC87+1</f>
        <v>2078</v>
      </c>
      <c r="CE87" s="1399">
        <f t="shared" ref="CE87" si="199">+CD87+1</f>
        <v>2079</v>
      </c>
      <c r="CF87" s="1399">
        <f t="shared" ref="CF87" si="200">+CE87+1</f>
        <v>2080</v>
      </c>
      <c r="CG87" s="1399">
        <f t="shared" ref="CG87" si="201">+CF87+1</f>
        <v>2081</v>
      </c>
      <c r="CH87" s="1399">
        <f t="shared" ref="CH87" si="202">+CG87+1</f>
        <v>2082</v>
      </c>
      <c r="CI87" s="1399">
        <f t="shared" ref="CI87" si="203">+CH87+1</f>
        <v>2083</v>
      </c>
      <c r="CJ87" s="1399">
        <f t="shared" ref="CJ87" si="204">+CI87+1</f>
        <v>2084</v>
      </c>
      <c r="CK87" s="1399">
        <f t="shared" ref="CK87" si="205">+CJ87+1</f>
        <v>2085</v>
      </c>
      <c r="CL87" s="1399">
        <f t="shared" ref="CL87" si="206">+CK87+1</f>
        <v>2086</v>
      </c>
      <c r="CM87" s="1399">
        <f t="shared" ref="CM87" si="207">+CL87+1</f>
        <v>2087</v>
      </c>
      <c r="CN87" s="1399">
        <f t="shared" ref="CN87" si="208">+CM87+1</f>
        <v>2088</v>
      </c>
      <c r="CO87" s="1399">
        <f t="shared" ref="CO87" si="209">+CN87+1</f>
        <v>2089</v>
      </c>
      <c r="CP87" s="1399">
        <f t="shared" ref="CP87" si="210">+CO87+1</f>
        <v>2090</v>
      </c>
      <c r="CQ87" s="1399">
        <f t="shared" ref="CQ87" si="211">+CP87+1</f>
        <v>2091</v>
      </c>
      <c r="CR87" s="1399">
        <f t="shared" ref="CR87" si="212">+CQ87+1</f>
        <v>2092</v>
      </c>
      <c r="CS87" s="1399">
        <f t="shared" ref="CS87" si="213">+CR87+1</f>
        <v>2093</v>
      </c>
      <c r="CT87" s="1399">
        <f t="shared" ref="CT87" si="214">+CS87+1</f>
        <v>2094</v>
      </c>
      <c r="CU87" s="1399">
        <f t="shared" ref="CU87" si="215">+CT87+1</f>
        <v>2095</v>
      </c>
      <c r="CV87" s="1399">
        <f t="shared" ref="CV87" si="216">+CU87+1</f>
        <v>2096</v>
      </c>
      <c r="CW87" s="1399">
        <f t="shared" ref="CW87" si="217">+CV87+1</f>
        <v>2097</v>
      </c>
      <c r="CX87" s="1399">
        <f t="shared" ref="CX87" si="218">+CW87+1</f>
        <v>2098</v>
      </c>
      <c r="CY87" s="1399">
        <f t="shared" ref="CY87" si="219">+CX87+1</f>
        <v>2099</v>
      </c>
      <c r="CZ87" s="1399">
        <f t="shared" ref="CZ87" si="220">+CY87+1</f>
        <v>2100</v>
      </c>
    </row>
    <row r="88" spans="1:104" ht="13" thickBot="1" x14ac:dyDescent="0.3">
      <c r="A88" s="870" t="s">
        <v>1090</v>
      </c>
      <c r="B88" s="871"/>
      <c r="C88" s="871"/>
      <c r="D88" s="1257"/>
      <c r="E88" s="871"/>
      <c r="F88" s="871"/>
      <c r="G88" s="871"/>
      <c r="H88" s="959"/>
      <c r="I88" s="959"/>
      <c r="J88" s="959"/>
      <c r="K88" s="959"/>
      <c r="L88" s="959"/>
      <c r="M88" s="959"/>
      <c r="N88" s="959"/>
      <c r="O88" s="959"/>
      <c r="P88" s="959"/>
      <c r="Q88" s="959"/>
      <c r="R88" s="959"/>
      <c r="S88" s="959"/>
      <c r="T88" s="959"/>
      <c r="U88" s="959"/>
      <c r="V88" s="959"/>
      <c r="W88" s="959"/>
      <c r="X88" s="959"/>
      <c r="Y88" s="959"/>
      <c r="Z88" s="959"/>
      <c r="AA88" s="959"/>
      <c r="AB88" s="959"/>
      <c r="AC88" s="959"/>
      <c r="AD88" s="959"/>
      <c r="AE88" s="959"/>
      <c r="AF88" s="959"/>
      <c r="AG88" s="959"/>
      <c r="AH88" s="959"/>
      <c r="AI88" s="959"/>
      <c r="AJ88" s="959"/>
      <c r="AK88" s="959"/>
      <c r="AL88" s="959"/>
      <c r="AM88" s="959"/>
      <c r="AN88" s="959"/>
      <c r="AO88" s="959"/>
      <c r="AP88" s="959"/>
      <c r="AQ88" s="959"/>
      <c r="AR88" s="959"/>
      <c r="AS88" s="959"/>
      <c r="AT88" s="959"/>
      <c r="AU88" s="959"/>
      <c r="AV88" s="959"/>
      <c r="AW88" s="959"/>
      <c r="AX88" s="959"/>
      <c r="AY88" s="959"/>
      <c r="AZ88" s="959"/>
      <c r="BA88" s="959"/>
      <c r="BC88" s="959"/>
      <c r="BD88" s="959"/>
      <c r="BE88" s="959"/>
      <c r="BF88" s="959"/>
      <c r="BG88" s="959"/>
      <c r="BH88" s="959"/>
      <c r="BI88" s="959"/>
      <c r="BJ88" s="959"/>
      <c r="BK88" s="959"/>
      <c r="BL88" s="959"/>
      <c r="BM88" s="959"/>
      <c r="BN88" s="959"/>
      <c r="BO88" s="959"/>
      <c r="BP88" s="959"/>
      <c r="BR88" s="959"/>
      <c r="BS88" s="959"/>
      <c r="BT88" s="959"/>
      <c r="BU88" s="959"/>
    </row>
    <row r="89" spans="1:104" ht="13" x14ac:dyDescent="0.3">
      <c r="A89" s="873" t="str">
        <f>'HyARC Physical Property Data'!A73</f>
        <v>Residential Natural Gas</v>
      </c>
      <c r="B89" s="260">
        <v>2012</v>
      </c>
      <c r="C89" s="874">
        <f t="shared" ref="C89:C100" si="221">VLOOKUP(ref_year,DeflatorTable,2,FALSE)/VLOOKUP(B89,DeflatorTable,2,FALSE)</f>
        <v>1.0589185747008452</v>
      </c>
      <c r="D89" s="1258" t="str">
        <f>'HyARC Physical Property Data'!H73</f>
        <v>mmBtu</v>
      </c>
      <c r="E89" s="874" t="s">
        <v>1058</v>
      </c>
      <c r="F89" s="260">
        <f>'HyARC Physical Property Data'!$E$6</f>
        <v>47.141269049911173</v>
      </c>
      <c r="G89" s="260">
        <f>'HyARC Physical Property Data'!$I$6</f>
        <v>52.224661236371581</v>
      </c>
      <c r="H89" s="1068">
        <v>12.595706345448797</v>
      </c>
      <c r="I89" s="1068">
        <v>12.595706345448797</v>
      </c>
      <c r="J89" s="1068">
        <v>12.595706345448797</v>
      </c>
      <c r="K89" s="1068">
        <v>12.595706345448797</v>
      </c>
      <c r="L89" s="1068">
        <v>13.121338604068761</v>
      </c>
      <c r="M89" s="1068">
        <v>11.086947084595193</v>
      </c>
      <c r="N89" s="1068">
        <v>10.600250548835966</v>
      </c>
      <c r="O89" s="959">
        <f t="shared" ref="O89:AR89" si="222">O106*($C89/mmBTU_to_GJ*$G89/$F89)</f>
        <v>12.2087929242581</v>
      </c>
      <c r="P89" s="959">
        <f t="shared" si="222"/>
        <v>11.62926676611875</v>
      </c>
      <c r="Q89" s="959">
        <f t="shared" si="222"/>
        <v>11.549569006878718</v>
      </c>
      <c r="R89" s="959">
        <f t="shared" si="222"/>
        <v>12.451077492669647</v>
      </c>
      <c r="S89" s="959">
        <f t="shared" si="222"/>
        <v>12.228661210695314</v>
      </c>
      <c r="T89" s="959">
        <f t="shared" si="222"/>
        <v>11.880721569489316</v>
      </c>
      <c r="U89" s="959">
        <f t="shared" si="222"/>
        <v>12.243181027367417</v>
      </c>
      <c r="V89" s="959">
        <f t="shared" si="222"/>
        <v>12.738447103720736</v>
      </c>
      <c r="W89" s="959">
        <f t="shared" si="222"/>
        <v>12.928721417497503</v>
      </c>
      <c r="X89" s="959">
        <f t="shared" si="222"/>
        <v>12.889662020940529</v>
      </c>
      <c r="Y89" s="959">
        <f t="shared" si="222"/>
        <v>13.126157788188424</v>
      </c>
      <c r="Z89" s="959">
        <f t="shared" si="222"/>
        <v>13.227924378910403</v>
      </c>
      <c r="AA89" s="959">
        <f t="shared" si="222"/>
        <v>13.406700038666168</v>
      </c>
      <c r="AB89" s="959">
        <f t="shared" si="222"/>
        <v>13.682684414389822</v>
      </c>
      <c r="AC89" s="959">
        <f t="shared" si="222"/>
        <v>13.872072505629625</v>
      </c>
      <c r="AD89" s="959">
        <f t="shared" si="222"/>
        <v>13.98822325537062</v>
      </c>
      <c r="AE89" s="959">
        <f t="shared" si="222"/>
        <v>14.139968571775018</v>
      </c>
      <c r="AF89" s="959">
        <f t="shared" si="222"/>
        <v>14.341810480347306</v>
      </c>
      <c r="AG89" s="959">
        <f t="shared" si="222"/>
        <v>14.660154514221039</v>
      </c>
      <c r="AH89" s="959">
        <f t="shared" si="222"/>
        <v>15.014507871353267</v>
      </c>
      <c r="AI89" s="959">
        <f t="shared" si="222"/>
        <v>15.178056515524123</v>
      </c>
      <c r="AJ89" s="959">
        <f t="shared" si="222"/>
        <v>15.247180761459282</v>
      </c>
      <c r="AK89" s="959">
        <f t="shared" si="222"/>
        <v>15.504403238981952</v>
      </c>
      <c r="AL89" s="959">
        <f t="shared" si="222"/>
        <v>15.944730189731404</v>
      </c>
      <c r="AM89" s="959">
        <f t="shared" si="222"/>
        <v>16.240765211360355</v>
      </c>
      <c r="AN89" s="959">
        <f t="shared" si="222"/>
        <v>16.673418609126639</v>
      </c>
      <c r="AO89" s="959">
        <f t="shared" si="222"/>
        <v>16.84862158003515</v>
      </c>
      <c r="AP89" s="959">
        <f t="shared" si="222"/>
        <v>16.990523932954982</v>
      </c>
      <c r="AQ89" s="959">
        <f t="shared" si="222"/>
        <v>17.36681602365595</v>
      </c>
      <c r="AR89" s="959">
        <f t="shared" si="222"/>
        <v>17.766490156398653</v>
      </c>
      <c r="AS89" s="959">
        <f>($BB89-$AR89)/10+AR89</f>
        <v>17.817297159388684</v>
      </c>
      <c r="AT89" s="959">
        <f t="shared" ref="AT89:BA89" si="223">($BB89-$AR89)/10+AS89</f>
        <v>17.868104162378714</v>
      </c>
      <c r="AU89" s="959">
        <f t="shared" si="223"/>
        <v>17.918911165368744</v>
      </c>
      <c r="AV89" s="959">
        <f t="shared" si="223"/>
        <v>17.969718168358774</v>
      </c>
      <c r="AW89" s="959">
        <f t="shared" si="223"/>
        <v>18.020525171348805</v>
      </c>
      <c r="AX89" s="959">
        <f t="shared" si="223"/>
        <v>18.071332174338835</v>
      </c>
      <c r="AY89" s="959">
        <f t="shared" si="223"/>
        <v>18.122139177328865</v>
      </c>
      <c r="AZ89" s="959">
        <f t="shared" si="223"/>
        <v>18.172946180318895</v>
      </c>
      <c r="BA89" s="959">
        <f t="shared" si="223"/>
        <v>18.223753183308926</v>
      </c>
      <c r="BB89" s="961">
        <f>'AEO Data'!$B$30*AM89</f>
        <v>18.274560186298949</v>
      </c>
      <c r="BC89" s="959">
        <f t="shared" ref="BC89:BP92" si="224">($BQ89-$BB89)/15+BB89</f>
        <v>18.423467349139123</v>
      </c>
      <c r="BD89" s="959">
        <f t="shared" si="224"/>
        <v>18.572374511979298</v>
      </c>
      <c r="BE89" s="959">
        <f t="shared" si="224"/>
        <v>18.721281674819473</v>
      </c>
      <c r="BF89" s="959">
        <f t="shared" si="224"/>
        <v>18.870188837659647</v>
      </c>
      <c r="BG89" s="959">
        <f t="shared" si="224"/>
        <v>19.019096000499822</v>
      </c>
      <c r="BH89" s="959">
        <f t="shared" si="224"/>
        <v>19.168003163339996</v>
      </c>
      <c r="BI89" s="959">
        <f t="shared" si="224"/>
        <v>19.316910326180171</v>
      </c>
      <c r="BJ89" s="959">
        <f t="shared" si="224"/>
        <v>19.465817489020345</v>
      </c>
      <c r="BK89" s="959">
        <f t="shared" si="224"/>
        <v>19.61472465186052</v>
      </c>
      <c r="BL89" s="959">
        <f t="shared" si="224"/>
        <v>19.763631814700695</v>
      </c>
      <c r="BM89" s="959">
        <f t="shared" si="224"/>
        <v>19.912538977540869</v>
      </c>
      <c r="BN89" s="959">
        <f t="shared" si="224"/>
        <v>20.061446140381044</v>
      </c>
      <c r="BO89" s="959">
        <f t="shared" si="224"/>
        <v>20.210353303221218</v>
      </c>
      <c r="BP89" s="959">
        <f t="shared" si="224"/>
        <v>20.359260466061393</v>
      </c>
      <c r="BQ89" s="961">
        <f>'AEO Data'!$C$30*BB89</f>
        <v>20.508167628901592</v>
      </c>
      <c r="BR89" s="959">
        <f t="shared" ref="BR89:BU92" si="225">($BV89-$BQ89)/5+BQ89</f>
        <v>20.62538963666017</v>
      </c>
      <c r="BS89" s="959">
        <f t="shared" si="225"/>
        <v>20.742611644418748</v>
      </c>
      <c r="BT89" s="959">
        <f t="shared" si="225"/>
        <v>20.859833652177326</v>
      </c>
      <c r="BU89" s="959">
        <f t="shared" si="225"/>
        <v>20.977055659935903</v>
      </c>
      <c r="BV89" s="962">
        <f>'AEO Data'!$D$30*BQ89</f>
        <v>21.094277667694488</v>
      </c>
      <c r="BW89" s="1398">
        <f>+BV89*BW$133/BV$133</f>
        <v>21.164316872120814</v>
      </c>
      <c r="BX89" s="1398">
        <f t="shared" ref="BX89:CZ89" si="226">+BW89*BX$133/BW$133</f>
        <v>21.234588627300191</v>
      </c>
      <c r="BY89" s="1398">
        <f t="shared" si="226"/>
        <v>21.305093705369501</v>
      </c>
      <c r="BZ89" s="1398">
        <f t="shared" si="226"/>
        <v>21.375832881029339</v>
      </c>
      <c r="CA89" s="1398">
        <f t="shared" si="226"/>
        <v>21.446806931552544</v>
      </c>
      <c r="CB89" s="1398">
        <f t="shared" si="226"/>
        <v>21.492572878539132</v>
      </c>
      <c r="CC89" s="1398">
        <f t="shared" si="226"/>
        <v>21.538436486772465</v>
      </c>
      <c r="CD89" s="1398">
        <f t="shared" si="226"/>
        <v>21.584397964654634</v>
      </c>
      <c r="CE89" s="1398">
        <f t="shared" si="226"/>
        <v>21.630457521032444</v>
      </c>
      <c r="CF89" s="1398">
        <f t="shared" si="226"/>
        <v>21.676615365198366</v>
      </c>
      <c r="CG89" s="1398">
        <f t="shared" si="226"/>
        <v>21.691602524401322</v>
      </c>
      <c r="CH89" s="1398">
        <f t="shared" si="226"/>
        <v>21.706600045689747</v>
      </c>
      <c r="CI89" s="1398">
        <f t="shared" si="226"/>
        <v>21.721607936227954</v>
      </c>
      <c r="CJ89" s="1398">
        <f t="shared" si="226"/>
        <v>21.736626203185217</v>
      </c>
      <c r="CK89" s="1398">
        <f t="shared" si="226"/>
        <v>21.751654853735772</v>
      </c>
      <c r="CL89" s="1398">
        <f t="shared" si="226"/>
        <v>21.756748899145897</v>
      </c>
      <c r="CM89" s="1398">
        <f t="shared" si="226"/>
        <v>21.76184413753646</v>
      </c>
      <c r="CN89" s="1398">
        <f t="shared" si="226"/>
        <v>21.766940569186843</v>
      </c>
      <c r="CO89" s="1398">
        <f t="shared" si="226"/>
        <v>21.772038194376496</v>
      </c>
      <c r="CP89" s="1398">
        <f t="shared" si="226"/>
        <v>21.777137013384934</v>
      </c>
      <c r="CQ89" s="1398">
        <f t="shared" si="226"/>
        <v>21.784864763140046</v>
      </c>
      <c r="CR89" s="1398">
        <f t="shared" si="226"/>
        <v>21.792595255134241</v>
      </c>
      <c r="CS89" s="1398">
        <f t="shared" si="226"/>
        <v>21.800328490340622</v>
      </c>
      <c r="CT89" s="1398">
        <f t="shared" si="226"/>
        <v>21.808064469732635</v>
      </c>
      <c r="CU89" s="1398">
        <f t="shared" si="226"/>
        <v>21.815803194284069</v>
      </c>
      <c r="CV89" s="1398">
        <f t="shared" si="226"/>
        <v>21.827713124132313</v>
      </c>
      <c r="CW89" s="1398">
        <f t="shared" si="226"/>
        <v>21.839629555984068</v>
      </c>
      <c r="CX89" s="1398">
        <f t="shared" si="226"/>
        <v>21.851552493388983</v>
      </c>
      <c r="CY89" s="1398">
        <f t="shared" si="226"/>
        <v>21.863481939898644</v>
      </c>
      <c r="CZ89" s="1398">
        <f t="shared" si="226"/>
        <v>21.875417899066573</v>
      </c>
    </row>
    <row r="90" spans="1:104" ht="13" x14ac:dyDescent="0.3">
      <c r="A90" s="873" t="str">
        <f>'HyARC Physical Property Data'!A71</f>
        <v>Commercial Natural Gas</v>
      </c>
      <c r="B90" s="260">
        <v>2012</v>
      </c>
      <c r="C90" s="874">
        <f t="shared" si="221"/>
        <v>1.0589185747008452</v>
      </c>
      <c r="D90" s="1258" t="str">
        <f>'HyARC Physical Property Data'!H71</f>
        <v>mmBtu</v>
      </c>
      <c r="E90" s="874" t="s">
        <v>1058</v>
      </c>
      <c r="F90" s="260">
        <f>'HyARC Physical Property Data'!$E$6</f>
        <v>47.141269049911173</v>
      </c>
      <c r="G90" s="260">
        <f>'HyARC Physical Property Data'!$I$6</f>
        <v>52.224661236371581</v>
      </c>
      <c r="H90" s="1069">
        <v>10.902002401006685</v>
      </c>
      <c r="I90" s="1069">
        <v>10.902002401006685</v>
      </c>
      <c r="J90" s="1069">
        <v>10.902002401006685</v>
      </c>
      <c r="K90" s="1069">
        <v>10.902002401006685</v>
      </c>
      <c r="L90" s="1069">
        <v>11.622313273930342</v>
      </c>
      <c r="M90" s="1069">
        <v>8.8092072972420112</v>
      </c>
      <c r="N90" s="1069">
        <v>8.4393179300649965</v>
      </c>
      <c r="O90" s="260">
        <f t="shared" ref="O90:AR90" si="227">O107*($C90/mmBTU_to_GJ*$G90/$F90)</f>
        <v>9.9639823425462914</v>
      </c>
      <c r="P90" s="260">
        <f t="shared" si="227"/>
        <v>9.0210827052924731</v>
      </c>
      <c r="Q90" s="260">
        <f t="shared" si="227"/>
        <v>9.2425705107067522</v>
      </c>
      <c r="R90" s="260">
        <f t="shared" si="227"/>
        <v>10.103223803959281</v>
      </c>
      <c r="S90" s="260">
        <f t="shared" si="227"/>
        <v>9.9169647343242655</v>
      </c>
      <c r="T90" s="260">
        <f t="shared" si="227"/>
        <v>9.6996011439533945</v>
      </c>
      <c r="U90" s="260">
        <f t="shared" si="227"/>
        <v>10.015602303441456</v>
      </c>
      <c r="V90" s="260">
        <f t="shared" si="227"/>
        <v>10.462516434001412</v>
      </c>
      <c r="W90" s="260">
        <f t="shared" si="227"/>
        <v>10.615177995538126</v>
      </c>
      <c r="X90" s="260">
        <f t="shared" si="227"/>
        <v>10.553246941060452</v>
      </c>
      <c r="Y90" s="260">
        <f t="shared" si="227"/>
        <v>10.769181678282015</v>
      </c>
      <c r="Z90" s="260">
        <f t="shared" si="227"/>
        <v>10.850924309850123</v>
      </c>
      <c r="AA90" s="260">
        <f t="shared" si="227"/>
        <v>11.006898364407682</v>
      </c>
      <c r="AB90" s="260">
        <f t="shared" si="227"/>
        <v>11.260741632030943</v>
      </c>
      <c r="AC90" s="260">
        <f t="shared" si="227"/>
        <v>11.438522098348088</v>
      </c>
      <c r="AD90" s="260">
        <f t="shared" si="227"/>
        <v>11.543080790438088</v>
      </c>
      <c r="AE90" s="260">
        <f t="shared" si="227"/>
        <v>11.671986695413095</v>
      </c>
      <c r="AF90" s="260">
        <f t="shared" si="227"/>
        <v>11.850279769747228</v>
      </c>
      <c r="AG90" s="260">
        <f t="shared" si="227"/>
        <v>12.132482158553312</v>
      </c>
      <c r="AH90" s="260">
        <f t="shared" si="227"/>
        <v>12.445283131766116</v>
      </c>
      <c r="AI90" s="260">
        <f t="shared" si="227"/>
        <v>12.558691817798014</v>
      </c>
      <c r="AJ90" s="260">
        <f t="shared" si="227"/>
        <v>12.5569093651923</v>
      </c>
      <c r="AK90" s="260">
        <f t="shared" si="227"/>
        <v>12.763364745917485</v>
      </c>
      <c r="AL90" s="260">
        <f t="shared" si="227"/>
        <v>13.063076979503446</v>
      </c>
      <c r="AM90" s="260">
        <f t="shared" si="227"/>
        <v>13.291592296126769</v>
      </c>
      <c r="AN90" s="260">
        <f t="shared" si="227"/>
        <v>13.636518558317496</v>
      </c>
      <c r="AO90" s="260">
        <f t="shared" si="227"/>
        <v>13.752890585705739</v>
      </c>
      <c r="AP90" s="260">
        <f t="shared" si="227"/>
        <v>13.853987783746099</v>
      </c>
      <c r="AQ90" s="260">
        <f t="shared" si="227"/>
        <v>14.183892740727496</v>
      </c>
      <c r="AR90" s="260">
        <f t="shared" si="227"/>
        <v>14.541374007516533</v>
      </c>
      <c r="AS90" s="260">
        <f t="shared" ref="AS90:BA90" si="228">($BB90-$AR90)/10+AR90</f>
        <v>14.582843496133675</v>
      </c>
      <c r="AT90" s="260">
        <f t="shared" si="228"/>
        <v>14.624312984750818</v>
      </c>
      <c r="AU90" s="260">
        <f t="shared" si="228"/>
        <v>14.66578247336796</v>
      </c>
      <c r="AV90" s="260">
        <f t="shared" si="228"/>
        <v>14.707251961985103</v>
      </c>
      <c r="AW90" s="260">
        <f t="shared" si="228"/>
        <v>14.748721450602245</v>
      </c>
      <c r="AX90" s="260">
        <f t="shared" si="228"/>
        <v>14.790190939219388</v>
      </c>
      <c r="AY90" s="260">
        <f t="shared" si="228"/>
        <v>14.83166042783653</v>
      </c>
      <c r="AZ90" s="260">
        <f t="shared" si="228"/>
        <v>14.873129916453673</v>
      </c>
      <c r="BA90" s="260">
        <f t="shared" si="228"/>
        <v>14.914599405070815</v>
      </c>
      <c r="BB90" s="939">
        <f>'AEO Data'!$B$30*AM90</f>
        <v>14.956068893687954</v>
      </c>
      <c r="BC90" s="260">
        <f t="shared" si="224"/>
        <v>15.077935891497892</v>
      </c>
      <c r="BD90" s="260">
        <f t="shared" si="224"/>
        <v>15.199802889307831</v>
      </c>
      <c r="BE90" s="260">
        <f t="shared" si="224"/>
        <v>15.321669887117769</v>
      </c>
      <c r="BF90" s="260">
        <f t="shared" si="224"/>
        <v>15.443536884927708</v>
      </c>
      <c r="BG90" s="260">
        <f t="shared" si="224"/>
        <v>15.565403882737646</v>
      </c>
      <c r="BH90" s="260">
        <f t="shared" si="224"/>
        <v>15.687270880547585</v>
      </c>
      <c r="BI90" s="260">
        <f t="shared" si="224"/>
        <v>15.809137878357523</v>
      </c>
      <c r="BJ90" s="260">
        <f t="shared" si="224"/>
        <v>15.931004876167462</v>
      </c>
      <c r="BK90" s="260">
        <f t="shared" si="224"/>
        <v>16.052871873977402</v>
      </c>
      <c r="BL90" s="260">
        <f t="shared" si="224"/>
        <v>16.174738871787341</v>
      </c>
      <c r="BM90" s="260">
        <f t="shared" si="224"/>
        <v>16.296605869597279</v>
      </c>
      <c r="BN90" s="260">
        <f t="shared" si="224"/>
        <v>16.418472867407218</v>
      </c>
      <c r="BO90" s="260">
        <f t="shared" si="224"/>
        <v>16.540339865217156</v>
      </c>
      <c r="BP90" s="260">
        <f t="shared" si="224"/>
        <v>16.662206863027095</v>
      </c>
      <c r="BQ90" s="939">
        <f>'AEO Data'!$C$30*BB90</f>
        <v>16.784073860837033</v>
      </c>
      <c r="BR90" s="260">
        <f t="shared" si="225"/>
        <v>16.880009434991543</v>
      </c>
      <c r="BS90" s="260">
        <f t="shared" si="225"/>
        <v>16.975945009146052</v>
      </c>
      <c r="BT90" s="260">
        <f t="shared" si="225"/>
        <v>17.071880583300562</v>
      </c>
      <c r="BU90" s="260">
        <f t="shared" si="225"/>
        <v>17.167816157455071</v>
      </c>
      <c r="BV90" s="963">
        <f>'AEO Data'!$D$30*BQ90</f>
        <v>17.263751731609581</v>
      </c>
      <c r="BW90" s="1398">
        <f>+BV90*BW$134/BV$134</f>
        <v>17.321072463598775</v>
      </c>
      <c r="BX90" s="1398">
        <f t="shared" ref="BX90:CZ90" si="229">+BW90*BX$134/BW$134</f>
        <v>17.378583517272784</v>
      </c>
      <c r="BY90" s="1398">
        <f t="shared" si="229"/>
        <v>17.436285524555561</v>
      </c>
      <c r="BZ90" s="1398">
        <f t="shared" si="229"/>
        <v>17.494179119469241</v>
      </c>
      <c r="CA90" s="1398">
        <f t="shared" si="229"/>
        <v>17.552264938141089</v>
      </c>
      <c r="CB90" s="1398">
        <f t="shared" si="229"/>
        <v>17.589720211982893</v>
      </c>
      <c r="CC90" s="1398">
        <f t="shared" si="229"/>
        <v>17.627255412691312</v>
      </c>
      <c r="CD90" s="1398">
        <f t="shared" si="229"/>
        <v>17.664870710824552</v>
      </c>
      <c r="CE90" s="1398">
        <f t="shared" si="229"/>
        <v>17.702566277304761</v>
      </c>
      <c r="CF90" s="1398">
        <f t="shared" si="229"/>
        <v>17.740342283418837</v>
      </c>
      <c r="CG90" s="1398">
        <f t="shared" si="229"/>
        <v>17.752607912975723</v>
      </c>
      <c r="CH90" s="1398">
        <f t="shared" si="229"/>
        <v>17.764882022959085</v>
      </c>
      <c r="CI90" s="1398">
        <f t="shared" si="229"/>
        <v>17.77716461923227</v>
      </c>
      <c r="CJ90" s="1398">
        <f t="shared" si="229"/>
        <v>17.789455707662682</v>
      </c>
      <c r="CK90" s="1398">
        <f t="shared" si="229"/>
        <v>17.801755294121772</v>
      </c>
      <c r="CL90" s="1398">
        <f t="shared" si="229"/>
        <v>17.805924307948906</v>
      </c>
      <c r="CM90" s="1398">
        <f t="shared" si="229"/>
        <v>17.810094298122248</v>
      </c>
      <c r="CN90" s="1398">
        <f t="shared" si="229"/>
        <v>17.81426526487045</v>
      </c>
      <c r="CO90" s="1398">
        <f t="shared" si="229"/>
        <v>17.818437208422218</v>
      </c>
      <c r="CP90" s="1398">
        <f t="shared" si="229"/>
        <v>17.822610129006311</v>
      </c>
      <c r="CQ90" s="1398">
        <f t="shared" si="229"/>
        <v>17.828934590801964</v>
      </c>
      <c r="CR90" s="1398">
        <f t="shared" si="229"/>
        <v>17.835261296871419</v>
      </c>
      <c r="CS90" s="1398">
        <f t="shared" si="229"/>
        <v>17.84159024801107</v>
      </c>
      <c r="CT90" s="1398">
        <f t="shared" si="229"/>
        <v>17.847921445017597</v>
      </c>
      <c r="CU90" s="1398">
        <f t="shared" si="229"/>
        <v>17.854254888687954</v>
      </c>
      <c r="CV90" s="1398">
        <f t="shared" si="229"/>
        <v>17.864002085310659</v>
      </c>
      <c r="CW90" s="1398">
        <f t="shared" si="229"/>
        <v>17.873754603233113</v>
      </c>
      <c r="CX90" s="1398">
        <f t="shared" si="229"/>
        <v>17.883512445360374</v>
      </c>
      <c r="CY90" s="1398">
        <f t="shared" si="229"/>
        <v>17.893275614599098</v>
      </c>
      <c r="CZ90" s="1398">
        <f t="shared" si="229"/>
        <v>17.903044113857518</v>
      </c>
    </row>
    <row r="91" spans="1:104" ht="13" x14ac:dyDescent="0.3">
      <c r="A91" s="873" t="str">
        <f>'HyARC Physical Property Data'!A72</f>
        <v>Industrial Natural Gas</v>
      </c>
      <c r="B91" s="260">
        <v>2012</v>
      </c>
      <c r="C91" s="874">
        <f t="shared" si="221"/>
        <v>1.0589185747008452</v>
      </c>
      <c r="D91" s="1258" t="str">
        <f>'HyARC Physical Property Data'!H72</f>
        <v>mmBtu</v>
      </c>
      <c r="E91" s="874" t="s">
        <v>1058</v>
      </c>
      <c r="F91" s="260">
        <f>'HyARC Physical Property Data'!$E$6</f>
        <v>47.141269049911173</v>
      </c>
      <c r="G91" s="260">
        <f>'HyARC Physical Property Data'!$I$6</f>
        <v>52.224661236371581</v>
      </c>
      <c r="H91" s="1069">
        <v>7.3783194821098821</v>
      </c>
      <c r="I91" s="1069">
        <v>7.3783194821098821</v>
      </c>
      <c r="J91" s="1069">
        <v>7.3783194821098821</v>
      </c>
      <c r="K91" s="1069">
        <v>7.3783194821098821</v>
      </c>
      <c r="L91" s="1069">
        <v>8.8676108815331158</v>
      </c>
      <c r="M91" s="1069">
        <v>4.0882509003775072</v>
      </c>
      <c r="N91" s="1069">
        <v>4.7404242582948717</v>
      </c>
      <c r="O91" s="260">
        <f t="shared" ref="O91:AR91" si="230">O108*($C91/mmBTU_to_GJ*$G91/$F91)</f>
        <v>5.6639494209981782</v>
      </c>
      <c r="P91" s="260">
        <f t="shared" si="230"/>
        <v>4.1936228360778802</v>
      </c>
      <c r="Q91" s="260">
        <f t="shared" si="230"/>
        <v>5.1091841203909469</v>
      </c>
      <c r="R91" s="260">
        <f t="shared" si="230"/>
        <v>5.3368743716159921</v>
      </c>
      <c r="S91" s="260">
        <f t="shared" si="230"/>
        <v>5.4922435264745477</v>
      </c>
      <c r="T91" s="260">
        <f t="shared" si="230"/>
        <v>5.7249186404765142</v>
      </c>
      <c r="U91" s="260">
        <f t="shared" si="230"/>
        <v>6.0332162243860541</v>
      </c>
      <c r="V91" s="260">
        <f t="shared" si="230"/>
        <v>6.5003155465564157</v>
      </c>
      <c r="W91" s="260">
        <f t="shared" si="230"/>
        <v>6.6134284544266668</v>
      </c>
      <c r="X91" s="260">
        <f t="shared" si="230"/>
        <v>6.4407629487996489</v>
      </c>
      <c r="Y91" s="260">
        <f t="shared" si="230"/>
        <v>6.5991877366965674</v>
      </c>
      <c r="Z91" s="260">
        <f t="shared" si="230"/>
        <v>6.6211298061092361</v>
      </c>
      <c r="AA91" s="260">
        <f t="shared" si="230"/>
        <v>6.729798257918957</v>
      </c>
      <c r="AB91" s="260">
        <f t="shared" si="230"/>
        <v>6.9245136919123249</v>
      </c>
      <c r="AC91" s="260">
        <f t="shared" si="230"/>
        <v>7.0285708954650996</v>
      </c>
      <c r="AD91" s="260">
        <f t="shared" si="230"/>
        <v>7.0676625385133827</v>
      </c>
      <c r="AE91" s="260">
        <f t="shared" si="230"/>
        <v>7.1490882649082979</v>
      </c>
      <c r="AF91" s="260">
        <f t="shared" si="230"/>
        <v>7.2626859820961345</v>
      </c>
      <c r="AG91" s="260">
        <f t="shared" si="230"/>
        <v>7.4897713336221727</v>
      </c>
      <c r="AH91" s="260">
        <f t="shared" si="230"/>
        <v>7.7715211596019786</v>
      </c>
      <c r="AI91" s="260">
        <f t="shared" si="230"/>
        <v>7.8991127420692164</v>
      </c>
      <c r="AJ91" s="260">
        <f t="shared" si="230"/>
        <v>8.0328945389194857</v>
      </c>
      <c r="AK91" s="260">
        <f t="shared" si="230"/>
        <v>8.2510220375499461</v>
      </c>
      <c r="AL91" s="260">
        <f t="shared" si="230"/>
        <v>8.4203839457399265</v>
      </c>
      <c r="AM91" s="260">
        <f t="shared" si="230"/>
        <v>8.6260409478182627</v>
      </c>
      <c r="AN91" s="260">
        <f t="shared" si="230"/>
        <v>8.9436310809641917</v>
      </c>
      <c r="AO91" s="260">
        <f t="shared" si="230"/>
        <v>9.0003437635899601</v>
      </c>
      <c r="AP91" s="260">
        <f t="shared" si="230"/>
        <v>9.040412808909247</v>
      </c>
      <c r="AQ91" s="260">
        <f t="shared" si="230"/>
        <v>9.2706004952886456</v>
      </c>
      <c r="AR91" s="260">
        <f t="shared" si="230"/>
        <v>9.5554192976825281</v>
      </c>
      <c r="AS91" s="260">
        <f t="shared" ref="AS91:BA91" si="231">($BB91-$AR91)/10+AR91</f>
        <v>9.5705034586117605</v>
      </c>
      <c r="AT91" s="260">
        <f t="shared" si="231"/>
        <v>9.585587619540993</v>
      </c>
      <c r="AU91" s="260">
        <f t="shared" si="231"/>
        <v>9.6006717804702255</v>
      </c>
      <c r="AV91" s="260">
        <f t="shared" si="231"/>
        <v>9.615755941399458</v>
      </c>
      <c r="AW91" s="260">
        <f t="shared" si="231"/>
        <v>9.6308401023286905</v>
      </c>
      <c r="AX91" s="260">
        <f t="shared" si="231"/>
        <v>9.645924263257923</v>
      </c>
      <c r="AY91" s="260">
        <f t="shared" si="231"/>
        <v>9.6610084241871554</v>
      </c>
      <c r="AZ91" s="260">
        <f t="shared" si="231"/>
        <v>9.6760925851163879</v>
      </c>
      <c r="BA91" s="260">
        <f t="shared" si="231"/>
        <v>9.6911767460456204</v>
      </c>
      <c r="BB91" s="939">
        <f>'AEO Data'!$B$30*AM91</f>
        <v>9.7062609069748458</v>
      </c>
      <c r="BC91" s="260">
        <f t="shared" si="224"/>
        <v>9.7853507323227493</v>
      </c>
      <c r="BD91" s="260">
        <f t="shared" si="224"/>
        <v>9.8644405576706529</v>
      </c>
      <c r="BE91" s="260">
        <f t="shared" si="224"/>
        <v>9.9435303830185564</v>
      </c>
      <c r="BF91" s="260">
        <f t="shared" si="224"/>
        <v>10.02262020836646</v>
      </c>
      <c r="BG91" s="260">
        <f t="shared" si="224"/>
        <v>10.101710033714363</v>
      </c>
      <c r="BH91" s="260">
        <f t="shared" si="224"/>
        <v>10.180799859062267</v>
      </c>
      <c r="BI91" s="260">
        <f t="shared" si="224"/>
        <v>10.259889684410171</v>
      </c>
      <c r="BJ91" s="260">
        <f t="shared" si="224"/>
        <v>10.338979509758074</v>
      </c>
      <c r="BK91" s="260">
        <f t="shared" si="224"/>
        <v>10.418069335105978</v>
      </c>
      <c r="BL91" s="260">
        <f t="shared" si="224"/>
        <v>10.497159160453881</v>
      </c>
      <c r="BM91" s="260">
        <f t="shared" si="224"/>
        <v>10.576248985801785</v>
      </c>
      <c r="BN91" s="260">
        <f t="shared" si="224"/>
        <v>10.655338811149688</v>
      </c>
      <c r="BO91" s="260">
        <f t="shared" si="224"/>
        <v>10.734428636497592</v>
      </c>
      <c r="BP91" s="260">
        <f t="shared" si="224"/>
        <v>10.813518461845495</v>
      </c>
      <c r="BQ91" s="939">
        <f>'AEO Data'!$C$30*BB91</f>
        <v>10.892608287193402</v>
      </c>
      <c r="BR91" s="260">
        <f t="shared" si="225"/>
        <v>10.954869013566299</v>
      </c>
      <c r="BS91" s="260">
        <f t="shared" si="225"/>
        <v>11.017129739939195</v>
      </c>
      <c r="BT91" s="260">
        <f t="shared" si="225"/>
        <v>11.079390466312091</v>
      </c>
      <c r="BU91" s="260">
        <f t="shared" si="225"/>
        <v>11.141651192684987</v>
      </c>
      <c r="BV91" s="963">
        <f>'AEO Data'!$D$30*BQ91</f>
        <v>11.203911919057887</v>
      </c>
      <c r="BW91" s="1398">
        <f>+BV91*BW$135/BV$135</f>
        <v>11.241112201031763</v>
      </c>
      <c r="BX91" s="1398">
        <f t="shared" ref="BX91:CZ91" si="232">+BW91*BX$135/BW$135</f>
        <v>11.278435998880177</v>
      </c>
      <c r="BY91" s="1398">
        <f t="shared" si="232"/>
        <v>11.315883722712151</v>
      </c>
      <c r="BZ91" s="1398">
        <f t="shared" si="232"/>
        <v>11.35345578399839</v>
      </c>
      <c r="CA91" s="1398">
        <f t="shared" si="232"/>
        <v>11.391152595575804</v>
      </c>
      <c r="CB91" s="1398">
        <f t="shared" si="232"/>
        <v>11.415460497794959</v>
      </c>
      <c r="CC91" s="1398">
        <f t="shared" si="232"/>
        <v>11.439820271333133</v>
      </c>
      <c r="CD91" s="1398">
        <f t="shared" si="232"/>
        <v>11.464232026880003</v>
      </c>
      <c r="CE91" s="1398">
        <f t="shared" si="232"/>
        <v>11.488695875361442</v>
      </c>
      <c r="CF91" s="1398">
        <f t="shared" si="232"/>
        <v>11.513211927940032</v>
      </c>
      <c r="CG91" s="1398">
        <f t="shared" si="232"/>
        <v>11.521172134697148</v>
      </c>
      <c r="CH91" s="1398">
        <f t="shared" si="232"/>
        <v>11.529137845121877</v>
      </c>
      <c r="CI91" s="1398">
        <f t="shared" si="232"/>
        <v>11.537109063019443</v>
      </c>
      <c r="CJ91" s="1398">
        <f t="shared" si="232"/>
        <v>11.545085792197696</v>
      </c>
      <c r="CK91" s="1398">
        <f t="shared" si="232"/>
        <v>11.553068036467128</v>
      </c>
      <c r="CL91" s="1398">
        <f t="shared" si="232"/>
        <v>11.55577366294014</v>
      </c>
      <c r="CM91" s="1398">
        <f t="shared" si="232"/>
        <v>11.558479923046971</v>
      </c>
      <c r="CN91" s="1398">
        <f t="shared" si="232"/>
        <v>11.56118681693601</v>
      </c>
      <c r="CO91" s="1398">
        <f t="shared" si="232"/>
        <v>11.563894344755685</v>
      </c>
      <c r="CP91" s="1398">
        <f t="shared" si="232"/>
        <v>11.566602506654455</v>
      </c>
      <c r="CQ91" s="1398">
        <f t="shared" si="232"/>
        <v>11.570706986028089</v>
      </c>
      <c r="CR91" s="1398">
        <f t="shared" si="232"/>
        <v>11.574812921901238</v>
      </c>
      <c r="CS91" s="1398">
        <f t="shared" si="232"/>
        <v>11.578920314790748</v>
      </c>
      <c r="CT91" s="1398">
        <f t="shared" si="232"/>
        <v>11.583029165213651</v>
      </c>
      <c r="CU91" s="1398">
        <f t="shared" si="232"/>
        <v>11.587139473687161</v>
      </c>
      <c r="CV91" s="1398">
        <f t="shared" si="232"/>
        <v>11.593465255829788</v>
      </c>
      <c r="CW91" s="1398">
        <f t="shared" si="232"/>
        <v>11.599794491414899</v>
      </c>
      <c r="CX91" s="1398">
        <f t="shared" si="232"/>
        <v>11.606127182327835</v>
      </c>
      <c r="CY91" s="1398">
        <f t="shared" si="232"/>
        <v>11.612463330454966</v>
      </c>
      <c r="CZ91" s="1398">
        <f t="shared" si="232"/>
        <v>11.618802937683697</v>
      </c>
    </row>
    <row r="92" spans="1:104" ht="13" x14ac:dyDescent="0.3">
      <c r="A92" s="873" t="str">
        <f>'HyARC Physical Property Data'!A74</f>
        <v>Electric Utility Natural Gas</v>
      </c>
      <c r="B92" s="260">
        <v>2012</v>
      </c>
      <c r="C92" s="874">
        <f t="shared" si="221"/>
        <v>1.0589185747008452</v>
      </c>
      <c r="D92" s="1258" t="str">
        <f>'HyARC Physical Property Data'!H74</f>
        <v>mmBtu</v>
      </c>
      <c r="E92" s="874" t="s">
        <v>1058</v>
      </c>
      <c r="F92" s="260">
        <f>'HyARC Physical Property Data'!$E$6</f>
        <v>47.141269049911173</v>
      </c>
      <c r="G92" s="260">
        <f>'HyARC Physical Property Data'!$I$6</f>
        <v>52.224661236371581</v>
      </c>
      <c r="H92" s="1069">
        <v>7.0668336992239764</v>
      </c>
      <c r="I92" s="1069">
        <v>7.0668336992239764</v>
      </c>
      <c r="J92" s="1069">
        <v>7.0668336992239764</v>
      </c>
      <c r="K92" s="1069">
        <v>7.0668336992239764</v>
      </c>
      <c r="L92" s="1069">
        <v>8.8481430201027482</v>
      </c>
      <c r="M92" s="1069">
        <v>4.0298473160863999</v>
      </c>
      <c r="N92" s="1069">
        <v>4.7209563968645023</v>
      </c>
      <c r="O92" s="260">
        <f t="shared" ref="O92:AR92" si="233">O109*($C92/mmBTU_to_GJ*$G92/$F92)</f>
        <v>5.428419936541526</v>
      </c>
      <c r="P92" s="260">
        <f t="shared" si="233"/>
        <v>3.8227359244888057</v>
      </c>
      <c r="Q92" s="260">
        <f t="shared" si="233"/>
        <v>4.804318007935696</v>
      </c>
      <c r="R92" s="260">
        <f t="shared" si="233"/>
        <v>4.9697558517179701</v>
      </c>
      <c r="S92" s="260">
        <f t="shared" si="233"/>
        <v>4.9242593883272674</v>
      </c>
      <c r="T92" s="260">
        <f t="shared" si="233"/>
        <v>4.9757470274132745</v>
      </c>
      <c r="U92" s="260">
        <f t="shared" si="233"/>
        <v>5.2156664824796266</v>
      </c>
      <c r="V92" s="260">
        <f t="shared" si="233"/>
        <v>5.6287951857333169</v>
      </c>
      <c r="W92" s="260">
        <f t="shared" si="233"/>
        <v>5.7592455864471468</v>
      </c>
      <c r="X92" s="260">
        <f t="shared" si="233"/>
        <v>5.6424810414233342</v>
      </c>
      <c r="Y92" s="260">
        <f t="shared" si="233"/>
        <v>5.8292060172603444</v>
      </c>
      <c r="Z92" s="260">
        <f t="shared" si="233"/>
        <v>5.8870328717581808</v>
      </c>
      <c r="AA92" s="260">
        <f t="shared" si="233"/>
        <v>6.0268258593673236</v>
      </c>
      <c r="AB92" s="260">
        <f t="shared" si="233"/>
        <v>6.2516128144267338</v>
      </c>
      <c r="AC92" s="260">
        <f t="shared" si="233"/>
        <v>6.4022817651902537</v>
      </c>
      <c r="AD92" s="260">
        <f t="shared" si="233"/>
        <v>6.4648666450778842</v>
      </c>
      <c r="AE92" s="260">
        <f t="shared" si="233"/>
        <v>6.5662751885515531</v>
      </c>
      <c r="AF92" s="260">
        <f t="shared" si="233"/>
        <v>6.7024543452383245</v>
      </c>
      <c r="AG92" s="260">
        <f t="shared" si="233"/>
        <v>6.9426740262582278</v>
      </c>
      <c r="AH92" s="260">
        <f t="shared" si="233"/>
        <v>7.2203541226454542</v>
      </c>
      <c r="AI92" s="260">
        <f t="shared" si="233"/>
        <v>7.3578387062561834</v>
      </c>
      <c r="AJ92" s="260">
        <f t="shared" si="233"/>
        <v>7.4795914499008447</v>
      </c>
      <c r="AK92" s="260">
        <f t="shared" si="233"/>
        <v>7.7064221653403528</v>
      </c>
      <c r="AL92" s="260">
        <f t="shared" si="233"/>
        <v>7.8847308069461519</v>
      </c>
      <c r="AM92" s="260">
        <f t="shared" si="233"/>
        <v>8.102560303519013</v>
      </c>
      <c r="AN92" s="260">
        <f t="shared" si="233"/>
        <v>8.418335737567924</v>
      </c>
      <c r="AO92" s="260">
        <f t="shared" si="233"/>
        <v>8.4846512029154173</v>
      </c>
      <c r="AP92" s="260">
        <f t="shared" si="233"/>
        <v>8.5378634733123793</v>
      </c>
      <c r="AQ92" s="260">
        <f t="shared" si="233"/>
        <v>8.7815535439657371</v>
      </c>
      <c r="AR92" s="260">
        <f t="shared" si="233"/>
        <v>9.0721244532400576</v>
      </c>
      <c r="AS92" s="260">
        <f t="shared" ref="AS92:BA92" si="234">($BB92-$AR92)/10+AR92</f>
        <v>9.0766346022812474</v>
      </c>
      <c r="AT92" s="260">
        <f t="shared" si="234"/>
        <v>9.0811447513224373</v>
      </c>
      <c r="AU92" s="260">
        <f t="shared" si="234"/>
        <v>9.0856549003636271</v>
      </c>
      <c r="AV92" s="260">
        <f t="shared" si="234"/>
        <v>9.090165049404817</v>
      </c>
      <c r="AW92" s="260">
        <f t="shared" si="234"/>
        <v>9.0946751984460068</v>
      </c>
      <c r="AX92" s="260">
        <f t="shared" si="234"/>
        <v>9.0991853474871967</v>
      </c>
      <c r="AY92" s="260">
        <f t="shared" si="234"/>
        <v>9.1036954965283865</v>
      </c>
      <c r="AZ92" s="260">
        <f t="shared" si="234"/>
        <v>9.1082056455695763</v>
      </c>
      <c r="BA92" s="260">
        <f t="shared" si="234"/>
        <v>9.1127157946107662</v>
      </c>
      <c r="BB92" s="939">
        <f>'AEO Data'!$B$30*AM92</f>
        <v>9.1172259436519631</v>
      </c>
      <c r="BC92" s="260">
        <f t="shared" si="224"/>
        <v>9.1915161172266959</v>
      </c>
      <c r="BD92" s="260">
        <f t="shared" si="224"/>
        <v>9.2658062908014287</v>
      </c>
      <c r="BE92" s="260">
        <f t="shared" si="224"/>
        <v>9.3400964643761615</v>
      </c>
      <c r="BF92" s="260">
        <f t="shared" si="224"/>
        <v>9.4143866379508943</v>
      </c>
      <c r="BG92" s="260">
        <f t="shared" si="224"/>
        <v>9.488676811525627</v>
      </c>
      <c r="BH92" s="260">
        <f t="shared" si="224"/>
        <v>9.5629669851003598</v>
      </c>
      <c r="BI92" s="260">
        <f t="shared" si="224"/>
        <v>9.6372571586750926</v>
      </c>
      <c r="BJ92" s="260">
        <f t="shared" si="224"/>
        <v>9.7115473322498254</v>
      </c>
      <c r="BK92" s="260">
        <f t="shared" si="224"/>
        <v>9.7858375058245581</v>
      </c>
      <c r="BL92" s="260">
        <f t="shared" si="224"/>
        <v>9.8601276793992909</v>
      </c>
      <c r="BM92" s="260">
        <f t="shared" si="224"/>
        <v>9.9344178529740237</v>
      </c>
      <c r="BN92" s="260">
        <f t="shared" si="224"/>
        <v>10.008708026548756</v>
      </c>
      <c r="BO92" s="260">
        <f t="shared" si="224"/>
        <v>10.082998200123489</v>
      </c>
      <c r="BP92" s="260">
        <f t="shared" si="224"/>
        <v>10.157288373698222</v>
      </c>
      <c r="BQ92" s="939">
        <f>'AEO Data'!$C$30*BB92</f>
        <v>10.231578547272965</v>
      </c>
      <c r="BR92" s="260">
        <f t="shared" si="225"/>
        <v>10.2900609139843</v>
      </c>
      <c r="BS92" s="260">
        <f t="shared" si="225"/>
        <v>10.348543280695635</v>
      </c>
      <c r="BT92" s="260">
        <f t="shared" si="225"/>
        <v>10.40702564740697</v>
      </c>
      <c r="BU92" s="260">
        <f t="shared" si="225"/>
        <v>10.465508014118305</v>
      </c>
      <c r="BV92" s="963">
        <f>'AEO Data'!$D$30*BQ92</f>
        <v>10.523990380829638</v>
      </c>
      <c r="BW92" s="1398">
        <f>+BV92*BW$136/BV$136</f>
        <v>10.558933123372203</v>
      </c>
      <c r="BX92" s="1398">
        <f t="shared" ref="BX92:CZ92" si="235">+BW92*BX$136/BW$136</f>
        <v>10.593991886094585</v>
      </c>
      <c r="BY92" s="1398">
        <f t="shared" si="235"/>
        <v>10.6291670542179</v>
      </c>
      <c r="BZ92" s="1398">
        <f t="shared" si="235"/>
        <v>10.664459014242302</v>
      </c>
      <c r="CA92" s="1398">
        <f t="shared" si="235"/>
        <v>10.699868153951249</v>
      </c>
      <c r="CB92" s="1398">
        <f t="shared" si="235"/>
        <v>10.722700904777984</v>
      </c>
      <c r="CC92" s="1398">
        <f t="shared" si="235"/>
        <v>10.745582379056525</v>
      </c>
      <c r="CD92" s="1398">
        <f t="shared" si="235"/>
        <v>10.768512680759219</v>
      </c>
      <c r="CE92" s="1398">
        <f t="shared" si="235"/>
        <v>10.791491914080288</v>
      </c>
      <c r="CF92" s="1398">
        <f t="shared" si="235"/>
        <v>10.814520183436294</v>
      </c>
      <c r="CG92" s="1398">
        <f t="shared" si="235"/>
        <v>10.82199731641864</v>
      </c>
      <c r="CH92" s="1398">
        <f t="shared" si="235"/>
        <v>10.829479619072567</v>
      </c>
      <c r="CI92" s="1398">
        <f t="shared" si="235"/>
        <v>10.836967094972369</v>
      </c>
      <c r="CJ92" s="1398">
        <f t="shared" si="235"/>
        <v>10.84445974769482</v>
      </c>
      <c r="CK92" s="1398">
        <f t="shared" si="235"/>
        <v>10.851957580819162</v>
      </c>
      <c r="CL92" s="1398">
        <f t="shared" si="235"/>
        <v>10.854499013417151</v>
      </c>
      <c r="CM92" s="1398">
        <f t="shared" si="235"/>
        <v>10.857041041196203</v>
      </c>
      <c r="CN92" s="1398">
        <f t="shared" si="235"/>
        <v>10.859583664295704</v>
      </c>
      <c r="CO92" s="1398">
        <f t="shared" si="235"/>
        <v>10.862126882855071</v>
      </c>
      <c r="CP92" s="1398">
        <f t="shared" si="235"/>
        <v>10.864670697013759</v>
      </c>
      <c r="CQ92" s="1398">
        <f t="shared" si="235"/>
        <v>10.868526091607942</v>
      </c>
      <c r="CR92" s="1398">
        <f t="shared" si="235"/>
        <v>10.872382854312388</v>
      </c>
      <c r="CS92" s="1398">
        <f t="shared" si="235"/>
        <v>10.876240985612579</v>
      </c>
      <c r="CT92" s="1398">
        <f t="shared" si="235"/>
        <v>10.88010048599417</v>
      </c>
      <c r="CU92" s="1398">
        <f t="shared" si="235"/>
        <v>10.883961355942985</v>
      </c>
      <c r="CV92" s="1398">
        <f t="shared" si="235"/>
        <v>10.889903251140053</v>
      </c>
      <c r="CW92" s="1398">
        <f t="shared" si="235"/>
        <v>10.895848390203703</v>
      </c>
      <c r="CX92" s="1398">
        <f t="shared" si="235"/>
        <v>10.901796774904867</v>
      </c>
      <c r="CY92" s="1398">
        <f t="shared" si="235"/>
        <v>10.907748407015436</v>
      </c>
      <c r="CZ92" s="1398">
        <f t="shared" si="235"/>
        <v>10.913703288308273</v>
      </c>
    </row>
    <row r="93" spans="1:104" ht="13" x14ac:dyDescent="0.3">
      <c r="A93" s="873" t="str">
        <f>'HyARC Physical Property Data'!A75</f>
        <v>Bio Methane</v>
      </c>
      <c r="B93" s="260">
        <v>2007</v>
      </c>
      <c r="C93" s="874">
        <f t="shared" si="221"/>
        <v>1.1446359956438654</v>
      </c>
      <c r="D93" s="1258" t="str">
        <f>'HyARC Physical Property Data'!H75</f>
        <v>mmBtu</v>
      </c>
      <c r="E93" s="874" t="s">
        <v>1058</v>
      </c>
      <c r="F93" s="260">
        <f>'HyARC Physical Property Data'!$E$6</f>
        <v>47.141269049911173</v>
      </c>
      <c r="G93" s="260">
        <f>'HyARC Physical Property Data'!$I$6</f>
        <v>52.224661236371581</v>
      </c>
      <c r="H93" s="1069">
        <v>12.42654028436019</v>
      </c>
      <c r="I93" s="1069">
        <v>12.42654028436019</v>
      </c>
      <c r="J93" s="1069">
        <v>12.42654028436019</v>
      </c>
      <c r="K93" s="1069">
        <v>12.42654028436019</v>
      </c>
      <c r="L93" s="1069">
        <v>12.42654028436019</v>
      </c>
      <c r="M93" s="1069">
        <v>12.42654028436019</v>
      </c>
      <c r="N93" s="1069">
        <v>12.42654028436019</v>
      </c>
      <c r="O93" s="260">
        <f t="shared" ref="O93:AM93" si="236">13.11*($C$93/mmBTU_to_GJ)</f>
        <v>14.223865310797228</v>
      </c>
      <c r="P93" s="260">
        <f t="shared" si="236"/>
        <v>14.223865310797228</v>
      </c>
      <c r="Q93" s="260">
        <f t="shared" si="236"/>
        <v>14.223865310797228</v>
      </c>
      <c r="R93" s="260">
        <f t="shared" si="236"/>
        <v>14.223865310797228</v>
      </c>
      <c r="S93" s="260">
        <f t="shared" si="236"/>
        <v>14.223865310797228</v>
      </c>
      <c r="T93" s="260">
        <f t="shared" si="236"/>
        <v>14.223865310797228</v>
      </c>
      <c r="U93" s="260">
        <f t="shared" si="236"/>
        <v>14.223865310797228</v>
      </c>
      <c r="V93" s="260">
        <f t="shared" si="236"/>
        <v>14.223865310797228</v>
      </c>
      <c r="W93" s="260">
        <f t="shared" si="236"/>
        <v>14.223865310797228</v>
      </c>
      <c r="X93" s="260">
        <f t="shared" si="236"/>
        <v>14.223865310797228</v>
      </c>
      <c r="Y93" s="260">
        <f t="shared" si="236"/>
        <v>14.223865310797228</v>
      </c>
      <c r="Z93" s="260">
        <f t="shared" si="236"/>
        <v>14.223865310797228</v>
      </c>
      <c r="AA93" s="260">
        <f t="shared" si="236"/>
        <v>14.223865310797228</v>
      </c>
      <c r="AB93" s="260">
        <f t="shared" si="236"/>
        <v>14.223865310797228</v>
      </c>
      <c r="AC93" s="260">
        <f t="shared" si="236"/>
        <v>14.223865310797228</v>
      </c>
      <c r="AD93" s="260">
        <f t="shared" si="236"/>
        <v>14.223865310797228</v>
      </c>
      <c r="AE93" s="260">
        <f t="shared" si="236"/>
        <v>14.223865310797228</v>
      </c>
      <c r="AF93" s="260">
        <f t="shared" si="236"/>
        <v>14.223865310797228</v>
      </c>
      <c r="AG93" s="260">
        <f t="shared" si="236"/>
        <v>14.223865310797228</v>
      </c>
      <c r="AH93" s="260">
        <f t="shared" si="236"/>
        <v>14.223865310797228</v>
      </c>
      <c r="AI93" s="260">
        <f t="shared" si="236"/>
        <v>14.223865310797228</v>
      </c>
      <c r="AJ93" s="260">
        <f t="shared" si="236"/>
        <v>14.223865310797228</v>
      </c>
      <c r="AK93" s="260">
        <f t="shared" si="236"/>
        <v>14.223865310797228</v>
      </c>
      <c r="AL93" s="260">
        <f t="shared" si="236"/>
        <v>14.223865310797228</v>
      </c>
      <c r="AM93" s="260">
        <f t="shared" si="236"/>
        <v>14.223865310797228</v>
      </c>
      <c r="AN93" s="260">
        <f t="shared" ref="AN93:BV93" si="237">13.11*($C$93/mmBTU_to_GJ)</f>
        <v>14.223865310797228</v>
      </c>
      <c r="AO93" s="260">
        <f t="shared" si="237"/>
        <v>14.223865310797228</v>
      </c>
      <c r="AP93" s="260">
        <f t="shared" si="237"/>
        <v>14.223865310797228</v>
      </c>
      <c r="AQ93" s="260">
        <f t="shared" si="237"/>
        <v>14.223865310797228</v>
      </c>
      <c r="AR93" s="260">
        <f t="shared" si="237"/>
        <v>14.223865310797228</v>
      </c>
      <c r="AS93" s="260">
        <f t="shared" si="237"/>
        <v>14.223865310797228</v>
      </c>
      <c r="AT93" s="260">
        <f t="shared" si="237"/>
        <v>14.223865310797228</v>
      </c>
      <c r="AU93" s="260">
        <f t="shared" si="237"/>
        <v>14.223865310797228</v>
      </c>
      <c r="AV93" s="260">
        <f t="shared" si="237"/>
        <v>14.223865310797228</v>
      </c>
      <c r="AW93" s="260">
        <f t="shared" si="237"/>
        <v>14.223865310797228</v>
      </c>
      <c r="AX93" s="260">
        <f t="shared" si="237"/>
        <v>14.223865310797228</v>
      </c>
      <c r="AY93" s="260">
        <f t="shared" si="237"/>
        <v>14.223865310797228</v>
      </c>
      <c r="AZ93" s="260">
        <f t="shared" si="237"/>
        <v>14.223865310797228</v>
      </c>
      <c r="BA93" s="260">
        <f t="shared" si="237"/>
        <v>14.223865310797228</v>
      </c>
      <c r="BB93" s="260">
        <f t="shared" si="237"/>
        <v>14.223865310797228</v>
      </c>
      <c r="BC93" s="260">
        <f t="shared" si="237"/>
        <v>14.223865310797228</v>
      </c>
      <c r="BD93" s="260">
        <f t="shared" si="237"/>
        <v>14.223865310797228</v>
      </c>
      <c r="BE93" s="260">
        <f t="shared" si="237"/>
        <v>14.223865310797228</v>
      </c>
      <c r="BF93" s="260">
        <f t="shared" si="237"/>
        <v>14.223865310797228</v>
      </c>
      <c r="BG93" s="260">
        <f t="shared" si="237"/>
        <v>14.223865310797228</v>
      </c>
      <c r="BH93" s="260">
        <f t="shared" si="237"/>
        <v>14.223865310797228</v>
      </c>
      <c r="BI93" s="260">
        <f t="shared" si="237"/>
        <v>14.223865310797228</v>
      </c>
      <c r="BJ93" s="260">
        <f t="shared" si="237"/>
        <v>14.223865310797228</v>
      </c>
      <c r="BK93" s="260">
        <f t="shared" si="237"/>
        <v>14.223865310797228</v>
      </c>
      <c r="BL93" s="260">
        <f t="shared" si="237"/>
        <v>14.223865310797228</v>
      </c>
      <c r="BM93" s="260">
        <f t="shared" si="237"/>
        <v>14.223865310797228</v>
      </c>
      <c r="BN93" s="260">
        <f t="shared" si="237"/>
        <v>14.223865310797228</v>
      </c>
      <c r="BO93" s="260">
        <f t="shared" si="237"/>
        <v>14.223865310797228</v>
      </c>
      <c r="BP93" s="260">
        <f t="shared" si="237"/>
        <v>14.223865310797228</v>
      </c>
      <c r="BQ93" s="260">
        <f t="shared" si="237"/>
        <v>14.223865310797228</v>
      </c>
      <c r="BR93" s="260">
        <f t="shared" si="237"/>
        <v>14.223865310797228</v>
      </c>
      <c r="BS93" s="260">
        <f t="shared" si="237"/>
        <v>14.223865310797228</v>
      </c>
      <c r="BT93" s="260">
        <f t="shared" si="237"/>
        <v>14.223865310797228</v>
      </c>
      <c r="BU93" s="260">
        <f t="shared" si="237"/>
        <v>14.223865310797228</v>
      </c>
      <c r="BV93" s="876">
        <f t="shared" si="237"/>
        <v>14.223865310797228</v>
      </c>
      <c r="BW93" s="1398">
        <f>+BV93*BW$136/BV$136</f>
        <v>14.271092726019944</v>
      </c>
      <c r="BX93" s="1398">
        <f t="shared" ref="BX93:CZ93" si="238">+BW93*BX$136/BW$136</f>
        <v>14.318476950147966</v>
      </c>
      <c r="BY93" s="1398">
        <f t="shared" si="238"/>
        <v>14.366018503832969</v>
      </c>
      <c r="BZ93" s="1398">
        <f t="shared" si="238"/>
        <v>14.413717909455341</v>
      </c>
      <c r="CA93" s="1398">
        <f t="shared" si="238"/>
        <v>14.461575691129934</v>
      </c>
      <c r="CB93" s="1398">
        <f t="shared" si="238"/>
        <v>14.49243565590395</v>
      </c>
      <c r="CC93" s="1398">
        <f t="shared" si="238"/>
        <v>14.523361473628309</v>
      </c>
      <c r="CD93" s="1398">
        <f t="shared" si="238"/>
        <v>14.554353284828478</v>
      </c>
      <c r="CE93" s="1398">
        <f t="shared" si="238"/>
        <v>14.585411230329802</v>
      </c>
      <c r="CF93" s="1398">
        <f t="shared" si="238"/>
        <v>14.616535451258134</v>
      </c>
      <c r="CG93" s="1398">
        <f t="shared" si="238"/>
        <v>14.626641288360148</v>
      </c>
      <c r="CH93" s="1398">
        <f t="shared" si="238"/>
        <v>14.636754112613382</v>
      </c>
      <c r="CI93" s="1398">
        <f t="shared" si="238"/>
        <v>14.646873928848736</v>
      </c>
      <c r="CJ93" s="1398">
        <f t="shared" si="238"/>
        <v>14.657000741900452</v>
      </c>
      <c r="CK93" s="1398">
        <f t="shared" si="238"/>
        <v>14.667134556606111</v>
      </c>
      <c r="CL93" s="1398">
        <f t="shared" si="238"/>
        <v>14.670569469948116</v>
      </c>
      <c r="CM93" s="1398">
        <f t="shared" si="238"/>
        <v>14.674005187716483</v>
      </c>
      <c r="CN93" s="1398">
        <f t="shared" si="238"/>
        <v>14.6774417100996</v>
      </c>
      <c r="CO93" s="1398">
        <f t="shared" si="238"/>
        <v>14.6808790372859</v>
      </c>
      <c r="CP93" s="1398">
        <f t="shared" si="238"/>
        <v>14.684317169463862</v>
      </c>
      <c r="CQ93" s="1398">
        <f t="shared" si="238"/>
        <v>14.689527988881515</v>
      </c>
      <c r="CR93" s="1398">
        <f t="shared" si="238"/>
        <v>14.69474065739019</v>
      </c>
      <c r="CS93" s="1398">
        <f t="shared" si="238"/>
        <v>14.699955175646044</v>
      </c>
      <c r="CT93" s="1398">
        <f t="shared" si="238"/>
        <v>14.705171544305472</v>
      </c>
      <c r="CU93" s="1398">
        <f t="shared" si="238"/>
        <v>14.710389764025104</v>
      </c>
      <c r="CV93" s="1398">
        <f t="shared" si="238"/>
        <v>14.718420626266095</v>
      </c>
      <c r="CW93" s="1398">
        <f t="shared" si="238"/>
        <v>14.726455872806168</v>
      </c>
      <c r="CX93" s="1398">
        <f t="shared" si="238"/>
        <v>14.734495506038849</v>
      </c>
      <c r="CY93" s="1398">
        <f t="shared" si="238"/>
        <v>14.74253952835897</v>
      </c>
      <c r="CZ93" s="1398">
        <f t="shared" si="238"/>
        <v>14.750587942162673</v>
      </c>
    </row>
    <row r="94" spans="1:104" ht="13" x14ac:dyDescent="0.3">
      <c r="A94" s="964" t="str">
        <f>'HyARC Physical Property Data'!A85</f>
        <v>Woody Biomass</v>
      </c>
      <c r="B94" s="260">
        <v>2005</v>
      </c>
      <c r="C94" s="874">
        <f t="shared" si="221"/>
        <v>1.2112501494873942</v>
      </c>
      <c r="D94" s="1260" t="str">
        <f>+'HyARC Physical Property Data'!$H$85</f>
        <v>kg</v>
      </c>
      <c r="E94" s="874" t="s">
        <v>1058</v>
      </c>
      <c r="F94" s="260">
        <f>'HyARC Physical Property Data'!$E$45</f>
        <v>19.551069237418005</v>
      </c>
      <c r="G94" s="260">
        <f>'HyARC Physical Property Data'!$I$45</f>
        <v>20.588656379262464</v>
      </c>
      <c r="H94" s="1069">
        <v>1.3438238843289665</v>
      </c>
      <c r="I94" s="1069">
        <v>1.3438238843289665</v>
      </c>
      <c r="J94" s="1069">
        <v>1.3438238843289665</v>
      </c>
      <c r="K94" s="1069">
        <v>1.3438238843289665</v>
      </c>
      <c r="L94" s="1069">
        <v>1.3438238843289665</v>
      </c>
      <c r="M94" s="1069">
        <v>1.3438238843289665</v>
      </c>
      <c r="N94" s="1069">
        <v>1.3438238843289665</v>
      </c>
      <c r="O94" s="260">
        <f>1.27*($C$94)</f>
        <v>1.5382876898489906</v>
      </c>
      <c r="P94" s="260">
        <f>1.28*($C$94)</f>
        <v>1.5504001913438645</v>
      </c>
      <c r="Q94" s="260">
        <f>1.32*($C$94)</f>
        <v>1.5988501973233604</v>
      </c>
      <c r="R94" s="260">
        <f>1.32*($C$94)</f>
        <v>1.5988501973233604</v>
      </c>
      <c r="S94" s="260">
        <f>1.34*($C$94)</f>
        <v>1.6230752003131084</v>
      </c>
      <c r="T94" s="260">
        <f>1.34*($C$94)</f>
        <v>1.6230752003131084</v>
      </c>
      <c r="U94" s="260">
        <f>1.36*($C$94)</f>
        <v>1.6473002033028561</v>
      </c>
      <c r="V94" s="260">
        <f>1.36*($C$94)</f>
        <v>1.6473002033028561</v>
      </c>
      <c r="W94" s="260">
        <f>1.38*($C$94)</f>
        <v>1.6715252062926038</v>
      </c>
      <c r="X94" s="260">
        <f>1.4*($C$94)</f>
        <v>1.6957502092823518</v>
      </c>
      <c r="Y94" s="260">
        <f>1.46*($C$94)</f>
        <v>1.7684252182515954</v>
      </c>
      <c r="Z94" s="260">
        <f>1.48*($C$94)</f>
        <v>1.7926502212413433</v>
      </c>
      <c r="AA94" s="260">
        <f>1.48*($C$94)</f>
        <v>1.7926502212413433</v>
      </c>
      <c r="AB94" s="260">
        <f>1.51*($C$94)</f>
        <v>1.8289877257259652</v>
      </c>
      <c r="AC94" s="260">
        <f>1.52*($C$94)</f>
        <v>1.8411002272208392</v>
      </c>
      <c r="AD94" s="260">
        <f>1.62*($C$94)</f>
        <v>1.9622252421695787</v>
      </c>
      <c r="AE94" s="260">
        <f>1.72*($C$94)</f>
        <v>2.083350257118318</v>
      </c>
      <c r="AF94" s="260">
        <f>1.82*($C$94)</f>
        <v>2.2044752720670573</v>
      </c>
      <c r="AG94" s="260">
        <f>1.91*($C$94)</f>
        <v>2.3134877855209228</v>
      </c>
      <c r="AH94" s="260">
        <f>2.01*($C$94)</f>
        <v>2.4346128004696621</v>
      </c>
      <c r="AI94" s="260">
        <f>2.11*($C$94)</f>
        <v>2.5557378154184014</v>
      </c>
      <c r="AJ94" s="260">
        <f>2.2*($C$94)</f>
        <v>2.6647503288722674</v>
      </c>
      <c r="AK94" s="260">
        <f>2.3*($C$94)</f>
        <v>2.7858753438210062</v>
      </c>
      <c r="AL94" s="260">
        <f>2.4*($C$94)</f>
        <v>2.9070003587697459</v>
      </c>
      <c r="AM94" s="260">
        <f>2.5*($C$94)</f>
        <v>3.0281253737184857</v>
      </c>
      <c r="AN94" s="260">
        <f>2.57*($C$94)</f>
        <v>3.1129128841826028</v>
      </c>
      <c r="AO94" s="260">
        <f>2.64*($C$94)</f>
        <v>3.1977003946467208</v>
      </c>
      <c r="AP94" s="260">
        <f>2.71*($C$94)</f>
        <v>3.282487905110838</v>
      </c>
      <c r="AQ94" s="260">
        <f>2.78*($C$94)</f>
        <v>3.3672754155749556</v>
      </c>
      <c r="AR94" s="260">
        <f>2.85*($C$94)</f>
        <v>3.4520629260390736</v>
      </c>
      <c r="AS94" s="260">
        <f>2.92*($C$94)</f>
        <v>3.5368504365031908</v>
      </c>
      <c r="AT94" s="260">
        <f>2.99*($C$94)</f>
        <v>3.6216379469673088</v>
      </c>
      <c r="AU94" s="260">
        <f>3.07*($C$94)</f>
        <v>3.7185379589263001</v>
      </c>
      <c r="AV94" s="260">
        <f>3.14*($C$94)</f>
        <v>3.8033254693904177</v>
      </c>
      <c r="AW94" s="260">
        <f>3.21*($C$94)</f>
        <v>3.8881129798545353</v>
      </c>
      <c r="AX94" s="260">
        <f>3.28*($C$94)</f>
        <v>3.9729004903186529</v>
      </c>
      <c r="AY94" s="260">
        <f>3.35*($C$94)</f>
        <v>4.0576880007827709</v>
      </c>
      <c r="AZ94" s="260">
        <f>3.42*($C$94)</f>
        <v>4.1424755112468876</v>
      </c>
      <c r="BA94" s="260">
        <f>3.49*($C$94)</f>
        <v>4.2272630217110061</v>
      </c>
      <c r="BB94" s="260">
        <f>3.56*($C$94)</f>
        <v>4.3120505321751237</v>
      </c>
      <c r="BC94" s="260">
        <f>3.64*($C$94)</f>
        <v>4.4089505441341146</v>
      </c>
      <c r="BD94" s="260">
        <f>3.71*($C$94)</f>
        <v>4.4937380545982322</v>
      </c>
      <c r="BE94" s="260">
        <f>3.78*($C$94)</f>
        <v>4.5785255650623498</v>
      </c>
      <c r="BF94" s="260">
        <f>3.85*($C$94)</f>
        <v>4.6633130755264673</v>
      </c>
      <c r="BG94" s="260">
        <f>3.92*($C$94)</f>
        <v>4.7481005859905849</v>
      </c>
      <c r="BH94" s="260">
        <f>3.99*($C$94)</f>
        <v>4.8328880964547034</v>
      </c>
      <c r="BI94" s="260">
        <f>4.06*($C$94)</f>
        <v>4.9176756069188201</v>
      </c>
      <c r="BJ94" s="260">
        <f>4.14*($C$94)</f>
        <v>5.0145756188778119</v>
      </c>
      <c r="BK94" s="260">
        <f>4.21*($C$94)</f>
        <v>5.0993631293419295</v>
      </c>
      <c r="BL94" s="260">
        <f>4.28*($C$94)</f>
        <v>5.1841506398060471</v>
      </c>
      <c r="BM94" s="260">
        <f>4.35*($C$94)</f>
        <v>5.2689381502701647</v>
      </c>
      <c r="BN94" s="260">
        <f>4.42*($C$94)</f>
        <v>5.3537256607342822</v>
      </c>
      <c r="BO94" s="260">
        <f>4.49*($C$94)</f>
        <v>5.4385131711983998</v>
      </c>
      <c r="BP94" s="260">
        <f>4.56*($C$94)</f>
        <v>5.5233006816625174</v>
      </c>
      <c r="BQ94" s="260">
        <f>4.63*($C$94)</f>
        <v>5.608088192126635</v>
      </c>
      <c r="BR94" s="260">
        <f>4.71*($C$94)</f>
        <v>5.7049882040856268</v>
      </c>
      <c r="BS94" s="260">
        <f>4.78*($C$94)</f>
        <v>5.7897757145497444</v>
      </c>
      <c r="BT94" s="260">
        <f>4.85*($C$94)</f>
        <v>5.8745632250138611</v>
      </c>
      <c r="BU94" s="260">
        <f>4.92*($C$94)</f>
        <v>5.9593507354779796</v>
      </c>
      <c r="BV94" s="876">
        <f>4.99*($C$94)</f>
        <v>6.0441382459420971</v>
      </c>
      <c r="BW94" s="1398">
        <f>+BV94*BW$137/BV$137</f>
        <v>6.0586659764672328</v>
      </c>
      <c r="BX94" s="1398">
        <f t="shared" ref="BX94:CZ94" si="239">+BW94*BX$137/BW$137</f>
        <v>6.0732286259412112</v>
      </c>
      <c r="BY94" s="1398">
        <f t="shared" si="239"/>
        <v>6.0878262782954495</v>
      </c>
      <c r="BZ94" s="1398">
        <f t="shared" si="239"/>
        <v>6.1024590176630999</v>
      </c>
      <c r="CA94" s="1398">
        <f t="shared" si="239"/>
        <v>6.1171269283795393</v>
      </c>
      <c r="CB94" s="1398">
        <f t="shared" si="239"/>
        <v>6.1299667153690152</v>
      </c>
      <c r="CC94" s="1398">
        <f t="shared" si="239"/>
        <v>6.1428334529403346</v>
      </c>
      <c r="CD94" s="1398">
        <f t="shared" si="239"/>
        <v>6.155727197662495</v>
      </c>
      <c r="CE94" s="1398">
        <f t="shared" si="239"/>
        <v>6.1686480062232301</v>
      </c>
      <c r="CF94" s="1398">
        <f t="shared" si="239"/>
        <v>6.18159593542926</v>
      </c>
      <c r="CG94" s="1398">
        <f t="shared" si="239"/>
        <v>6.197524392005751</v>
      </c>
      <c r="CH94" s="1398">
        <f t="shared" si="239"/>
        <v>6.2134938923080965</v>
      </c>
      <c r="CI94" s="1398">
        <f t="shared" si="239"/>
        <v>6.229504542095909</v>
      </c>
      <c r="CJ94" s="1398">
        <f t="shared" si="239"/>
        <v>6.245556447401321</v>
      </c>
      <c r="CK94" s="1398">
        <f t="shared" si="239"/>
        <v>6.2616497145296828</v>
      </c>
      <c r="CL94" s="1398">
        <f t="shared" si="239"/>
        <v>6.2750522655841658</v>
      </c>
      <c r="CM94" s="1398">
        <f t="shared" si="239"/>
        <v>6.2884835037072264</v>
      </c>
      <c r="CN94" s="1398">
        <f t="shared" si="239"/>
        <v>6.3019434903011975</v>
      </c>
      <c r="CO94" s="1398">
        <f t="shared" si="239"/>
        <v>6.3154322868998385</v>
      </c>
      <c r="CP94" s="1398">
        <f t="shared" si="239"/>
        <v>6.3289499551686168</v>
      </c>
      <c r="CQ94" s="1398">
        <f t="shared" si="239"/>
        <v>6.3413225489579119</v>
      </c>
      <c r="CR94" s="1398">
        <f t="shared" si="239"/>
        <v>6.3537193301840116</v>
      </c>
      <c r="CS94" s="1398">
        <f t="shared" si="239"/>
        <v>6.3661403461314299</v>
      </c>
      <c r="CT94" s="1398">
        <f t="shared" si="239"/>
        <v>6.3785856441771198</v>
      </c>
      <c r="CU94" s="1398">
        <f t="shared" si="239"/>
        <v>6.3910552717906537</v>
      </c>
      <c r="CV94" s="1398">
        <f t="shared" si="239"/>
        <v>6.4057772391562917</v>
      </c>
      <c r="CW94" s="1398">
        <f t="shared" si="239"/>
        <v>6.4205331189689208</v>
      </c>
      <c r="CX94" s="1398">
        <f t="shared" si="239"/>
        <v>6.4353229893467718</v>
      </c>
      <c r="CY94" s="1398">
        <f t="shared" si="239"/>
        <v>6.4501469285880244</v>
      </c>
      <c r="CZ94" s="1398">
        <f t="shared" si="239"/>
        <v>6.4650050151712186</v>
      </c>
    </row>
    <row r="95" spans="1:104" ht="13" x14ac:dyDescent="0.3">
      <c r="A95" s="910" t="str">
        <f>'HyARC Physical Property Data'!A80</f>
        <v>Metallurgical Coal</v>
      </c>
      <c r="B95" s="260">
        <v>2012</v>
      </c>
      <c r="C95" s="874">
        <f t="shared" si="221"/>
        <v>1.0589185747008452</v>
      </c>
      <c r="D95" s="1259" t="str">
        <f>+'HyARC Physical Property Data'!H80</f>
        <v>kg</v>
      </c>
      <c r="E95" s="901" t="s">
        <v>1052</v>
      </c>
      <c r="F95" s="260">
        <f>'HyARC Physical Property Data'!$E$44</f>
        <v>28.610197070281195</v>
      </c>
      <c r="G95" s="260">
        <f>'HyARC Physical Property Data'!$I$44</f>
        <v>29.865267156269461</v>
      </c>
      <c r="H95" s="1070">
        <v>3.3844321322674711</v>
      </c>
      <c r="I95" s="1070">
        <v>3.3844321322674711</v>
      </c>
      <c r="J95" s="1070">
        <v>3.3844321322674711</v>
      </c>
      <c r="K95" s="1070">
        <v>3.3844321322674711</v>
      </c>
      <c r="L95" s="1070">
        <v>4.1181843560652975</v>
      </c>
      <c r="M95" s="1070">
        <v>4.3291381204071717</v>
      </c>
      <c r="N95" s="1070">
        <v>4.4025133427869543</v>
      </c>
      <c r="O95" s="965">
        <f t="shared" ref="O95:AR95" si="240">O111*($C95/mmBTU_to_GJ*$G95/$F95)</f>
        <v>7.4754647098413036</v>
      </c>
      <c r="P95" s="965">
        <f t="shared" si="240"/>
        <v>7.5961523788362539</v>
      </c>
      <c r="Q95" s="965">
        <f t="shared" si="240"/>
        <v>7.7888515723825718</v>
      </c>
      <c r="R95" s="965">
        <f t="shared" si="240"/>
        <v>7.8710115565120651</v>
      </c>
      <c r="S95" s="965">
        <f t="shared" si="240"/>
        <v>8.1298664269345355</v>
      </c>
      <c r="T95" s="965">
        <f t="shared" si="240"/>
        <v>8.3275528874219908</v>
      </c>
      <c r="U95" s="965">
        <f t="shared" si="240"/>
        <v>8.4326459175194799</v>
      </c>
      <c r="V95" s="965">
        <f t="shared" si="240"/>
        <v>8.5820072281905144</v>
      </c>
      <c r="W95" s="965">
        <f t="shared" si="240"/>
        <v>8.6973241555173413</v>
      </c>
      <c r="X95" s="965">
        <f t="shared" si="240"/>
        <v>8.8306675382480098</v>
      </c>
      <c r="Y95" s="965">
        <f t="shared" si="240"/>
        <v>8.9332721736007059</v>
      </c>
      <c r="Z95" s="965">
        <f t="shared" si="240"/>
        <v>9.0455694993887992</v>
      </c>
      <c r="AA95" s="965">
        <f t="shared" si="240"/>
        <v>9.1556508441725821</v>
      </c>
      <c r="AB95" s="965">
        <f t="shared" si="240"/>
        <v>9.2678109153452777</v>
      </c>
      <c r="AC95" s="965">
        <f t="shared" si="240"/>
        <v>9.379158984022304</v>
      </c>
      <c r="AD95" s="965">
        <f t="shared" si="240"/>
        <v>9.4759674931736608</v>
      </c>
      <c r="AE95" s="965">
        <f t="shared" si="240"/>
        <v>9.5858141430425672</v>
      </c>
      <c r="AF95" s="965">
        <f t="shared" si="240"/>
        <v>9.7090321165885385</v>
      </c>
      <c r="AG95" s="965">
        <f t="shared" si="240"/>
        <v>9.8280622527471682</v>
      </c>
      <c r="AH95" s="965">
        <f t="shared" si="240"/>
        <v>9.9673233001172399</v>
      </c>
      <c r="AI95" s="965">
        <f t="shared" si="240"/>
        <v>10.050780392749491</v>
      </c>
      <c r="AJ95" s="965">
        <f t="shared" si="240"/>
        <v>10.135476967900939</v>
      </c>
      <c r="AK95" s="965">
        <f t="shared" si="240"/>
        <v>10.225183860386949</v>
      </c>
      <c r="AL95" s="965">
        <f t="shared" si="240"/>
        <v>10.307087146953293</v>
      </c>
      <c r="AM95" s="965">
        <f t="shared" si="240"/>
        <v>10.409246490614819</v>
      </c>
      <c r="AN95" s="260">
        <f t="shared" si="240"/>
        <v>10.490880506676149</v>
      </c>
      <c r="AO95" s="260">
        <f t="shared" si="240"/>
        <v>10.58291758438844</v>
      </c>
      <c r="AP95" s="260">
        <f t="shared" si="240"/>
        <v>10.589678683878184</v>
      </c>
      <c r="AQ95" s="260">
        <f t="shared" si="240"/>
        <v>10.619779354456332</v>
      </c>
      <c r="AR95" s="260">
        <f t="shared" si="240"/>
        <v>10.683904501220734</v>
      </c>
      <c r="AS95" s="260">
        <f>($BB95-$AR95)/10+AR95</f>
        <v>10.706641272001209</v>
      </c>
      <c r="AT95" s="260">
        <f t="shared" ref="AT95:BA95" si="241">($BB95-$AR95)/10+AS95</f>
        <v>10.729378042781683</v>
      </c>
      <c r="AU95" s="260">
        <f t="shared" si="241"/>
        <v>10.752114813562157</v>
      </c>
      <c r="AV95" s="260">
        <f t="shared" si="241"/>
        <v>10.774851584342631</v>
      </c>
      <c r="AW95" s="260">
        <f t="shared" si="241"/>
        <v>10.797588355123105</v>
      </c>
      <c r="AX95" s="260">
        <f t="shared" si="241"/>
        <v>10.82032512590358</v>
      </c>
      <c r="AY95" s="260">
        <f t="shared" si="241"/>
        <v>10.843061896684054</v>
      </c>
      <c r="AZ95" s="260">
        <f t="shared" si="241"/>
        <v>10.865798667464528</v>
      </c>
      <c r="BA95" s="260">
        <f t="shared" si="241"/>
        <v>10.888535438245002</v>
      </c>
      <c r="BB95" s="939">
        <f>('AEO Data'!$B$28*AM95)</f>
        <v>10.911272209025483</v>
      </c>
      <c r="BC95" s="260">
        <f t="shared" ref="BC95:BP95" si="242">($BQ95-$BB95)/15+BB95</f>
        <v>10.949564626152206</v>
      </c>
      <c r="BD95" s="260">
        <f t="shared" si="242"/>
        <v>10.987857043278929</v>
      </c>
      <c r="BE95" s="260">
        <f t="shared" si="242"/>
        <v>11.026149460405652</v>
      </c>
      <c r="BF95" s="260">
        <f t="shared" si="242"/>
        <v>11.064441877532374</v>
      </c>
      <c r="BG95" s="260">
        <f t="shared" si="242"/>
        <v>11.102734294659097</v>
      </c>
      <c r="BH95" s="260">
        <f t="shared" si="242"/>
        <v>11.14102671178582</v>
      </c>
      <c r="BI95" s="260">
        <f t="shared" si="242"/>
        <v>11.179319128912542</v>
      </c>
      <c r="BJ95" s="260">
        <f t="shared" si="242"/>
        <v>11.217611546039265</v>
      </c>
      <c r="BK95" s="260">
        <f t="shared" si="242"/>
        <v>11.255903963165988</v>
      </c>
      <c r="BL95" s="260">
        <f t="shared" si="242"/>
        <v>11.294196380292711</v>
      </c>
      <c r="BM95" s="260">
        <f t="shared" si="242"/>
        <v>11.332488797419433</v>
      </c>
      <c r="BN95" s="260">
        <f t="shared" si="242"/>
        <v>11.370781214546156</v>
      </c>
      <c r="BO95" s="260">
        <f t="shared" si="242"/>
        <v>11.409073631672879</v>
      </c>
      <c r="BP95" s="260">
        <f t="shared" si="242"/>
        <v>11.447366048799601</v>
      </c>
      <c r="BQ95" s="939">
        <f>('AEO Data'!$C$28*BB95)</f>
        <v>11.485658465926328</v>
      </c>
      <c r="BR95" s="260">
        <f t="shared" ref="BR95:BU100" si="243">($BV95-$BQ95)/5+BQ95</f>
        <v>11.522480349055732</v>
      </c>
      <c r="BS95" s="260">
        <f t="shared" si="243"/>
        <v>11.559302232185136</v>
      </c>
      <c r="BT95" s="260">
        <f t="shared" si="243"/>
        <v>11.59612411531454</v>
      </c>
      <c r="BU95" s="260">
        <f t="shared" si="243"/>
        <v>11.632945998443944</v>
      </c>
      <c r="BV95" s="963">
        <f>('AEO Data'!$D$28*BQ95)</f>
        <v>11.669767881573351</v>
      </c>
      <c r="BW95" s="1398">
        <f t="shared" ref="BW95:CZ95" si="244">+BV95*BW$138/BV$138</f>
        <v>11.709222844508201</v>
      </c>
      <c r="BX95" s="1398">
        <f t="shared" si="244"/>
        <v>11.748811202906952</v>
      </c>
      <c r="BY95" s="1398">
        <f t="shared" si="244"/>
        <v>11.788533407773697</v>
      </c>
      <c r="BZ95" s="1398">
        <f t="shared" si="244"/>
        <v>11.828389911637355</v>
      </c>
      <c r="CA95" s="1398">
        <f t="shared" si="244"/>
        <v>11.868381168556825</v>
      </c>
      <c r="CB95" s="1398">
        <f t="shared" si="244"/>
        <v>11.902362207175498</v>
      </c>
      <c r="CC95" s="1398">
        <f t="shared" si="244"/>
        <v>11.936440538842751</v>
      </c>
      <c r="CD95" s="1398">
        <f t="shared" si="244"/>
        <v>11.970616442123857</v>
      </c>
      <c r="CE95" s="1398">
        <f t="shared" si="244"/>
        <v>12.004890196381666</v>
      </c>
      <c r="CF95" s="1398">
        <f t="shared" si="244"/>
        <v>12.039262081778887</v>
      </c>
      <c r="CG95" s="1398">
        <f t="shared" si="244"/>
        <v>12.065505052077379</v>
      </c>
      <c r="CH95" s="1398">
        <f t="shared" si="244"/>
        <v>12.091805226337826</v>
      </c>
      <c r="CI95" s="1398">
        <f t="shared" si="244"/>
        <v>12.118162729252409</v>
      </c>
      <c r="CJ95" s="1398">
        <f t="shared" si="244"/>
        <v>12.144577685785119</v>
      </c>
      <c r="CK95" s="1398">
        <f t="shared" si="244"/>
        <v>12.171050221172331</v>
      </c>
      <c r="CL95" s="1398">
        <f t="shared" si="244"/>
        <v>12.188996392854733</v>
      </c>
      <c r="CM95" s="1398">
        <f t="shared" si="244"/>
        <v>12.206969026105547</v>
      </c>
      <c r="CN95" s="1398">
        <f t="shared" si="244"/>
        <v>12.224968159942263</v>
      </c>
      <c r="CO95" s="1398">
        <f t="shared" si="244"/>
        <v>12.242993833439904</v>
      </c>
      <c r="CP95" s="1398">
        <f t="shared" si="244"/>
        <v>12.261046085731108</v>
      </c>
      <c r="CQ95" s="1398">
        <f t="shared" si="244"/>
        <v>12.267091502720543</v>
      </c>
      <c r="CR95" s="1398">
        <f t="shared" si="244"/>
        <v>12.273139900456183</v>
      </c>
      <c r="CS95" s="1398">
        <f t="shared" si="244"/>
        <v>12.27919128040771</v>
      </c>
      <c r="CT95" s="1398">
        <f t="shared" si="244"/>
        <v>12.285245644045531</v>
      </c>
      <c r="CU95" s="1398">
        <f t="shared" si="244"/>
        <v>12.291302992840782</v>
      </c>
      <c r="CV95" s="1398">
        <f t="shared" si="244"/>
        <v>12.282597276301862</v>
      </c>
      <c r="CW95" s="1398">
        <f t="shared" si="244"/>
        <v>12.273897725870841</v>
      </c>
      <c r="CX95" s="1398">
        <f t="shared" si="244"/>
        <v>12.26520433718037</v>
      </c>
      <c r="CY95" s="1398">
        <f t="shared" si="244"/>
        <v>12.256517105866193</v>
      </c>
      <c r="CZ95" s="1398">
        <f t="shared" si="244"/>
        <v>12.247836027567152</v>
      </c>
    </row>
    <row r="96" spans="1:104" ht="13" x14ac:dyDescent="0.3">
      <c r="A96" s="910" t="str">
        <f>'HyARC Physical Property Data'!A81</f>
        <v>Other Industrial Coal</v>
      </c>
      <c r="B96" s="260">
        <v>2012</v>
      </c>
      <c r="C96" s="874">
        <f t="shared" si="221"/>
        <v>1.0589185747008452</v>
      </c>
      <c r="D96" s="1259" t="str">
        <f>+'HyARC Physical Property Data'!H81</f>
        <v>kg</v>
      </c>
      <c r="E96" s="901" t="s">
        <v>1052</v>
      </c>
      <c r="F96" s="260">
        <f>'HyARC Physical Property Data'!$E$42</f>
        <v>22.7322030001394</v>
      </c>
      <c r="G96" s="260">
        <f>'HyARC Physical Property Data'!$I$42</f>
        <v>23.967615189707661</v>
      </c>
      <c r="H96" s="1070">
        <v>1.7045706620386931</v>
      </c>
      <c r="I96" s="1070">
        <v>1.7045706620386931</v>
      </c>
      <c r="J96" s="1070">
        <v>1.7045706620386931</v>
      </c>
      <c r="K96" s="1070">
        <v>1.7045706620386931</v>
      </c>
      <c r="L96" s="1070">
        <v>1.9454339077615519</v>
      </c>
      <c r="M96" s="1070">
        <v>2.0288096466656182</v>
      </c>
      <c r="N96" s="1070">
        <v>1.8805861108361666</v>
      </c>
      <c r="O96" s="965">
        <f t="shared" ref="O96:AR96" si="245">O112*($C96/mmBTU_to_GJ*$G96/$F96)</f>
        <v>3.5000719734406505</v>
      </c>
      <c r="P96" s="965">
        <f t="shared" si="245"/>
        <v>3.4283630486034649</v>
      </c>
      <c r="Q96" s="965">
        <f t="shared" si="245"/>
        <v>3.5082354103172322</v>
      </c>
      <c r="R96" s="965">
        <f t="shared" si="245"/>
        <v>3.4729360065765973</v>
      </c>
      <c r="S96" s="965">
        <f t="shared" si="245"/>
        <v>3.5728444520840283</v>
      </c>
      <c r="T96" s="965">
        <f t="shared" si="245"/>
        <v>3.6374683095257363</v>
      </c>
      <c r="U96" s="965">
        <f t="shared" si="245"/>
        <v>3.6626327333639828</v>
      </c>
      <c r="V96" s="965">
        <f t="shared" si="245"/>
        <v>3.7258057129267965</v>
      </c>
      <c r="W96" s="965">
        <f t="shared" si="245"/>
        <v>3.7685626924606996</v>
      </c>
      <c r="X96" s="965">
        <f t="shared" si="245"/>
        <v>3.8026038220962977</v>
      </c>
      <c r="Y96" s="965">
        <f t="shared" si="245"/>
        <v>3.8249701999011396</v>
      </c>
      <c r="Z96" s="965">
        <f t="shared" si="245"/>
        <v>3.8516352399554865</v>
      </c>
      <c r="AA96" s="965">
        <f t="shared" si="245"/>
        <v>3.8787257015323093</v>
      </c>
      <c r="AB96" s="965">
        <f t="shared" si="245"/>
        <v>3.9124059636575477</v>
      </c>
      <c r="AC96" s="965">
        <f t="shared" si="245"/>
        <v>3.9446681540411968</v>
      </c>
      <c r="AD96" s="965">
        <f t="shared" si="245"/>
        <v>3.9749376361491651</v>
      </c>
      <c r="AE96" s="965">
        <f t="shared" si="245"/>
        <v>4.0052642644317942</v>
      </c>
      <c r="AF96" s="965">
        <f t="shared" si="245"/>
        <v>4.0387455732082129</v>
      </c>
      <c r="AG96" s="965">
        <f t="shared" si="245"/>
        <v>4.0690235214161303</v>
      </c>
      <c r="AH96" s="965">
        <f t="shared" si="245"/>
        <v>4.1108047829308205</v>
      </c>
      <c r="AI96" s="965">
        <f t="shared" si="245"/>
        <v>4.1436733577233733</v>
      </c>
      <c r="AJ96" s="965">
        <f t="shared" si="245"/>
        <v>4.1746317687147547</v>
      </c>
      <c r="AK96" s="965">
        <f t="shared" si="245"/>
        <v>4.2078082978929805</v>
      </c>
      <c r="AL96" s="965">
        <f t="shared" si="245"/>
        <v>4.2335251347529512</v>
      </c>
      <c r="AM96" s="965">
        <f t="shared" si="245"/>
        <v>4.2641893487710778</v>
      </c>
      <c r="AN96" s="260">
        <f t="shared" si="245"/>
        <v>4.2965838219664425</v>
      </c>
      <c r="AO96" s="260">
        <f t="shared" si="245"/>
        <v>4.3287105547508951</v>
      </c>
      <c r="AP96" s="260">
        <f t="shared" si="245"/>
        <v>4.3570423582328557</v>
      </c>
      <c r="AQ96" s="260">
        <f t="shared" si="245"/>
        <v>4.3910559730436169</v>
      </c>
      <c r="AR96" s="260">
        <f t="shared" si="245"/>
        <v>4.4340140224513274</v>
      </c>
      <c r="AS96" s="260">
        <f t="shared" ref="AS96:BA96" si="246">($BB96-$AR96)/10+AR96</f>
        <v>4.4375972389028373</v>
      </c>
      <c r="AT96" s="260">
        <f t="shared" si="246"/>
        <v>4.4411804553543472</v>
      </c>
      <c r="AU96" s="260">
        <f t="shared" si="246"/>
        <v>4.4447636718058572</v>
      </c>
      <c r="AV96" s="260">
        <f t="shared" si="246"/>
        <v>4.4483468882573671</v>
      </c>
      <c r="AW96" s="260">
        <f t="shared" si="246"/>
        <v>4.4519301047088771</v>
      </c>
      <c r="AX96" s="260">
        <f t="shared" si="246"/>
        <v>4.455513321160387</v>
      </c>
      <c r="AY96" s="260">
        <f t="shared" si="246"/>
        <v>4.4590965376118969</v>
      </c>
      <c r="AZ96" s="260">
        <f t="shared" si="246"/>
        <v>4.4626797540634069</v>
      </c>
      <c r="BA96" s="260">
        <f t="shared" si="246"/>
        <v>4.4662629705149168</v>
      </c>
      <c r="BB96" s="939">
        <f>('AEO Data'!$B$28*AM96)</f>
        <v>4.4698461869664294</v>
      </c>
      <c r="BC96" s="260">
        <f t="shared" ref="BC96:BP96" si="247">($BQ96-$BB96)/15+BB96</f>
        <v>4.4855328283960176</v>
      </c>
      <c r="BD96" s="260">
        <f t="shared" si="247"/>
        <v>4.5012194698256058</v>
      </c>
      <c r="BE96" s="260">
        <f t="shared" si="247"/>
        <v>4.516906111255194</v>
      </c>
      <c r="BF96" s="260">
        <f t="shared" si="247"/>
        <v>4.5325927526847822</v>
      </c>
      <c r="BG96" s="260">
        <f t="shared" si="247"/>
        <v>4.5482793941143704</v>
      </c>
      <c r="BH96" s="260">
        <f t="shared" si="247"/>
        <v>4.5639660355439586</v>
      </c>
      <c r="BI96" s="260">
        <f t="shared" si="247"/>
        <v>4.5796526769735468</v>
      </c>
      <c r="BJ96" s="260">
        <f t="shared" si="247"/>
        <v>4.595339318403135</v>
      </c>
      <c r="BK96" s="260">
        <f t="shared" si="247"/>
        <v>4.6110259598327232</v>
      </c>
      <c r="BL96" s="260">
        <f t="shared" si="247"/>
        <v>4.6267126012623114</v>
      </c>
      <c r="BM96" s="260">
        <f t="shared" si="247"/>
        <v>4.6423992426918996</v>
      </c>
      <c r="BN96" s="260">
        <f t="shared" si="247"/>
        <v>4.6580858841214878</v>
      </c>
      <c r="BO96" s="260">
        <f t="shared" si="247"/>
        <v>4.673772525551076</v>
      </c>
      <c r="BP96" s="260">
        <f t="shared" si="247"/>
        <v>4.6894591669806642</v>
      </c>
      <c r="BQ96" s="939">
        <f>('AEO Data'!$C$28*BB96)</f>
        <v>4.705145808410248</v>
      </c>
      <c r="BR96" s="260">
        <f t="shared" si="243"/>
        <v>4.7202300397216757</v>
      </c>
      <c r="BS96" s="260">
        <f t="shared" si="243"/>
        <v>4.7353142710331033</v>
      </c>
      <c r="BT96" s="260">
        <f t="shared" si="243"/>
        <v>4.750398502344531</v>
      </c>
      <c r="BU96" s="260">
        <f t="shared" si="243"/>
        <v>4.7654827336559586</v>
      </c>
      <c r="BV96" s="963">
        <f>('AEO Data'!$D$28*BQ96)</f>
        <v>4.7805669649673872</v>
      </c>
      <c r="BW96" s="1398">
        <f t="shared" ref="BW96:CZ96" si="248">+BV96*BW$138/BV$138</f>
        <v>4.7967298479248255</v>
      </c>
      <c r="BX96" s="1398">
        <f t="shared" si="248"/>
        <v>4.8129473768661839</v>
      </c>
      <c r="BY96" s="1398">
        <f t="shared" si="248"/>
        <v>4.8292197365470884</v>
      </c>
      <c r="BZ96" s="1398">
        <f t="shared" si="248"/>
        <v>4.8455471123478153</v>
      </c>
      <c r="CA96" s="1398">
        <f t="shared" si="248"/>
        <v>4.8619296902754039</v>
      </c>
      <c r="CB96" s="1398">
        <f t="shared" si="248"/>
        <v>4.8758501583004978</v>
      </c>
      <c r="CC96" s="1398">
        <f t="shared" si="248"/>
        <v>4.8898104828110576</v>
      </c>
      <c r="CD96" s="1398">
        <f t="shared" si="248"/>
        <v>4.9038107779224589</v>
      </c>
      <c r="CE96" s="1398">
        <f t="shared" si="248"/>
        <v>4.9178511580768074</v>
      </c>
      <c r="CF96" s="1398">
        <f t="shared" si="248"/>
        <v>4.9319317380438736</v>
      </c>
      <c r="CG96" s="1398">
        <f t="shared" si="248"/>
        <v>4.9426822755134054</v>
      </c>
      <c r="CH96" s="1398">
        <f t="shared" si="248"/>
        <v>4.9534562468141461</v>
      </c>
      <c r="CI96" s="1398">
        <f t="shared" si="248"/>
        <v>4.9642537030267464</v>
      </c>
      <c r="CJ96" s="1398">
        <f t="shared" si="248"/>
        <v>4.9750746953432019</v>
      </c>
      <c r="CK96" s="1398">
        <f t="shared" si="248"/>
        <v>4.9859192750670944</v>
      </c>
      <c r="CL96" s="1398">
        <f t="shared" si="248"/>
        <v>4.993270995886494</v>
      </c>
      <c r="CM96" s="1398">
        <f t="shared" si="248"/>
        <v>5.0006335567929519</v>
      </c>
      <c r="CN96" s="1398">
        <f t="shared" si="248"/>
        <v>5.0080069737701391</v>
      </c>
      <c r="CO96" s="1398">
        <f t="shared" si="248"/>
        <v>5.015391262825295</v>
      </c>
      <c r="CP96" s="1398">
        <f t="shared" si="248"/>
        <v>5.0227864399892601</v>
      </c>
      <c r="CQ96" s="1398">
        <f t="shared" si="248"/>
        <v>5.0252629691749675</v>
      </c>
      <c r="CR96" s="1398">
        <f t="shared" si="248"/>
        <v>5.0277407194352479</v>
      </c>
      <c r="CS96" s="1398">
        <f t="shared" si="248"/>
        <v>5.0302196913721628</v>
      </c>
      <c r="CT96" s="1398">
        <f t="shared" si="248"/>
        <v>5.0326998855880705</v>
      </c>
      <c r="CU96" s="1398">
        <f t="shared" si="248"/>
        <v>5.0351813026856274</v>
      </c>
      <c r="CV96" s="1398">
        <f t="shared" si="248"/>
        <v>5.0316149711771789</v>
      </c>
      <c r="CW96" s="1398">
        <f t="shared" si="248"/>
        <v>5.0280511656394289</v>
      </c>
      <c r="CX96" s="1398">
        <f t="shared" si="248"/>
        <v>5.024489884283275</v>
      </c>
      <c r="CY96" s="1398">
        <f t="shared" si="248"/>
        <v>5.0209311253208835</v>
      </c>
      <c r="CZ96" s="1398">
        <f t="shared" si="248"/>
        <v>5.0173748869656869</v>
      </c>
    </row>
    <row r="97" spans="1:104" ht="13" x14ac:dyDescent="0.3">
      <c r="A97" s="910" t="str">
        <f>'HyARC Physical Property Data'!A79</f>
        <v>Electric Utility Steam Coal</v>
      </c>
      <c r="B97" s="260">
        <v>2012</v>
      </c>
      <c r="C97" s="874">
        <f t="shared" si="221"/>
        <v>1.0589185747008452</v>
      </c>
      <c r="D97" s="1260" t="str">
        <f>+'HyARC Physical Property Data'!$H$79</f>
        <v>kg</v>
      </c>
      <c r="E97" s="901" t="s">
        <v>1052</v>
      </c>
      <c r="F97" s="260">
        <f>'HyARC Physical Property Data'!$E$42</f>
        <v>22.7322030001394</v>
      </c>
      <c r="G97" s="260">
        <f>'HyARC Physical Property Data'!$I$42</f>
        <v>23.967615189707661</v>
      </c>
      <c r="H97" s="1069">
        <v>1.6675147780813302</v>
      </c>
      <c r="I97" s="1069">
        <v>1.6675147780813302</v>
      </c>
      <c r="J97" s="1069">
        <v>1.6675147780813302</v>
      </c>
      <c r="K97" s="1069">
        <v>1.6675147780813302</v>
      </c>
      <c r="L97" s="1069">
        <v>1.899114052814848</v>
      </c>
      <c r="M97" s="1069">
        <v>1.9917537627082553</v>
      </c>
      <c r="N97" s="1069">
        <v>1.8435302268788039</v>
      </c>
      <c r="O97" s="260">
        <f t="shared" ref="O97:AR97" si="249">O113*($C97/mmBTU_to_GJ*$G97/$F97)</f>
        <v>2.563508608233021</v>
      </c>
      <c r="P97" s="260">
        <f t="shared" si="249"/>
        <v>2.5292473599987289</v>
      </c>
      <c r="Q97" s="260">
        <f t="shared" si="249"/>
        <v>2.512156420725097</v>
      </c>
      <c r="R97" s="260">
        <f t="shared" si="249"/>
        <v>2.4655759388013712</v>
      </c>
      <c r="S97" s="260">
        <f t="shared" si="249"/>
        <v>2.5439953061112566</v>
      </c>
      <c r="T97" s="260">
        <f t="shared" si="249"/>
        <v>2.5633361114465441</v>
      </c>
      <c r="U97" s="260">
        <f t="shared" si="249"/>
        <v>2.6312374078313132</v>
      </c>
      <c r="V97" s="260">
        <f t="shared" si="249"/>
        <v>2.6989005951549947</v>
      </c>
      <c r="W97" s="260">
        <f t="shared" si="249"/>
        <v>2.7399495390240283</v>
      </c>
      <c r="X97" s="260">
        <f t="shared" si="249"/>
        <v>2.7634874134094223</v>
      </c>
      <c r="Y97" s="260">
        <f t="shared" si="249"/>
        <v>2.7969877709107278</v>
      </c>
      <c r="Z97" s="260">
        <f t="shared" si="249"/>
        <v>2.8315834300930369</v>
      </c>
      <c r="AA97" s="260">
        <f t="shared" si="249"/>
        <v>2.8599236996749471</v>
      </c>
      <c r="AB97" s="260">
        <f t="shared" si="249"/>
        <v>2.8986106016579902</v>
      </c>
      <c r="AC97" s="260">
        <f t="shared" si="249"/>
        <v>2.9354709425768672</v>
      </c>
      <c r="AD97" s="260">
        <f t="shared" si="249"/>
        <v>2.9708190263922138</v>
      </c>
      <c r="AE97" s="260">
        <f t="shared" si="249"/>
        <v>3.0020991491816877</v>
      </c>
      <c r="AF97" s="260">
        <f t="shared" si="249"/>
        <v>3.0319082871048861</v>
      </c>
      <c r="AG97" s="260">
        <f t="shared" si="249"/>
        <v>3.0598453586766876</v>
      </c>
      <c r="AH97" s="260">
        <f t="shared" si="249"/>
        <v>3.0960559264244187</v>
      </c>
      <c r="AI97" s="260">
        <f t="shared" si="249"/>
        <v>3.1212584477124392</v>
      </c>
      <c r="AJ97" s="260">
        <f t="shared" si="249"/>
        <v>3.1476800873932294</v>
      </c>
      <c r="AK97" s="260">
        <f t="shared" si="249"/>
        <v>3.1754446621785544</v>
      </c>
      <c r="AL97" s="260">
        <f t="shared" si="249"/>
        <v>3.2007075044287174</v>
      </c>
      <c r="AM97" s="260">
        <f t="shared" si="249"/>
        <v>3.2277789172806535</v>
      </c>
      <c r="AN97" s="260">
        <f t="shared" si="249"/>
        <v>3.2553731118044889</v>
      </c>
      <c r="AO97" s="260">
        <f t="shared" si="249"/>
        <v>3.279584041135891</v>
      </c>
      <c r="AP97" s="260">
        <f t="shared" si="249"/>
        <v>3.3026478139240969</v>
      </c>
      <c r="AQ97" s="260">
        <f t="shared" si="249"/>
        <v>3.3375450779171172</v>
      </c>
      <c r="AR97" s="260">
        <f t="shared" si="249"/>
        <v>3.3755134196669223</v>
      </c>
      <c r="AS97" s="260">
        <f t="shared" ref="AS97:BA97" si="250">($BB97-$AR97)/10+AR97</f>
        <v>3.3763071676042595</v>
      </c>
      <c r="AT97" s="260">
        <f t="shared" si="250"/>
        <v>3.3771009155415967</v>
      </c>
      <c r="AU97" s="260">
        <f t="shared" si="250"/>
        <v>3.377894663478934</v>
      </c>
      <c r="AV97" s="260">
        <f t="shared" si="250"/>
        <v>3.3786884114162712</v>
      </c>
      <c r="AW97" s="260">
        <f t="shared" si="250"/>
        <v>3.3794821593536084</v>
      </c>
      <c r="AX97" s="260">
        <f t="shared" si="250"/>
        <v>3.3802759072909456</v>
      </c>
      <c r="AY97" s="260">
        <f t="shared" si="250"/>
        <v>3.3810696552282828</v>
      </c>
      <c r="AZ97" s="260">
        <f t="shared" si="250"/>
        <v>3.3818634031656201</v>
      </c>
      <c r="BA97" s="260">
        <f t="shared" si="250"/>
        <v>3.3826571511029573</v>
      </c>
      <c r="BB97" s="939">
        <f>('AEO Data'!$B$28*AM97)</f>
        <v>3.3834508990402963</v>
      </c>
      <c r="BC97" s="260">
        <f t="shared" ref="BC97:BP97" si="251">($BQ97-$BB97)/15+BB97</f>
        <v>3.3953249051755909</v>
      </c>
      <c r="BD97" s="260">
        <f t="shared" si="251"/>
        <v>3.4071989113108856</v>
      </c>
      <c r="BE97" s="260">
        <f t="shared" si="251"/>
        <v>3.4190729174461802</v>
      </c>
      <c r="BF97" s="260">
        <f t="shared" si="251"/>
        <v>3.4309469235814749</v>
      </c>
      <c r="BG97" s="260">
        <f t="shared" si="251"/>
        <v>3.4428209297167696</v>
      </c>
      <c r="BH97" s="260">
        <f t="shared" si="251"/>
        <v>3.4546949358520642</v>
      </c>
      <c r="BI97" s="260">
        <f t="shared" si="251"/>
        <v>3.4665689419873589</v>
      </c>
      <c r="BJ97" s="260">
        <f t="shared" si="251"/>
        <v>3.4784429481226535</v>
      </c>
      <c r="BK97" s="260">
        <f t="shared" si="251"/>
        <v>3.4903169542579482</v>
      </c>
      <c r="BL97" s="260">
        <f t="shared" si="251"/>
        <v>3.5021909603932428</v>
      </c>
      <c r="BM97" s="260">
        <f t="shared" si="251"/>
        <v>3.5140649665285375</v>
      </c>
      <c r="BN97" s="260">
        <f t="shared" si="251"/>
        <v>3.5259389726638322</v>
      </c>
      <c r="BO97" s="260">
        <f t="shared" si="251"/>
        <v>3.5378129787991268</v>
      </c>
      <c r="BP97" s="260">
        <f t="shared" si="251"/>
        <v>3.5496869849344215</v>
      </c>
      <c r="BQ97" s="939">
        <f>('AEO Data'!$C$28*BB97)</f>
        <v>3.5615609910697135</v>
      </c>
      <c r="BR97" s="260">
        <f t="shared" si="243"/>
        <v>3.5729790027545003</v>
      </c>
      <c r="BS97" s="260">
        <f t="shared" si="243"/>
        <v>3.5843970144392872</v>
      </c>
      <c r="BT97" s="260">
        <f t="shared" si="243"/>
        <v>3.595815026124074</v>
      </c>
      <c r="BU97" s="260">
        <f t="shared" si="243"/>
        <v>3.6072330378088608</v>
      </c>
      <c r="BV97" s="963">
        <f>('AEO Data'!$D$28*BQ97)</f>
        <v>3.6186510494936472</v>
      </c>
      <c r="BW97" s="1398">
        <f t="shared" ref="BW97:CZ97" si="252">+BV97*BW$138/BV$138</f>
        <v>3.6308855467416481</v>
      </c>
      <c r="BX97" s="1398">
        <f t="shared" si="252"/>
        <v>3.6431614082772978</v>
      </c>
      <c r="BY97" s="1398">
        <f t="shared" si="252"/>
        <v>3.6554787739514016</v>
      </c>
      <c r="BZ97" s="1398">
        <f t="shared" si="252"/>
        <v>3.6678377840875944</v>
      </c>
      <c r="CA97" s="1398">
        <f t="shared" si="252"/>
        <v>3.6802385794839378</v>
      </c>
      <c r="CB97" s="1398">
        <f t="shared" si="252"/>
        <v>3.6907756803336049</v>
      </c>
      <c r="CC97" s="1398">
        <f t="shared" si="252"/>
        <v>3.701342950557327</v>
      </c>
      <c r="CD97" s="1398">
        <f t="shared" si="252"/>
        <v>3.7119404765347586</v>
      </c>
      <c r="CE97" s="1398">
        <f t="shared" si="252"/>
        <v>3.7225683448928724</v>
      </c>
      <c r="CF97" s="1398">
        <f t="shared" si="252"/>
        <v>3.7332266425066685</v>
      </c>
      <c r="CG97" s="1398">
        <f t="shared" si="252"/>
        <v>3.7413642638352314</v>
      </c>
      <c r="CH97" s="1398">
        <f t="shared" si="252"/>
        <v>3.7495196234066683</v>
      </c>
      <c r="CI97" s="1398">
        <f t="shared" si="252"/>
        <v>3.7576927598864862</v>
      </c>
      <c r="CJ97" s="1398">
        <f t="shared" si="252"/>
        <v>3.7658837120244759</v>
      </c>
      <c r="CK97" s="1398">
        <f t="shared" si="252"/>
        <v>3.7740925186548933</v>
      </c>
      <c r="CL97" s="1398">
        <f t="shared" si="252"/>
        <v>3.7796574050906777</v>
      </c>
      <c r="CM97" s="1398">
        <f t="shared" si="252"/>
        <v>3.785230496932368</v>
      </c>
      <c r="CN97" s="1398">
        <f t="shared" si="252"/>
        <v>3.7908118062788079</v>
      </c>
      <c r="CO97" s="1398">
        <f t="shared" si="252"/>
        <v>3.7964013452466796</v>
      </c>
      <c r="CP97" s="1398">
        <f t="shared" si="252"/>
        <v>3.8019991259705304</v>
      </c>
      <c r="CQ97" s="1398">
        <f t="shared" si="252"/>
        <v>3.803873735196305</v>
      </c>
      <c r="CR97" s="1398">
        <f t="shared" si="252"/>
        <v>3.8057492687147039</v>
      </c>
      <c r="CS97" s="1398">
        <f t="shared" si="252"/>
        <v>3.807625726981458</v>
      </c>
      <c r="CT97" s="1398">
        <f t="shared" si="252"/>
        <v>3.8095031104525217</v>
      </c>
      <c r="CU97" s="1398">
        <f t="shared" si="252"/>
        <v>3.8113814195840758</v>
      </c>
      <c r="CV97" s="1398">
        <f t="shared" si="252"/>
        <v>3.808681884288271</v>
      </c>
      <c r="CW97" s="1398">
        <f t="shared" si="252"/>
        <v>3.8059842610264538</v>
      </c>
      <c r="CX97" s="1398">
        <f t="shared" si="252"/>
        <v>3.8032885484443635</v>
      </c>
      <c r="CY97" s="1398">
        <f t="shared" si="252"/>
        <v>3.8005947451886986</v>
      </c>
      <c r="CZ97" s="1398">
        <f t="shared" si="252"/>
        <v>3.7979028499071168</v>
      </c>
    </row>
    <row r="98" spans="1:104" ht="13" x14ac:dyDescent="0.3">
      <c r="A98" s="877" t="str">
        <f>'HyARC Physical Property Data'!A76</f>
        <v>Commercial Electricity</v>
      </c>
      <c r="B98" s="260">
        <v>2012</v>
      </c>
      <c r="C98" s="874">
        <f t="shared" si="221"/>
        <v>1.0589185747008452</v>
      </c>
      <c r="D98" s="1248" t="str">
        <f>'HyARC Physical Property Data'!$H$76</f>
        <v>kWh</v>
      </c>
      <c r="E98" s="874" t="s">
        <v>1071</v>
      </c>
      <c r="F98" s="878"/>
      <c r="G98" s="874"/>
      <c r="H98" s="1069">
        <v>26.706046857142852</v>
      </c>
      <c r="I98" s="1069">
        <v>26.706046857142852</v>
      </c>
      <c r="J98" s="1069">
        <v>26.706046857142852</v>
      </c>
      <c r="K98" s="1069">
        <v>26.706046857142852</v>
      </c>
      <c r="L98" s="1069">
        <v>28.244819428571425</v>
      </c>
      <c r="M98" s="1069">
        <v>26.82655314285714</v>
      </c>
      <c r="N98" s="1069">
        <v>25.371207999999996</v>
      </c>
      <c r="O98" s="260">
        <f>O114*($C98)</f>
        <v>32.330007136570579</v>
      </c>
      <c r="P98" s="260">
        <f t="shared" ref="P98:AR98" si="253">P114*($C98)</f>
        <v>31.294588082879496</v>
      </c>
      <c r="Q98" s="260">
        <f t="shared" si="253"/>
        <v>31.198589701652843</v>
      </c>
      <c r="R98" s="260">
        <f t="shared" si="253"/>
        <v>31.36496487027269</v>
      </c>
      <c r="S98" s="260">
        <f t="shared" si="253"/>
        <v>31.759086951346323</v>
      </c>
      <c r="T98" s="260">
        <f t="shared" si="253"/>
        <v>31.913488927642028</v>
      </c>
      <c r="U98" s="260">
        <f t="shared" si="253"/>
        <v>32.158172183779577</v>
      </c>
      <c r="V98" s="260">
        <f t="shared" si="253"/>
        <v>32.533567289859626</v>
      </c>
      <c r="W98" s="260">
        <f t="shared" si="253"/>
        <v>32.841645883227365</v>
      </c>
      <c r="X98" s="260">
        <f t="shared" si="253"/>
        <v>32.614198644730223</v>
      </c>
      <c r="Y98" s="260">
        <f t="shared" si="253"/>
        <v>32.436733421877534</v>
      </c>
      <c r="Z98" s="260">
        <f t="shared" si="253"/>
        <v>32.079793148717371</v>
      </c>
      <c r="AA98" s="260">
        <f t="shared" si="253"/>
        <v>31.936446282341542</v>
      </c>
      <c r="AB98" s="260">
        <f t="shared" si="253"/>
        <v>32.294334287626057</v>
      </c>
      <c r="AC98" s="260">
        <f t="shared" si="253"/>
        <v>32.349416055126277</v>
      </c>
      <c r="AD98" s="260">
        <f t="shared" si="253"/>
        <v>32.432684117247874</v>
      </c>
      <c r="AE98" s="260">
        <f t="shared" si="253"/>
        <v>32.648171929362348</v>
      </c>
      <c r="AF98" s="260">
        <f t="shared" si="253"/>
        <v>32.727937088838836</v>
      </c>
      <c r="AG98" s="260">
        <f t="shared" si="253"/>
        <v>32.843544524231802</v>
      </c>
      <c r="AH98" s="260">
        <f t="shared" si="253"/>
        <v>33.101402845275778</v>
      </c>
      <c r="AI98" s="260">
        <f t="shared" si="253"/>
        <v>33.362655000351673</v>
      </c>
      <c r="AJ98" s="260">
        <f t="shared" si="253"/>
        <v>33.40757114953476</v>
      </c>
      <c r="AK98" s="260">
        <f t="shared" si="253"/>
        <v>33.395441237261558</v>
      </c>
      <c r="AL98" s="260">
        <f t="shared" si="253"/>
        <v>33.59644198435555</v>
      </c>
      <c r="AM98" s="260">
        <f t="shared" si="253"/>
        <v>33.868319328409996</v>
      </c>
      <c r="AN98" s="260">
        <f t="shared" si="253"/>
        <v>34.152252460437403</v>
      </c>
      <c r="AO98" s="260">
        <f t="shared" si="253"/>
        <v>34.36864670685182</v>
      </c>
      <c r="AP98" s="260">
        <f t="shared" si="253"/>
        <v>34.442402503416886</v>
      </c>
      <c r="AQ98" s="260">
        <f t="shared" si="253"/>
        <v>34.677078979023513</v>
      </c>
      <c r="AR98" s="260">
        <f t="shared" si="253"/>
        <v>34.95210131124481</v>
      </c>
      <c r="AS98" s="260">
        <f t="shared" ref="AS98:BA98" si="254">($BB98-$AR98)/10+AR98</f>
        <v>34.759294585447087</v>
      </c>
      <c r="AT98" s="260">
        <f t="shared" si="254"/>
        <v>34.566487859649364</v>
      </c>
      <c r="AU98" s="260">
        <f t="shared" si="254"/>
        <v>34.37368113385164</v>
      </c>
      <c r="AV98" s="260">
        <f t="shared" si="254"/>
        <v>34.180874408053917</v>
      </c>
      <c r="AW98" s="260">
        <f t="shared" si="254"/>
        <v>33.988067682256194</v>
      </c>
      <c r="AX98" s="260">
        <f t="shared" si="254"/>
        <v>33.795260956458471</v>
      </c>
      <c r="AY98" s="260">
        <f t="shared" si="254"/>
        <v>33.602454230660747</v>
      </c>
      <c r="AZ98" s="260">
        <f t="shared" si="254"/>
        <v>33.409647504863024</v>
      </c>
      <c r="BA98" s="260">
        <f t="shared" si="254"/>
        <v>33.216840779065301</v>
      </c>
      <c r="BB98" s="939">
        <f>'AEO Data'!$B$33*AM98</f>
        <v>33.024034053267563</v>
      </c>
      <c r="BC98" s="260">
        <f t="shared" ref="BC98:BP98" si="255">($BQ98-$BB98)/15+BB98</f>
        <v>33.043274641864315</v>
      </c>
      <c r="BD98" s="260">
        <f t="shared" si="255"/>
        <v>33.062515230461067</v>
      </c>
      <c r="BE98" s="260">
        <f t="shared" si="255"/>
        <v>33.081755819057818</v>
      </c>
      <c r="BF98" s="260">
        <f t="shared" si="255"/>
        <v>33.10099640765457</v>
      </c>
      <c r="BG98" s="260">
        <f t="shared" si="255"/>
        <v>33.120236996251322</v>
      </c>
      <c r="BH98" s="260">
        <f t="shared" si="255"/>
        <v>33.139477584848073</v>
      </c>
      <c r="BI98" s="260">
        <f t="shared" si="255"/>
        <v>33.158718173444825</v>
      </c>
      <c r="BJ98" s="260">
        <f t="shared" si="255"/>
        <v>33.177958762041577</v>
      </c>
      <c r="BK98" s="260">
        <f t="shared" si="255"/>
        <v>33.197199350638328</v>
      </c>
      <c r="BL98" s="260">
        <f t="shared" si="255"/>
        <v>33.21643993923508</v>
      </c>
      <c r="BM98" s="260">
        <f t="shared" si="255"/>
        <v>33.235680527831832</v>
      </c>
      <c r="BN98" s="260">
        <f t="shared" si="255"/>
        <v>33.254921116428584</v>
      </c>
      <c r="BO98" s="260">
        <f t="shared" si="255"/>
        <v>33.274161705025335</v>
      </c>
      <c r="BP98" s="260">
        <f t="shared" si="255"/>
        <v>33.293402293622087</v>
      </c>
      <c r="BQ98" s="939">
        <f>'AEO Data'!$C$33*BB98</f>
        <v>33.312642882218888</v>
      </c>
      <c r="BR98" s="260">
        <f t="shared" si="243"/>
        <v>33.29021180684974</v>
      </c>
      <c r="BS98" s="260">
        <f t="shared" si="243"/>
        <v>33.267780731480592</v>
      </c>
      <c r="BT98" s="260">
        <f t="shared" si="243"/>
        <v>33.245349656111443</v>
      </c>
      <c r="BU98" s="260">
        <f t="shared" si="243"/>
        <v>33.222918580742295</v>
      </c>
      <c r="BV98" s="963">
        <f>'AEO Data'!$D$33*BQ98</f>
        <v>33.200487505373161</v>
      </c>
      <c r="BW98" s="1398">
        <f>+BV98*BW$139/BV$139</f>
        <v>33.185869205539639</v>
      </c>
      <c r="BX98" s="1398">
        <f t="shared" ref="BX98:CZ98" si="256">+BW98*BX$139/BW$139</f>
        <v>33.171257342198651</v>
      </c>
      <c r="BY98" s="1398">
        <f t="shared" si="256"/>
        <v>33.156651912516189</v>
      </c>
      <c r="BZ98" s="1398">
        <f t="shared" si="256"/>
        <v>33.142052913659484</v>
      </c>
      <c r="CA98" s="1398">
        <f t="shared" si="256"/>
        <v>33.127460342797029</v>
      </c>
      <c r="CB98" s="1398">
        <f t="shared" si="256"/>
        <v>33.100925764400195</v>
      </c>
      <c r="CC98" s="1398">
        <f t="shared" si="256"/>
        <v>33.074412439786272</v>
      </c>
      <c r="CD98" s="1398">
        <f t="shared" si="256"/>
        <v>33.047920351931317</v>
      </c>
      <c r="CE98" s="1398">
        <f t="shared" si="256"/>
        <v>33.021449483825023</v>
      </c>
      <c r="CF98" s="1398">
        <f t="shared" si="256"/>
        <v>32.994999818470696</v>
      </c>
      <c r="CG98" s="1398">
        <f t="shared" si="256"/>
        <v>32.958563922192354</v>
      </c>
      <c r="CH98" s="1398">
        <f t="shared" si="256"/>
        <v>32.922168261541977</v>
      </c>
      <c r="CI98" s="1398">
        <f t="shared" si="256"/>
        <v>32.885812792087954</v>
      </c>
      <c r="CJ98" s="1398">
        <f t="shared" si="256"/>
        <v>32.849497469447741</v>
      </c>
      <c r="CK98" s="1398">
        <f t="shared" si="256"/>
        <v>32.81322224928779</v>
      </c>
      <c r="CL98" s="1398">
        <f t="shared" si="256"/>
        <v>32.773673393987664</v>
      </c>
      <c r="CM98" s="1398">
        <f t="shared" si="256"/>
        <v>32.734172205812207</v>
      </c>
      <c r="CN98" s="1398">
        <f t="shared" si="256"/>
        <v>32.694718627309562</v>
      </c>
      <c r="CO98" s="1398">
        <f t="shared" si="256"/>
        <v>32.65531260109713</v>
      </c>
      <c r="CP98" s="1398">
        <f t="shared" si="256"/>
        <v>32.615954069861473</v>
      </c>
      <c r="CQ98" s="1398">
        <f t="shared" si="256"/>
        <v>32.57036661325251</v>
      </c>
      <c r="CR98" s="1398">
        <f t="shared" si="256"/>
        <v>32.524842874423982</v>
      </c>
      <c r="CS98" s="1398">
        <f t="shared" si="256"/>
        <v>32.479382764317279</v>
      </c>
      <c r="CT98" s="1398">
        <f t="shared" si="256"/>
        <v>32.433986193998265</v>
      </c>
      <c r="CU98" s="1398">
        <f t="shared" si="256"/>
        <v>32.388653074657114</v>
      </c>
      <c r="CV98" s="1398">
        <f t="shared" si="256"/>
        <v>32.344399879459552</v>
      </c>
      <c r="CW98" s="1398">
        <f t="shared" si="256"/>
        <v>32.300207148193003</v>
      </c>
      <c r="CX98" s="1398">
        <f t="shared" si="256"/>
        <v>32.256074798244526</v>
      </c>
      <c r="CY98" s="1398">
        <f t="shared" si="256"/>
        <v>32.212002747114042</v>
      </c>
      <c r="CZ98" s="1398">
        <f t="shared" si="256"/>
        <v>32.167990912414197</v>
      </c>
    </row>
    <row r="99" spans="1:104" ht="13" x14ac:dyDescent="0.3">
      <c r="A99" s="877" t="str">
        <f>'HyARC Physical Property Data'!A77</f>
        <v>Industrial Electricity</v>
      </c>
      <c r="B99" s="260">
        <v>2012</v>
      </c>
      <c r="C99" s="874">
        <f t="shared" si="221"/>
        <v>1.0589185747008452</v>
      </c>
      <c r="D99" s="1248" t="str">
        <f>'HyARC Physical Property Data'!$H$77</f>
        <v>kWh</v>
      </c>
      <c r="E99" s="874" t="s">
        <v>1071</v>
      </c>
      <c r="F99" s="885"/>
      <c r="G99" s="222"/>
      <c r="H99" s="1069">
        <v>17.630996571428568</v>
      </c>
      <c r="I99" s="1069">
        <v>17.630996571428568</v>
      </c>
      <c r="J99" s="1069">
        <v>17.630996571428568</v>
      </c>
      <c r="K99" s="1069">
        <v>17.630996571428568</v>
      </c>
      <c r="L99" s="1069">
        <v>18.734092571428569</v>
      </c>
      <c r="M99" s="1069">
        <v>18.576507428571425</v>
      </c>
      <c r="N99" s="1069">
        <v>17.751502857142853</v>
      </c>
      <c r="O99" s="260">
        <f t="shared" ref="O99:AR99" si="257">O115*($C99)</f>
        <v>21.546913279081487</v>
      </c>
      <c r="P99" s="260">
        <f t="shared" si="257"/>
        <v>20.644255082774947</v>
      </c>
      <c r="Q99" s="260">
        <f t="shared" si="257"/>
        <v>21.265150930132211</v>
      </c>
      <c r="R99" s="260">
        <f t="shared" si="257"/>
        <v>21.043453619495697</v>
      </c>
      <c r="S99" s="260">
        <f t="shared" si="257"/>
        <v>21.290934538507603</v>
      </c>
      <c r="T99" s="260">
        <f t="shared" si="257"/>
        <v>21.295208333875095</v>
      </c>
      <c r="U99" s="260">
        <f t="shared" si="257"/>
        <v>21.481681777042766</v>
      </c>
      <c r="V99" s="260">
        <f t="shared" si="257"/>
        <v>21.805181401613872</v>
      </c>
      <c r="W99" s="260">
        <f t="shared" si="257"/>
        <v>22.088499301949383</v>
      </c>
      <c r="X99" s="260">
        <f t="shared" si="257"/>
        <v>21.993341702071042</v>
      </c>
      <c r="Y99" s="260">
        <f t="shared" si="257"/>
        <v>21.973911605143858</v>
      </c>
      <c r="Z99" s="260">
        <f t="shared" si="257"/>
        <v>21.871052490471715</v>
      </c>
      <c r="AA99" s="260">
        <f t="shared" si="257"/>
        <v>21.880460982007932</v>
      </c>
      <c r="AB99" s="260">
        <f t="shared" si="257"/>
        <v>22.180329779666014</v>
      </c>
      <c r="AC99" s="260">
        <f t="shared" si="257"/>
        <v>22.321195599821319</v>
      </c>
      <c r="AD99" s="260">
        <f t="shared" si="257"/>
        <v>22.488160586087275</v>
      </c>
      <c r="AE99" s="260">
        <f t="shared" si="257"/>
        <v>22.726148300076993</v>
      </c>
      <c r="AF99" s="260">
        <f t="shared" si="257"/>
        <v>22.858293925769633</v>
      </c>
      <c r="AG99" s="260">
        <f t="shared" si="257"/>
        <v>23.018536896923386</v>
      </c>
      <c r="AH99" s="260">
        <f t="shared" si="257"/>
        <v>23.283823531768892</v>
      </c>
      <c r="AI99" s="260">
        <f t="shared" si="257"/>
        <v>23.547517553078045</v>
      </c>
      <c r="AJ99" s="260">
        <f t="shared" si="257"/>
        <v>23.658798247174783</v>
      </c>
      <c r="AK99" s="260">
        <f t="shared" si="257"/>
        <v>23.759156196173482</v>
      </c>
      <c r="AL99" s="260">
        <f t="shared" si="257"/>
        <v>23.989354505127697</v>
      </c>
      <c r="AM99" s="260">
        <f t="shared" si="257"/>
        <v>24.26178778143386</v>
      </c>
      <c r="AN99" s="260">
        <f t="shared" si="257"/>
        <v>24.557527855569184</v>
      </c>
      <c r="AO99" s="260">
        <f t="shared" si="257"/>
        <v>24.788558474523114</v>
      </c>
      <c r="AP99" s="260">
        <f t="shared" si="257"/>
        <v>24.907507856937837</v>
      </c>
      <c r="AQ99" s="260">
        <f t="shared" si="257"/>
        <v>25.164130420005137</v>
      </c>
      <c r="AR99" s="260">
        <f t="shared" si="257"/>
        <v>25.469928102762971</v>
      </c>
      <c r="AS99" s="260">
        <f t="shared" ref="AS99:BA99" si="258">($BB99-$AR99)/10+AR99</f>
        <v>25.288633153422833</v>
      </c>
      <c r="AT99" s="260">
        <f t="shared" si="258"/>
        <v>25.107338204082694</v>
      </c>
      <c r="AU99" s="260">
        <f t="shared" si="258"/>
        <v>24.926043254742556</v>
      </c>
      <c r="AV99" s="260">
        <f t="shared" si="258"/>
        <v>24.744748305402418</v>
      </c>
      <c r="AW99" s="260">
        <f t="shared" si="258"/>
        <v>24.563453356062279</v>
      </c>
      <c r="AX99" s="260">
        <f t="shared" si="258"/>
        <v>24.382158406722141</v>
      </c>
      <c r="AY99" s="260">
        <f t="shared" si="258"/>
        <v>24.200863457382003</v>
      </c>
      <c r="AZ99" s="260">
        <f t="shared" si="258"/>
        <v>24.019568508041864</v>
      </c>
      <c r="BA99" s="260">
        <f t="shared" si="258"/>
        <v>23.838273558701726</v>
      </c>
      <c r="BB99" s="939">
        <f>'AEO Data'!$B$33*AM99</f>
        <v>23.65697860936158</v>
      </c>
      <c r="BC99" s="260">
        <f t="shared" ref="BC99:BP99" si="259">($BQ99-$BB99)/15+BB99</f>
        <v>23.670761728411506</v>
      </c>
      <c r="BD99" s="260">
        <f t="shared" si="259"/>
        <v>23.684544847461432</v>
      </c>
      <c r="BE99" s="260">
        <f t="shared" si="259"/>
        <v>23.698327966511357</v>
      </c>
      <c r="BF99" s="260">
        <f t="shared" si="259"/>
        <v>23.712111085561283</v>
      </c>
      <c r="BG99" s="260">
        <f t="shared" si="259"/>
        <v>23.725894204611208</v>
      </c>
      <c r="BH99" s="260">
        <f t="shared" si="259"/>
        <v>23.739677323661134</v>
      </c>
      <c r="BI99" s="260">
        <f t="shared" si="259"/>
        <v>23.753460442711059</v>
      </c>
      <c r="BJ99" s="260">
        <f t="shared" si="259"/>
        <v>23.767243561760985</v>
      </c>
      <c r="BK99" s="260">
        <f t="shared" si="259"/>
        <v>23.781026680810911</v>
      </c>
      <c r="BL99" s="260">
        <f t="shared" si="259"/>
        <v>23.794809799860836</v>
      </c>
      <c r="BM99" s="260">
        <f t="shared" si="259"/>
        <v>23.808592918910762</v>
      </c>
      <c r="BN99" s="260">
        <f t="shared" si="259"/>
        <v>23.822376037960687</v>
      </c>
      <c r="BO99" s="260">
        <f t="shared" si="259"/>
        <v>23.836159157010613</v>
      </c>
      <c r="BP99" s="260">
        <f t="shared" si="259"/>
        <v>23.849942276060538</v>
      </c>
      <c r="BQ99" s="939">
        <f>'AEO Data'!$C$33*BB99</f>
        <v>23.863725395110453</v>
      </c>
      <c r="BR99" s="260">
        <f t="shared" si="243"/>
        <v>23.847656750397427</v>
      </c>
      <c r="BS99" s="260">
        <f t="shared" si="243"/>
        <v>23.8315881056844</v>
      </c>
      <c r="BT99" s="260">
        <f t="shared" si="243"/>
        <v>23.815519460971373</v>
      </c>
      <c r="BU99" s="260">
        <f t="shared" si="243"/>
        <v>23.799450816258346</v>
      </c>
      <c r="BV99" s="963">
        <f>'AEO Data'!$D$33*BQ99</f>
        <v>23.783382171545323</v>
      </c>
      <c r="BW99" s="1398">
        <f>+BV99*BW$140/BV$140</f>
        <v>23.79056855003947</v>
      </c>
      <c r="BX99" s="1398">
        <f t="shared" ref="BX99:CZ99" si="260">+BW99*BX$140/BW$140</f>
        <v>23.797757099967246</v>
      </c>
      <c r="BY99" s="1398">
        <f t="shared" si="260"/>
        <v>23.804947821984772</v>
      </c>
      <c r="BZ99" s="1398">
        <f t="shared" si="260"/>
        <v>23.812140716748367</v>
      </c>
      <c r="CA99" s="1398">
        <f t="shared" si="260"/>
        <v>23.819335784914539</v>
      </c>
      <c r="CB99" s="1398">
        <f t="shared" si="260"/>
        <v>23.816642001078176</v>
      </c>
      <c r="CC99" s="1398">
        <f t="shared" si="260"/>
        <v>23.813948521888062</v>
      </c>
      <c r="CD99" s="1398">
        <f t="shared" si="260"/>
        <v>23.811255347309746</v>
      </c>
      <c r="CE99" s="1398">
        <f t="shared" si="260"/>
        <v>23.808562477308776</v>
      </c>
      <c r="CF99" s="1398">
        <f t="shared" si="260"/>
        <v>23.805869911850717</v>
      </c>
      <c r="CG99" s="1398">
        <f t="shared" si="260"/>
        <v>23.795071358532098</v>
      </c>
      <c r="CH99" s="1398">
        <f t="shared" si="260"/>
        <v>23.784277703532847</v>
      </c>
      <c r="CI99" s="1398">
        <f t="shared" si="260"/>
        <v>23.773488944631048</v>
      </c>
      <c r="CJ99" s="1398">
        <f t="shared" si="260"/>
        <v>23.762705079605791</v>
      </c>
      <c r="CK99" s="1398">
        <f t="shared" si="260"/>
        <v>23.751926106237168</v>
      </c>
      <c r="CL99" s="1398">
        <f t="shared" si="260"/>
        <v>23.738702519984074</v>
      </c>
      <c r="CM99" s="1398">
        <f t="shared" si="260"/>
        <v>23.725486295796383</v>
      </c>
      <c r="CN99" s="1398">
        <f t="shared" si="260"/>
        <v>23.712277429575355</v>
      </c>
      <c r="CO99" s="1398">
        <f t="shared" si="260"/>
        <v>23.699075917224537</v>
      </c>
      <c r="CP99" s="1398">
        <f t="shared" si="260"/>
        <v>23.685881754649749</v>
      </c>
      <c r="CQ99" s="1398">
        <f t="shared" si="260"/>
        <v>23.667805095398695</v>
      </c>
      <c r="CR99" s="1398">
        <f t="shared" si="260"/>
        <v>23.649742231944352</v>
      </c>
      <c r="CS99" s="1398">
        <f t="shared" si="260"/>
        <v>23.631693153758011</v>
      </c>
      <c r="CT99" s="1398">
        <f t="shared" si="260"/>
        <v>23.613657850318987</v>
      </c>
      <c r="CU99" s="1398">
        <f t="shared" si="260"/>
        <v>23.595636311114628</v>
      </c>
      <c r="CV99" s="1398">
        <f t="shared" si="260"/>
        <v>23.578692647144699</v>
      </c>
      <c r="CW99" s="1398">
        <f t="shared" si="260"/>
        <v>23.561761150159583</v>
      </c>
      <c r="CX99" s="1398">
        <f t="shared" si="260"/>
        <v>23.544841811422359</v>
      </c>
      <c r="CY99" s="1398">
        <f t="shared" si="260"/>
        <v>23.527934622202373</v>
      </c>
      <c r="CZ99" s="1398">
        <f t="shared" si="260"/>
        <v>23.511039573775246</v>
      </c>
    </row>
    <row r="100" spans="1:104" ht="13.5" thickBot="1" x14ac:dyDescent="0.35">
      <c r="A100" s="879" t="str">
        <f>'HyARC Physical Property Data'!A78</f>
        <v>Residential Electricity</v>
      </c>
      <c r="B100" s="880">
        <v>2012</v>
      </c>
      <c r="C100" s="881">
        <f t="shared" si="221"/>
        <v>1.0589185747008452</v>
      </c>
      <c r="D100" s="1249" t="str">
        <f>'HyARC Physical Property Data'!$H$78</f>
        <v>kWh</v>
      </c>
      <c r="E100" s="881" t="s">
        <v>1071</v>
      </c>
      <c r="F100" s="886"/>
      <c r="G100" s="569"/>
      <c r="H100" s="1071">
        <v>29.496230857142855</v>
      </c>
      <c r="I100" s="1071">
        <v>29.496230857142855</v>
      </c>
      <c r="J100" s="1071">
        <v>29.496230857142855</v>
      </c>
      <c r="K100" s="1071">
        <v>29.496230857142855</v>
      </c>
      <c r="L100" s="1071">
        <v>30.858878857142852</v>
      </c>
      <c r="M100" s="1071">
        <v>29.96898628571428</v>
      </c>
      <c r="N100" s="1071">
        <v>28.680495999999998</v>
      </c>
      <c r="O100" s="880">
        <f t="shared" ref="O100:AR100" si="261">O116*($C100)</f>
        <v>37.012259165882554</v>
      </c>
      <c r="P100" s="880">
        <f t="shared" si="261"/>
        <v>36.883387716422881</v>
      </c>
      <c r="Q100" s="880">
        <f t="shared" si="261"/>
        <v>36.020153058652454</v>
      </c>
      <c r="R100" s="880">
        <f t="shared" si="261"/>
        <v>36.437036594489285</v>
      </c>
      <c r="S100" s="880">
        <f t="shared" si="261"/>
        <v>37.000471284308979</v>
      </c>
      <c r="T100" s="880">
        <f t="shared" si="261"/>
        <v>37.234901031887702</v>
      </c>
      <c r="U100" s="880">
        <f t="shared" si="261"/>
        <v>37.611895105015549</v>
      </c>
      <c r="V100" s="880">
        <f t="shared" si="261"/>
        <v>38.029256213129564</v>
      </c>
      <c r="W100" s="880">
        <f t="shared" si="261"/>
        <v>38.30980398247366</v>
      </c>
      <c r="X100" s="880">
        <f t="shared" si="261"/>
        <v>38.276616415423959</v>
      </c>
      <c r="Y100" s="880">
        <f t="shared" si="261"/>
        <v>38.186511974984086</v>
      </c>
      <c r="Z100" s="880">
        <f t="shared" si="261"/>
        <v>37.913659366922346</v>
      </c>
      <c r="AA100" s="880">
        <f t="shared" si="261"/>
        <v>37.798756112381561</v>
      </c>
      <c r="AB100" s="880">
        <f t="shared" si="261"/>
        <v>38.164246094113849</v>
      </c>
      <c r="AC100" s="880">
        <f t="shared" si="261"/>
        <v>38.270815659471751</v>
      </c>
      <c r="AD100" s="880">
        <f t="shared" si="261"/>
        <v>38.382554865311334</v>
      </c>
      <c r="AE100" s="880">
        <f t="shared" si="261"/>
        <v>38.619545078003675</v>
      </c>
      <c r="AF100" s="880">
        <f t="shared" si="261"/>
        <v>38.734851780521424</v>
      </c>
      <c r="AG100" s="880">
        <f t="shared" si="261"/>
        <v>38.88910974389097</v>
      </c>
      <c r="AH100" s="880">
        <f t="shared" si="261"/>
        <v>39.160747772347534</v>
      </c>
      <c r="AI100" s="880">
        <f t="shared" si="261"/>
        <v>39.451321382756888</v>
      </c>
      <c r="AJ100" s="880">
        <f t="shared" si="261"/>
        <v>39.535438697575401</v>
      </c>
      <c r="AK100" s="880">
        <f t="shared" si="261"/>
        <v>39.570735630425908</v>
      </c>
      <c r="AL100" s="880">
        <f t="shared" si="261"/>
        <v>39.780803897275057</v>
      </c>
      <c r="AM100" s="880">
        <f t="shared" si="261"/>
        <v>40.046078884016239</v>
      </c>
      <c r="AN100" s="880">
        <f t="shared" si="261"/>
        <v>40.326008244912707</v>
      </c>
      <c r="AO100" s="880">
        <f t="shared" si="261"/>
        <v>40.555429307633098</v>
      </c>
      <c r="AP100" s="880">
        <f t="shared" si="261"/>
        <v>40.630021649872177</v>
      </c>
      <c r="AQ100" s="880">
        <f t="shared" si="261"/>
        <v>40.855427293357288</v>
      </c>
      <c r="AR100" s="880">
        <f t="shared" si="261"/>
        <v>41.122689870263187</v>
      </c>
      <c r="AS100" s="880">
        <f t="shared" ref="AS100:BA100" si="262">($BB100-$AR100)/10+AR100</f>
        <v>40.915200036704469</v>
      </c>
      <c r="AT100" s="880">
        <f t="shared" si="262"/>
        <v>40.707710203145751</v>
      </c>
      <c r="AU100" s="880">
        <f t="shared" si="262"/>
        <v>40.500220369587034</v>
      </c>
      <c r="AV100" s="880">
        <f t="shared" si="262"/>
        <v>40.292730536028316</v>
      </c>
      <c r="AW100" s="880">
        <f t="shared" si="262"/>
        <v>40.085240702469598</v>
      </c>
      <c r="AX100" s="880">
        <f t="shared" si="262"/>
        <v>39.87775086891088</v>
      </c>
      <c r="AY100" s="880">
        <f t="shared" si="262"/>
        <v>39.670261035352162</v>
      </c>
      <c r="AZ100" s="880">
        <f t="shared" si="262"/>
        <v>39.462771201793444</v>
      </c>
      <c r="BA100" s="880">
        <f t="shared" si="262"/>
        <v>39.255281368234726</v>
      </c>
      <c r="BB100" s="968">
        <f>'AEO Data'!$B$33*AM100</f>
        <v>39.047791534675994</v>
      </c>
      <c r="BC100" s="880">
        <f t="shared" ref="BC100:BP100" si="263">($BQ100-$BB100)/15+BB100</f>
        <v>39.070541707817128</v>
      </c>
      <c r="BD100" s="880">
        <f t="shared" si="263"/>
        <v>39.093291880958262</v>
      </c>
      <c r="BE100" s="880">
        <f t="shared" si="263"/>
        <v>39.116042054099395</v>
      </c>
      <c r="BF100" s="880">
        <f t="shared" si="263"/>
        <v>39.138792227240529</v>
      </c>
      <c r="BG100" s="880">
        <f t="shared" si="263"/>
        <v>39.161542400381663</v>
      </c>
      <c r="BH100" s="880">
        <f t="shared" si="263"/>
        <v>39.184292573522796</v>
      </c>
      <c r="BI100" s="880">
        <f t="shared" si="263"/>
        <v>39.20704274666393</v>
      </c>
      <c r="BJ100" s="880">
        <f t="shared" si="263"/>
        <v>39.229792919805064</v>
      </c>
      <c r="BK100" s="880">
        <f t="shared" si="263"/>
        <v>39.252543092946198</v>
      </c>
      <c r="BL100" s="880">
        <f t="shared" si="263"/>
        <v>39.275293266087331</v>
      </c>
      <c r="BM100" s="880">
        <f t="shared" si="263"/>
        <v>39.298043439228465</v>
      </c>
      <c r="BN100" s="880">
        <f t="shared" si="263"/>
        <v>39.320793612369599</v>
      </c>
      <c r="BO100" s="880">
        <f t="shared" si="263"/>
        <v>39.343543785510732</v>
      </c>
      <c r="BP100" s="880">
        <f t="shared" si="263"/>
        <v>39.366293958651866</v>
      </c>
      <c r="BQ100" s="968">
        <f>'AEO Data'!$C$33*BB100</f>
        <v>39.389044131793007</v>
      </c>
      <c r="BR100" s="880">
        <f t="shared" si="243"/>
        <v>39.362521510313748</v>
      </c>
      <c r="BS100" s="880">
        <f t="shared" si="243"/>
        <v>39.335998888834489</v>
      </c>
      <c r="BT100" s="880">
        <f t="shared" si="243"/>
        <v>39.30947626735523</v>
      </c>
      <c r="BU100" s="880">
        <f t="shared" si="243"/>
        <v>39.28295364587597</v>
      </c>
      <c r="BV100" s="969">
        <f>'AEO Data'!$D$33*BQ100</f>
        <v>39.256431024396711</v>
      </c>
      <c r="BW100" s="1398">
        <f>+BV100*BW$141/BV$141</f>
        <v>39.239146269797381</v>
      </c>
      <c r="BX100" s="1398">
        <f t="shared" ref="BX100:CZ100" si="264">+BW100*BX$141/BW$141</f>
        <v>39.221869125740675</v>
      </c>
      <c r="BY100" s="1398">
        <f t="shared" si="264"/>
        <v>39.204599588875645</v>
      </c>
      <c r="BZ100" s="1398">
        <f t="shared" si="264"/>
        <v>39.187337655852808</v>
      </c>
      <c r="CA100" s="1398">
        <f t="shared" si="264"/>
        <v>39.170083323324171</v>
      </c>
      <c r="CB100" s="1398">
        <f t="shared" si="264"/>
        <v>39.138708698285058</v>
      </c>
      <c r="CC100" s="1398">
        <f t="shared" si="264"/>
        <v>39.107359203830633</v>
      </c>
      <c r="CD100" s="1398">
        <f t="shared" si="264"/>
        <v>39.076034819831698</v>
      </c>
      <c r="CE100" s="1398">
        <f t="shared" si="264"/>
        <v>39.044735526175167</v>
      </c>
      <c r="CF100" s="1398">
        <f t="shared" si="264"/>
        <v>39.013461302764064</v>
      </c>
      <c r="CG100" s="1398">
        <f t="shared" si="264"/>
        <v>38.970379307391816</v>
      </c>
      <c r="CH100" s="1398">
        <f t="shared" si="264"/>
        <v>38.927344886837673</v>
      </c>
      <c r="CI100" s="1398">
        <f t="shared" si="264"/>
        <v>38.884357988565462</v>
      </c>
      <c r="CJ100" s="1398">
        <f t="shared" si="264"/>
        <v>38.841418560097019</v>
      </c>
      <c r="CK100" s="1398">
        <f t="shared" si="264"/>
        <v>38.798526549012138</v>
      </c>
      <c r="CL100" s="1398">
        <f t="shared" si="264"/>
        <v>38.751763774521798</v>
      </c>
      <c r="CM100" s="1398">
        <f t="shared" si="264"/>
        <v>38.70505736189034</v>
      </c>
      <c r="CN100" s="1398">
        <f t="shared" si="264"/>
        <v>38.658407243186389</v>
      </c>
      <c r="CO100" s="1398">
        <f t="shared" si="264"/>
        <v>38.61181335056046</v>
      </c>
      <c r="CP100" s="1398">
        <f t="shared" si="264"/>
        <v>38.565275616244847</v>
      </c>
      <c r="CQ100" s="1398">
        <f t="shared" si="264"/>
        <v>38.511372767810535</v>
      </c>
      <c r="CR100" s="1398">
        <f t="shared" si="264"/>
        <v>38.457545259614896</v>
      </c>
      <c r="CS100" s="1398">
        <f t="shared" si="264"/>
        <v>38.403792986354553</v>
      </c>
      <c r="CT100" s="1398">
        <f t="shared" si="264"/>
        <v>38.350115842873322</v>
      </c>
      <c r="CU100" s="1398">
        <f t="shared" si="264"/>
        <v>38.296513724162004</v>
      </c>
      <c r="CV100" s="1398">
        <f t="shared" si="264"/>
        <v>38.244188513437287</v>
      </c>
      <c r="CW100" s="1398">
        <f t="shared" si="264"/>
        <v>38.191934795582569</v>
      </c>
      <c r="CX100" s="1398">
        <f t="shared" si="264"/>
        <v>38.139752472915873</v>
      </c>
      <c r="CY100" s="1398">
        <f t="shared" si="264"/>
        <v>38.087641447888679</v>
      </c>
      <c r="CZ100" s="1398">
        <f t="shared" si="264"/>
        <v>38.035601623085753</v>
      </c>
    </row>
    <row r="101" spans="1:104" ht="13" thickTop="1" x14ac:dyDescent="0.25">
      <c r="D101" s="1096"/>
    </row>
    <row r="102" spans="1:104" ht="13" thickBot="1" x14ac:dyDescent="0.3">
      <c r="D102" s="1096"/>
    </row>
    <row r="103" spans="1:104" s="1053" customFormat="1" ht="13" x14ac:dyDescent="0.3">
      <c r="A103" s="1049" t="s">
        <v>1159</v>
      </c>
      <c r="B103" s="1050"/>
      <c r="C103" s="1051"/>
      <c r="D103" s="1252"/>
      <c r="E103" s="1051"/>
      <c r="F103" s="1050"/>
      <c r="G103" s="1050"/>
      <c r="H103" s="1050"/>
      <c r="I103" s="1050"/>
      <c r="J103" s="1050"/>
      <c r="K103" s="1050"/>
      <c r="L103" s="1050"/>
      <c r="M103" s="1050"/>
      <c r="N103" s="1050"/>
      <c r="O103" s="1050"/>
      <c r="P103" s="1050"/>
      <c r="Q103" s="1050"/>
      <c r="R103" s="1050"/>
      <c r="S103" s="1050"/>
      <c r="T103" s="1050"/>
      <c r="U103" s="1050"/>
      <c r="V103" s="1050"/>
      <c r="W103" s="1050"/>
      <c r="X103" s="1050"/>
      <c r="Y103" s="1050"/>
      <c r="Z103" s="1050"/>
      <c r="AA103" s="1050"/>
      <c r="AB103" s="1050"/>
      <c r="AC103" s="1050"/>
      <c r="AD103" s="1050"/>
      <c r="AE103" s="1050"/>
      <c r="AF103" s="1050"/>
      <c r="AG103" s="1050"/>
      <c r="AH103" s="1050"/>
      <c r="AI103" s="1050"/>
      <c r="AJ103" s="1050"/>
      <c r="AK103" s="1050"/>
      <c r="AL103" s="1050"/>
      <c r="AM103" s="1050"/>
      <c r="AN103" s="1050"/>
      <c r="AO103" s="1050"/>
      <c r="AP103" s="1050"/>
      <c r="AQ103" s="1050"/>
      <c r="AR103" s="1050"/>
      <c r="AS103" s="1050"/>
      <c r="AT103" s="1050"/>
      <c r="AU103" s="1050"/>
      <c r="AV103" s="1050"/>
      <c r="AW103" s="1050"/>
      <c r="AX103" s="1050"/>
      <c r="AY103" s="1050"/>
      <c r="AZ103" s="1050"/>
      <c r="BA103" s="1050"/>
      <c r="BB103" s="1050"/>
      <c r="BC103" s="1050"/>
      <c r="BD103" s="1050"/>
      <c r="BE103" s="1050"/>
      <c r="BF103" s="1050"/>
      <c r="BG103" s="1050"/>
      <c r="BH103" s="1050"/>
      <c r="BI103" s="1050"/>
      <c r="BJ103" s="1050"/>
      <c r="BK103" s="1050"/>
      <c r="BL103" s="1050"/>
      <c r="BM103" s="1050"/>
      <c r="BN103" s="1050"/>
      <c r="BO103" s="1050"/>
      <c r="BP103" s="1050"/>
      <c r="BQ103" s="1050"/>
      <c r="BR103" s="1050"/>
      <c r="BS103" s="1050"/>
      <c r="BT103" s="1050"/>
      <c r="BU103" s="1050"/>
      <c r="BV103" s="1052"/>
    </row>
    <row r="104" spans="1:104" s="1053" customFormat="1" ht="13" x14ac:dyDescent="0.3">
      <c r="A104" s="1054" t="s">
        <v>1113</v>
      </c>
      <c r="B104" s="1055"/>
      <c r="C104" s="1056"/>
      <c r="D104" s="1253"/>
      <c r="E104" s="1056"/>
      <c r="F104" s="1055"/>
      <c r="G104" s="1055"/>
      <c r="H104" s="1055"/>
      <c r="I104" s="1055"/>
      <c r="J104" s="1055"/>
      <c r="K104" s="1055"/>
      <c r="L104" s="1055"/>
      <c r="M104" s="1055"/>
      <c r="N104" s="1055"/>
      <c r="O104" s="1055"/>
      <c r="P104" s="1055"/>
      <c r="Q104" s="1055"/>
      <c r="R104" s="1055"/>
      <c r="S104" s="1055"/>
      <c r="T104" s="1055"/>
      <c r="U104" s="1055"/>
      <c r="V104" s="1055"/>
      <c r="W104" s="1055"/>
      <c r="X104" s="1055"/>
      <c r="Y104" s="1055"/>
      <c r="Z104" s="1055"/>
      <c r="AA104" s="1055"/>
      <c r="AB104" s="1055"/>
      <c r="AC104" s="1055"/>
      <c r="AD104" s="1055"/>
      <c r="AE104" s="1055"/>
      <c r="AF104" s="1055"/>
      <c r="AG104" s="1055"/>
      <c r="AH104" s="1055"/>
      <c r="AI104" s="1055"/>
      <c r="AJ104" s="1055"/>
      <c r="AK104" s="1055"/>
      <c r="AL104" s="1055"/>
      <c r="AM104" s="1055"/>
      <c r="AN104" s="1055"/>
      <c r="AO104" s="1055"/>
      <c r="AP104" s="1055"/>
      <c r="AQ104" s="1055"/>
      <c r="AR104" s="1055"/>
      <c r="AS104" s="1055"/>
      <c r="AT104" s="1055"/>
      <c r="AU104" s="1055"/>
      <c r="AV104" s="1055"/>
      <c r="AW104" s="1055"/>
      <c r="AX104" s="1055"/>
      <c r="AY104" s="1055"/>
      <c r="AZ104" s="1055"/>
      <c r="BA104" s="1055"/>
      <c r="BB104" s="1055"/>
      <c r="BC104" s="1055"/>
      <c r="BD104" s="1055"/>
      <c r="BE104" s="1055"/>
      <c r="BF104" s="1055"/>
      <c r="BG104" s="1055"/>
      <c r="BH104" s="1055"/>
      <c r="BI104" s="1055"/>
      <c r="BJ104" s="1055"/>
      <c r="BK104" s="1055"/>
      <c r="BL104" s="1055"/>
      <c r="BM104" s="1055"/>
      <c r="BN104" s="1055"/>
      <c r="BO104" s="1055"/>
      <c r="BP104" s="1055"/>
      <c r="BQ104" s="1055"/>
      <c r="BR104" s="1055"/>
      <c r="BS104" s="1055"/>
      <c r="BT104" s="1055"/>
      <c r="BU104" s="1055"/>
      <c r="BV104" s="1057"/>
    </row>
    <row r="105" spans="1:104" s="1053" customFormat="1" x14ac:dyDescent="0.25">
      <c r="A105" s="1058"/>
      <c r="B105" s="1055"/>
      <c r="C105" s="1056"/>
      <c r="D105" s="1253"/>
      <c r="E105" s="1056"/>
      <c r="F105" s="1055"/>
      <c r="G105" s="1055"/>
      <c r="H105" s="1055"/>
      <c r="I105" s="1055"/>
      <c r="J105" s="1055"/>
      <c r="K105" s="1055"/>
      <c r="L105" s="1055"/>
      <c r="M105" s="1055"/>
      <c r="N105" s="1055"/>
      <c r="O105" s="1055"/>
      <c r="P105" s="1055"/>
      <c r="Q105" s="1055"/>
      <c r="R105" s="1055"/>
      <c r="S105" s="1055"/>
      <c r="T105" s="1055"/>
      <c r="U105" s="1055"/>
      <c r="V105" s="1055"/>
      <c r="W105" s="1055"/>
      <c r="X105" s="1055"/>
      <c r="Y105" s="1055"/>
      <c r="Z105" s="1055"/>
      <c r="AA105" s="1055"/>
      <c r="AB105" s="1055"/>
      <c r="AC105" s="1055"/>
      <c r="AD105" s="1055"/>
      <c r="AE105" s="1055"/>
      <c r="AF105" s="1055"/>
      <c r="AG105" s="1055"/>
      <c r="AH105" s="1055"/>
      <c r="AI105" s="1055"/>
      <c r="AJ105" s="1055"/>
      <c r="AK105" s="1055"/>
      <c r="AL105" s="1055"/>
      <c r="AM105" s="1055"/>
      <c r="AN105" s="1055"/>
      <c r="AO105" s="1055"/>
      <c r="AP105" s="1055"/>
      <c r="AQ105" s="1055"/>
      <c r="AR105" s="1055"/>
      <c r="AS105" s="1055"/>
      <c r="AT105" s="1055"/>
      <c r="AU105" s="1055"/>
      <c r="AV105" s="1055"/>
      <c r="AW105" s="1055"/>
      <c r="AX105" s="1055"/>
      <c r="AY105" s="1055"/>
      <c r="AZ105" s="1055"/>
      <c r="BA105" s="1055"/>
      <c r="BB105" s="1055"/>
      <c r="BC105" s="1055"/>
      <c r="BD105" s="1055"/>
      <c r="BE105" s="1055"/>
      <c r="BF105" s="1055"/>
      <c r="BG105" s="1055"/>
      <c r="BH105" s="1055"/>
      <c r="BI105" s="1055"/>
      <c r="BJ105" s="1055"/>
      <c r="BK105" s="1055"/>
      <c r="BL105" s="1055"/>
      <c r="BM105" s="1055"/>
      <c r="BN105" s="1055"/>
      <c r="BO105" s="1055"/>
      <c r="BP105" s="1055"/>
      <c r="BQ105" s="1055"/>
      <c r="BR105" s="1055"/>
      <c r="BS105" s="1055"/>
      <c r="BT105" s="1055"/>
      <c r="BU105" s="1055"/>
      <c r="BV105" s="1057"/>
    </row>
    <row r="106" spans="1:104" s="1053" customFormat="1" x14ac:dyDescent="0.25">
      <c r="A106" s="1058" t="s">
        <v>681</v>
      </c>
      <c r="B106" s="1055"/>
      <c r="C106" s="1056"/>
      <c r="D106" s="1253"/>
      <c r="E106" s="1056"/>
      <c r="F106" s="1055"/>
      <c r="G106" s="1055"/>
      <c r="H106" s="1055"/>
      <c r="I106" s="1055"/>
      <c r="J106" s="1055"/>
      <c r="K106" s="1055"/>
      <c r="L106" s="1055"/>
      <c r="M106" s="1055"/>
      <c r="N106" s="1055"/>
      <c r="O106" s="1059">
        <v>10.979644</v>
      </c>
      <c r="P106" s="1059">
        <v>10.458463</v>
      </c>
      <c r="Q106" s="1059">
        <v>10.386789</v>
      </c>
      <c r="R106" s="1059">
        <v>11.197535999999999</v>
      </c>
      <c r="S106" s="1059">
        <v>10.997512</v>
      </c>
      <c r="T106" s="1059">
        <v>10.684602</v>
      </c>
      <c r="U106" s="1059">
        <v>11.01057</v>
      </c>
      <c r="V106" s="1059">
        <v>11.455973999999999</v>
      </c>
      <c r="W106" s="1059">
        <v>11.627091999999999</v>
      </c>
      <c r="X106" s="1059">
        <v>11.591965</v>
      </c>
      <c r="Y106" s="1059">
        <v>11.804651</v>
      </c>
      <c r="Z106" s="1059">
        <v>11.896172</v>
      </c>
      <c r="AA106" s="1059">
        <v>12.056948999999999</v>
      </c>
      <c r="AB106" s="1059">
        <v>12.305148000000001</v>
      </c>
      <c r="AC106" s="1059">
        <v>12.475469</v>
      </c>
      <c r="AD106" s="1059">
        <v>12.579926</v>
      </c>
      <c r="AE106" s="1059">
        <v>12.716393999999999</v>
      </c>
      <c r="AF106" s="1059">
        <v>12.897914999999999</v>
      </c>
      <c r="AG106" s="1059">
        <v>13.184208999999999</v>
      </c>
      <c r="AH106" s="1059">
        <v>13.502886999999999</v>
      </c>
      <c r="AI106" s="1059">
        <v>13.64997</v>
      </c>
      <c r="AJ106" s="1059">
        <v>13.712135</v>
      </c>
      <c r="AK106" s="1059">
        <v>13.943460999999999</v>
      </c>
      <c r="AL106" s="1059">
        <v>14.339456999999999</v>
      </c>
      <c r="AM106" s="1059">
        <v>14.605688000000001</v>
      </c>
      <c r="AN106" s="1059">
        <v>14.994783</v>
      </c>
      <c r="AO106" s="1059">
        <v>15.152347000000001</v>
      </c>
      <c r="AP106" s="1059">
        <v>15.279963</v>
      </c>
      <c r="AQ106" s="1059">
        <v>15.618371</v>
      </c>
      <c r="AR106" s="1059">
        <v>15.977807</v>
      </c>
      <c r="AS106" s="1055"/>
      <c r="AT106" s="1055"/>
      <c r="AU106" s="1055"/>
      <c r="AV106" s="1055"/>
      <c r="AW106" s="1055"/>
      <c r="AX106" s="1055"/>
      <c r="AY106" s="1055"/>
      <c r="AZ106" s="1055"/>
      <c r="BA106" s="1055"/>
      <c r="BB106" s="1055"/>
      <c r="BC106" s="1055"/>
      <c r="BD106" s="1055"/>
      <c r="BE106" s="1055"/>
      <c r="BF106" s="1055"/>
      <c r="BG106" s="1055"/>
      <c r="BH106" s="1055"/>
      <c r="BI106" s="1055"/>
      <c r="BJ106" s="1055"/>
      <c r="BK106" s="1055"/>
      <c r="BL106" s="1055"/>
      <c r="BM106" s="1055"/>
      <c r="BN106" s="1055"/>
      <c r="BO106" s="1055"/>
      <c r="BP106" s="1055"/>
      <c r="BQ106" s="1055"/>
      <c r="BR106" s="1055"/>
      <c r="BS106" s="1055"/>
      <c r="BT106" s="1055"/>
      <c r="BU106" s="1055"/>
      <c r="BV106" s="1057"/>
    </row>
    <row r="107" spans="1:104" s="1053" customFormat="1" x14ac:dyDescent="0.25">
      <c r="A107" s="1058" t="s">
        <v>1085</v>
      </c>
      <c r="B107" s="1055"/>
      <c r="C107" s="1056"/>
      <c r="D107" s="1253"/>
      <c r="E107" s="1056"/>
      <c r="F107" s="1055"/>
      <c r="G107" s="1055"/>
      <c r="H107" s="1055"/>
      <c r="I107" s="1055"/>
      <c r="J107" s="1055"/>
      <c r="K107" s="1055"/>
      <c r="L107" s="1055"/>
      <c r="M107" s="1055"/>
      <c r="N107" s="1055"/>
      <c r="O107" s="1059">
        <v>8.9608349999999994</v>
      </c>
      <c r="P107" s="1059">
        <v>8.1128640000000001</v>
      </c>
      <c r="Q107" s="1059">
        <v>8.3120530000000006</v>
      </c>
      <c r="R107" s="1059">
        <v>9.0860579999999995</v>
      </c>
      <c r="S107" s="1059">
        <v>8.9185510000000008</v>
      </c>
      <c r="T107" s="1059">
        <v>8.7230709999999991</v>
      </c>
      <c r="U107" s="1059">
        <v>9.0072580000000002</v>
      </c>
      <c r="V107" s="1059">
        <v>9.4091780000000007</v>
      </c>
      <c r="W107" s="1059">
        <v>9.5464699999999993</v>
      </c>
      <c r="X107" s="1059">
        <v>9.490774</v>
      </c>
      <c r="Y107" s="1059">
        <v>9.6849690000000006</v>
      </c>
      <c r="Z107" s="1059">
        <v>9.7584820000000008</v>
      </c>
      <c r="AA107" s="1059">
        <v>9.8987529999999992</v>
      </c>
      <c r="AB107" s="1059">
        <v>10.127039999999999</v>
      </c>
      <c r="AC107" s="1059">
        <v>10.286922000000001</v>
      </c>
      <c r="AD107" s="1059">
        <v>10.380953999999999</v>
      </c>
      <c r="AE107" s="1059">
        <v>10.496881999999999</v>
      </c>
      <c r="AF107" s="1059">
        <v>10.657225</v>
      </c>
      <c r="AG107" s="1059">
        <v>10.911016</v>
      </c>
      <c r="AH107" s="1059">
        <v>11.192325</v>
      </c>
      <c r="AI107" s="1059">
        <v>11.294316</v>
      </c>
      <c r="AJ107" s="1059">
        <v>11.292712999999999</v>
      </c>
      <c r="AK107" s="1059">
        <v>11.478382999999999</v>
      </c>
      <c r="AL107" s="1059">
        <v>11.747921</v>
      </c>
      <c r="AM107" s="1059">
        <v>11.953430000000001</v>
      </c>
      <c r="AN107" s="1059">
        <v>12.263629999999999</v>
      </c>
      <c r="AO107" s="1059">
        <v>12.368285999999999</v>
      </c>
      <c r="AP107" s="1059">
        <v>12.459205000000001</v>
      </c>
      <c r="AQ107" s="1059">
        <v>12.755896</v>
      </c>
      <c r="AR107" s="1059">
        <v>13.077387</v>
      </c>
      <c r="AS107" s="1055"/>
      <c r="AT107" s="1055"/>
      <c r="AU107" s="1055"/>
      <c r="AV107" s="1055"/>
      <c r="AW107" s="1055"/>
      <c r="AX107" s="1055"/>
      <c r="AY107" s="1055"/>
      <c r="AZ107" s="1055"/>
      <c r="BA107" s="1055"/>
      <c r="BB107" s="1055"/>
      <c r="BC107" s="1055"/>
      <c r="BD107" s="1055"/>
      <c r="BE107" s="1055"/>
      <c r="BF107" s="1055"/>
      <c r="BG107" s="1055"/>
      <c r="BH107" s="1055"/>
      <c r="BI107" s="1055"/>
      <c r="BJ107" s="1055"/>
      <c r="BK107" s="1055"/>
      <c r="BL107" s="1055"/>
      <c r="BM107" s="1055"/>
      <c r="BN107" s="1055"/>
      <c r="BO107" s="1055"/>
      <c r="BP107" s="1055"/>
      <c r="BQ107" s="1055"/>
      <c r="BR107" s="1055"/>
      <c r="BS107" s="1055"/>
      <c r="BT107" s="1055"/>
      <c r="BU107" s="1055"/>
      <c r="BV107" s="1057"/>
    </row>
    <row r="108" spans="1:104" s="1053" customFormat="1" x14ac:dyDescent="0.25">
      <c r="A108" s="1058" t="s">
        <v>283</v>
      </c>
      <c r="B108" s="1055"/>
      <c r="C108" s="1056"/>
      <c r="D108" s="1253"/>
      <c r="E108" s="1056"/>
      <c r="F108" s="1055"/>
      <c r="G108" s="1055"/>
      <c r="H108" s="1055"/>
      <c r="I108" s="1055"/>
      <c r="J108" s="1055"/>
      <c r="K108" s="1055"/>
      <c r="L108" s="1055"/>
      <c r="M108" s="1055"/>
      <c r="N108" s="1055"/>
      <c r="O108" s="1059">
        <v>5.093718</v>
      </c>
      <c r="P108" s="1059">
        <v>3.77142</v>
      </c>
      <c r="Q108" s="1059">
        <v>4.594805</v>
      </c>
      <c r="R108" s="1059">
        <v>4.7995720000000004</v>
      </c>
      <c r="S108" s="1059">
        <v>4.9392990000000001</v>
      </c>
      <c r="T108" s="1059">
        <v>5.148549</v>
      </c>
      <c r="U108" s="1059">
        <v>5.425808</v>
      </c>
      <c r="V108" s="1059">
        <v>5.8458810000000003</v>
      </c>
      <c r="W108" s="1059">
        <v>5.9476060000000004</v>
      </c>
      <c r="X108" s="1059">
        <v>5.7923239999999998</v>
      </c>
      <c r="Y108" s="1059">
        <v>5.9347989999999999</v>
      </c>
      <c r="Z108" s="1059">
        <v>5.9545320000000004</v>
      </c>
      <c r="AA108" s="1059">
        <v>6.0522600000000004</v>
      </c>
      <c r="AB108" s="1059">
        <v>6.2273719999999999</v>
      </c>
      <c r="AC108" s="1059">
        <v>6.3209530000000003</v>
      </c>
      <c r="AD108" s="1059">
        <v>6.356109</v>
      </c>
      <c r="AE108" s="1059">
        <v>6.4293370000000003</v>
      </c>
      <c r="AF108" s="1059">
        <v>6.531498</v>
      </c>
      <c r="AG108" s="1059">
        <v>6.7357209999999998</v>
      </c>
      <c r="AH108" s="1059">
        <v>6.9891050000000003</v>
      </c>
      <c r="AI108" s="1059">
        <v>7.1038509999999997</v>
      </c>
      <c r="AJ108" s="1059">
        <v>7.224164</v>
      </c>
      <c r="AK108" s="1059">
        <v>7.420331</v>
      </c>
      <c r="AL108" s="1059">
        <v>7.5726420000000001</v>
      </c>
      <c r="AM108" s="1059">
        <v>7.7575940000000001</v>
      </c>
      <c r="AN108" s="1059">
        <v>8.0432100000000002</v>
      </c>
      <c r="AO108" s="1059">
        <v>8.0942129999999999</v>
      </c>
      <c r="AP108" s="1059">
        <v>8.1302479999999999</v>
      </c>
      <c r="AQ108" s="1059">
        <v>8.3372609999999998</v>
      </c>
      <c r="AR108" s="1059">
        <v>8.5934050000000006</v>
      </c>
      <c r="AS108" s="1055"/>
      <c r="AT108" s="1055"/>
      <c r="AU108" s="1055"/>
      <c r="AV108" s="1055"/>
      <c r="AW108" s="1055"/>
      <c r="AX108" s="1055"/>
      <c r="AY108" s="1055"/>
      <c r="AZ108" s="1055"/>
      <c r="BA108" s="1055"/>
      <c r="BB108" s="1055"/>
      <c r="BC108" s="1055"/>
      <c r="BD108" s="1055"/>
      <c r="BE108" s="1055"/>
      <c r="BF108" s="1055"/>
      <c r="BG108" s="1055"/>
      <c r="BH108" s="1055"/>
      <c r="BI108" s="1055"/>
      <c r="BJ108" s="1055"/>
      <c r="BK108" s="1055"/>
      <c r="BL108" s="1055"/>
      <c r="BM108" s="1055"/>
      <c r="BN108" s="1055"/>
      <c r="BO108" s="1055"/>
      <c r="BP108" s="1055"/>
      <c r="BQ108" s="1055"/>
      <c r="BR108" s="1055"/>
      <c r="BS108" s="1055"/>
      <c r="BT108" s="1055"/>
      <c r="BU108" s="1055"/>
      <c r="BV108" s="1057"/>
    </row>
    <row r="109" spans="1:104" s="1053" customFormat="1" x14ac:dyDescent="0.25">
      <c r="A109" s="1060" t="str">
        <f>'HyARC Physical Property Data'!$A$74</f>
        <v>Electric Utility Natural Gas</v>
      </c>
      <c r="B109" s="1055"/>
      <c r="C109" s="1056"/>
      <c r="D109" s="1253"/>
      <c r="E109" s="1056"/>
      <c r="F109" s="1055"/>
      <c r="G109" s="1055"/>
      <c r="H109" s="1055"/>
      <c r="I109" s="1055"/>
      <c r="J109" s="1055"/>
      <c r="K109" s="1055"/>
      <c r="L109" s="1055"/>
      <c r="M109" s="1055"/>
      <c r="N109" s="1055"/>
      <c r="O109" s="1059">
        <v>4.881901</v>
      </c>
      <c r="P109" s="1059">
        <v>3.4378730000000002</v>
      </c>
      <c r="Q109" s="1059">
        <v>4.3206319999999998</v>
      </c>
      <c r="R109" s="1059">
        <v>4.4694140000000004</v>
      </c>
      <c r="S109" s="1059">
        <v>4.4284980000000003</v>
      </c>
      <c r="T109" s="1059">
        <v>4.4748020000000004</v>
      </c>
      <c r="U109" s="1059">
        <v>4.6905669999999997</v>
      </c>
      <c r="V109" s="1059">
        <v>5.0621029999999996</v>
      </c>
      <c r="W109" s="1059">
        <v>5.1794200000000004</v>
      </c>
      <c r="X109" s="1059">
        <v>5.0744109999999996</v>
      </c>
      <c r="Y109" s="1059">
        <v>5.242337</v>
      </c>
      <c r="Z109" s="1059">
        <v>5.2943420000000003</v>
      </c>
      <c r="AA109" s="1059">
        <v>5.4200609999999996</v>
      </c>
      <c r="AB109" s="1059">
        <v>5.622217</v>
      </c>
      <c r="AC109" s="1059">
        <v>5.7577170000000004</v>
      </c>
      <c r="AD109" s="1059">
        <v>5.8140010000000002</v>
      </c>
      <c r="AE109" s="1059">
        <v>5.9051999999999998</v>
      </c>
      <c r="AF109" s="1059">
        <v>6.0276690000000004</v>
      </c>
      <c r="AG109" s="1059">
        <v>6.2437040000000001</v>
      </c>
      <c r="AH109" s="1059">
        <v>6.4934279999999998</v>
      </c>
      <c r="AI109" s="1059">
        <v>6.6170710000000001</v>
      </c>
      <c r="AJ109" s="1059">
        <v>6.726566</v>
      </c>
      <c r="AK109" s="1059">
        <v>6.9305599999999998</v>
      </c>
      <c r="AL109" s="1059">
        <v>7.0909170000000001</v>
      </c>
      <c r="AM109" s="1059">
        <v>7.286816</v>
      </c>
      <c r="AN109" s="1059">
        <v>7.5708000000000002</v>
      </c>
      <c r="AO109" s="1059">
        <v>7.630439</v>
      </c>
      <c r="AP109" s="1059">
        <v>7.6782940000000002</v>
      </c>
      <c r="AQ109" s="1059">
        <v>7.8974500000000001</v>
      </c>
      <c r="AR109" s="1059">
        <v>8.1587669999999992</v>
      </c>
      <c r="AS109" s="1055"/>
      <c r="AT109" s="1055"/>
      <c r="AU109" s="1055"/>
      <c r="AV109" s="1055"/>
      <c r="AW109" s="1055"/>
      <c r="AX109" s="1055"/>
      <c r="AY109" s="1055"/>
      <c r="AZ109" s="1055"/>
      <c r="BA109" s="1055"/>
      <c r="BB109" s="1055"/>
      <c r="BC109" s="1055"/>
      <c r="BD109" s="1055"/>
      <c r="BE109" s="1055"/>
      <c r="BF109" s="1055"/>
      <c r="BG109" s="1055"/>
      <c r="BH109" s="1055"/>
      <c r="BI109" s="1055"/>
      <c r="BJ109" s="1055"/>
      <c r="BK109" s="1055"/>
      <c r="BL109" s="1055"/>
      <c r="BM109" s="1055"/>
      <c r="BN109" s="1055"/>
      <c r="BO109" s="1055"/>
      <c r="BP109" s="1055"/>
      <c r="BQ109" s="1055"/>
      <c r="BR109" s="1055"/>
      <c r="BS109" s="1055"/>
      <c r="BT109" s="1055"/>
      <c r="BU109" s="1055"/>
      <c r="BV109" s="1057"/>
    </row>
    <row r="110" spans="1:104" s="1053" customFormat="1" x14ac:dyDescent="0.25">
      <c r="A110" s="1055" t="s">
        <v>1081</v>
      </c>
      <c r="B110" s="1055"/>
      <c r="C110" s="1056"/>
      <c r="D110" s="1253"/>
      <c r="E110" s="1056"/>
      <c r="F110" s="1055"/>
      <c r="G110" s="1055"/>
      <c r="H110" s="1055"/>
      <c r="I110" s="1055"/>
      <c r="J110" s="1055"/>
      <c r="K110" s="1055"/>
      <c r="L110" s="1055"/>
      <c r="M110" s="1055"/>
      <c r="N110" s="1055"/>
      <c r="O110" s="1059"/>
      <c r="P110" s="1059"/>
      <c r="Q110" s="1059"/>
      <c r="R110" s="1059"/>
      <c r="S110" s="1059"/>
      <c r="T110" s="1059"/>
      <c r="U110" s="1059"/>
      <c r="V110" s="1059"/>
      <c r="W110" s="1059"/>
      <c r="X110" s="1059"/>
      <c r="Y110" s="1059"/>
      <c r="Z110" s="1059"/>
      <c r="AA110" s="1059"/>
      <c r="AB110" s="1059"/>
      <c r="AC110" s="1059"/>
      <c r="AD110" s="1059"/>
      <c r="AE110" s="1059"/>
      <c r="AF110" s="1059"/>
      <c r="AG110" s="1059"/>
      <c r="AH110" s="1059"/>
      <c r="AI110" s="1059"/>
      <c r="AJ110" s="1059"/>
      <c r="AK110" s="1059"/>
      <c r="AL110" s="1059"/>
      <c r="AM110" s="1059"/>
      <c r="AN110" s="1059"/>
      <c r="AO110" s="1059"/>
      <c r="AP110" s="1059"/>
      <c r="AQ110" s="1059"/>
      <c r="AR110" s="1059"/>
      <c r="AS110" s="1055"/>
      <c r="AT110" s="1055"/>
      <c r="AU110" s="1055"/>
      <c r="AV110" s="1055"/>
      <c r="AW110" s="1055"/>
      <c r="AX110" s="1055"/>
      <c r="AY110" s="1055"/>
      <c r="AZ110" s="1055"/>
      <c r="BA110" s="1055"/>
      <c r="BB110" s="1055"/>
      <c r="BC110" s="1055"/>
      <c r="BD110" s="1055"/>
      <c r="BE110" s="1055"/>
      <c r="BF110" s="1055"/>
      <c r="BG110" s="1055"/>
      <c r="BH110" s="1055"/>
      <c r="BI110" s="1055"/>
      <c r="BJ110" s="1055"/>
      <c r="BK110" s="1055"/>
      <c r="BL110" s="1055"/>
      <c r="BM110" s="1055"/>
      <c r="BN110" s="1055"/>
      <c r="BO110" s="1055"/>
      <c r="BP110" s="1055"/>
      <c r="BQ110" s="1055"/>
      <c r="BR110" s="1055"/>
      <c r="BS110" s="1055"/>
      <c r="BT110" s="1055"/>
      <c r="BU110" s="1055"/>
      <c r="BV110" s="1057"/>
    </row>
    <row r="111" spans="1:104" s="1053" customFormat="1" x14ac:dyDescent="0.25">
      <c r="A111" s="1075" t="s">
        <v>716</v>
      </c>
      <c r="B111" s="1055"/>
      <c r="C111" s="1056"/>
      <c r="D111" s="1253"/>
      <c r="E111" s="1056"/>
      <c r="F111" s="1055"/>
      <c r="G111" s="1055"/>
      <c r="H111" s="1055"/>
      <c r="I111" s="1055"/>
      <c r="J111" s="1055"/>
      <c r="K111" s="1055"/>
      <c r="L111" s="1055"/>
      <c r="M111" s="1055"/>
      <c r="N111" s="1055"/>
      <c r="O111" s="1059">
        <v>7.1348120000000002</v>
      </c>
      <c r="P111" s="1059">
        <v>7.25</v>
      </c>
      <c r="Q111" s="1059">
        <v>7.4339180000000002</v>
      </c>
      <c r="R111" s="1059">
        <v>7.5123340000000001</v>
      </c>
      <c r="S111" s="1059">
        <v>7.7593930000000002</v>
      </c>
      <c r="T111" s="1059">
        <v>7.9480709999999997</v>
      </c>
      <c r="U111" s="1059">
        <v>8.0483750000000001</v>
      </c>
      <c r="V111" s="1059">
        <v>8.1909299999999998</v>
      </c>
      <c r="W111" s="1059">
        <v>8.3009920000000008</v>
      </c>
      <c r="X111" s="1059">
        <v>8.4282590000000006</v>
      </c>
      <c r="Y111" s="1059">
        <v>8.5261879999999994</v>
      </c>
      <c r="Z111" s="1059">
        <v>8.6333680000000008</v>
      </c>
      <c r="AA111" s="1059">
        <v>8.7384330000000006</v>
      </c>
      <c r="AB111" s="1059">
        <v>8.8454820000000005</v>
      </c>
      <c r="AC111" s="1059">
        <v>8.9517559999999996</v>
      </c>
      <c r="AD111" s="1059">
        <v>9.0441529999999997</v>
      </c>
      <c r="AE111" s="1059">
        <v>9.1489940000000001</v>
      </c>
      <c r="AF111" s="1059">
        <v>9.2665970000000009</v>
      </c>
      <c r="AG111" s="1059">
        <v>9.3802029999999998</v>
      </c>
      <c r="AH111" s="1059">
        <v>9.5131180000000004</v>
      </c>
      <c r="AI111" s="1059">
        <v>9.5927720000000001</v>
      </c>
      <c r="AJ111" s="1059">
        <v>9.6736090000000008</v>
      </c>
      <c r="AK111" s="1059">
        <v>9.7592280000000002</v>
      </c>
      <c r="AL111" s="1059">
        <v>9.8373989999999996</v>
      </c>
      <c r="AM111" s="1059">
        <v>9.9349030000000003</v>
      </c>
      <c r="AN111" s="1059">
        <v>10.012817</v>
      </c>
      <c r="AO111" s="1059">
        <v>10.10066</v>
      </c>
      <c r="AP111" s="1059">
        <v>10.107113</v>
      </c>
      <c r="AQ111" s="1059">
        <v>10.135842</v>
      </c>
      <c r="AR111" s="1059">
        <v>10.197044999999999</v>
      </c>
      <c r="AS111" s="1055"/>
      <c r="AT111" s="1055"/>
      <c r="AU111" s="1055"/>
      <c r="AV111" s="1055"/>
      <c r="AW111" s="1055"/>
      <c r="AX111" s="1055"/>
      <c r="AY111" s="1055"/>
      <c r="AZ111" s="1055"/>
      <c r="BA111" s="1055"/>
      <c r="BB111" s="1055"/>
      <c r="BC111" s="1055"/>
      <c r="BD111" s="1055"/>
      <c r="BE111" s="1055"/>
      <c r="BF111" s="1055"/>
      <c r="BG111" s="1055"/>
      <c r="BH111" s="1055"/>
      <c r="BI111" s="1055"/>
      <c r="BJ111" s="1055"/>
      <c r="BK111" s="1055"/>
      <c r="BL111" s="1055"/>
      <c r="BM111" s="1055"/>
      <c r="BN111" s="1055"/>
      <c r="BO111" s="1055"/>
      <c r="BP111" s="1055"/>
      <c r="BQ111" s="1055"/>
      <c r="BR111" s="1055"/>
      <c r="BS111" s="1055"/>
      <c r="BT111" s="1055"/>
      <c r="BU111" s="1055"/>
      <c r="BV111" s="1057"/>
    </row>
    <row r="112" spans="1:104" s="1053" customFormat="1" x14ac:dyDescent="0.25">
      <c r="A112" s="1075" t="s">
        <v>717</v>
      </c>
      <c r="B112" s="1055"/>
      <c r="C112" s="1056"/>
      <c r="D112" s="1253"/>
      <c r="E112" s="1056"/>
      <c r="F112" s="1055"/>
      <c r="G112" s="1055"/>
      <c r="H112" s="1055"/>
      <c r="I112" s="1055"/>
      <c r="J112" s="1055"/>
      <c r="K112" s="1055"/>
      <c r="L112" s="1055"/>
      <c r="M112" s="1055"/>
      <c r="N112" s="1055"/>
      <c r="O112" s="1059">
        <v>3.3073760000000001</v>
      </c>
      <c r="P112" s="1059">
        <v>3.2396150000000001</v>
      </c>
      <c r="Q112" s="1059">
        <v>3.3150900000000001</v>
      </c>
      <c r="R112" s="1059">
        <v>3.2817340000000002</v>
      </c>
      <c r="S112" s="1059">
        <v>3.3761420000000002</v>
      </c>
      <c r="T112" s="1059">
        <v>3.437208</v>
      </c>
      <c r="U112" s="1059">
        <v>3.4609869999999998</v>
      </c>
      <c r="V112" s="1059">
        <v>3.5206819999999999</v>
      </c>
      <c r="W112" s="1059">
        <v>3.5610849999999998</v>
      </c>
      <c r="X112" s="1059">
        <v>3.5932520000000001</v>
      </c>
      <c r="Y112" s="1059">
        <v>3.6143869999999998</v>
      </c>
      <c r="Z112" s="1059">
        <v>3.6395840000000002</v>
      </c>
      <c r="AA112" s="1059">
        <v>3.6651829999999999</v>
      </c>
      <c r="AB112" s="1059">
        <v>3.697009</v>
      </c>
      <c r="AC112" s="1059">
        <v>3.7274949999999998</v>
      </c>
      <c r="AD112" s="1059">
        <v>3.7560980000000002</v>
      </c>
      <c r="AE112" s="1059">
        <v>3.7847550000000001</v>
      </c>
      <c r="AF112" s="1059">
        <v>3.8163930000000001</v>
      </c>
      <c r="AG112" s="1059">
        <v>3.8450039999999999</v>
      </c>
      <c r="AH112" s="1059">
        <v>3.8844850000000002</v>
      </c>
      <c r="AI112" s="1059">
        <v>3.9155440000000001</v>
      </c>
      <c r="AJ112" s="1059">
        <v>3.944798</v>
      </c>
      <c r="AK112" s="1059">
        <v>3.9761479999999998</v>
      </c>
      <c r="AL112" s="1059">
        <v>4.0004489999999997</v>
      </c>
      <c r="AM112" s="1059">
        <v>4.0294249999999998</v>
      </c>
      <c r="AN112" s="1059">
        <v>4.0600360000000002</v>
      </c>
      <c r="AO112" s="1059">
        <v>4.0903939999999999</v>
      </c>
      <c r="AP112" s="1059">
        <v>4.1171660000000001</v>
      </c>
      <c r="AQ112" s="1059">
        <v>4.1493070000000003</v>
      </c>
      <c r="AR112" s="1059">
        <v>4.1898999999999997</v>
      </c>
      <c r="AS112" s="1055"/>
      <c r="AT112" s="1055"/>
      <c r="AU112" s="1055"/>
      <c r="AV112" s="1055"/>
      <c r="AW112" s="1055"/>
      <c r="AX112" s="1055"/>
      <c r="AY112" s="1055"/>
      <c r="AZ112" s="1055"/>
      <c r="BA112" s="1055"/>
      <c r="BB112" s="1055"/>
      <c r="BC112" s="1055"/>
      <c r="BD112" s="1055"/>
      <c r="BE112" s="1055"/>
      <c r="BF112" s="1055"/>
      <c r="BG112" s="1055"/>
      <c r="BH112" s="1055"/>
      <c r="BI112" s="1055"/>
      <c r="BJ112" s="1055"/>
      <c r="BK112" s="1055"/>
      <c r="BL112" s="1055"/>
      <c r="BM112" s="1055"/>
      <c r="BN112" s="1055"/>
      <c r="BO112" s="1055"/>
      <c r="BP112" s="1055"/>
      <c r="BQ112" s="1055"/>
      <c r="BR112" s="1055"/>
      <c r="BS112" s="1055"/>
      <c r="BT112" s="1055"/>
      <c r="BU112" s="1055"/>
      <c r="BV112" s="1057"/>
    </row>
    <row r="113" spans="1:74" s="1053" customFormat="1" x14ac:dyDescent="0.25">
      <c r="A113" s="1058" t="s">
        <v>1087</v>
      </c>
      <c r="B113" s="1055"/>
      <c r="C113" s="1056"/>
      <c r="D113" s="1253"/>
      <c r="E113" s="1056"/>
      <c r="F113" s="1055"/>
      <c r="G113" s="1055"/>
      <c r="H113" s="1055"/>
      <c r="I113" s="1055"/>
      <c r="J113" s="1055"/>
      <c r="K113" s="1055"/>
      <c r="L113" s="1055"/>
      <c r="M113" s="1055"/>
      <c r="N113" s="1055"/>
      <c r="O113" s="1059">
        <v>2.4223750000000002</v>
      </c>
      <c r="P113" s="1059">
        <v>2.39</v>
      </c>
      <c r="Q113" s="1059">
        <v>2.37385</v>
      </c>
      <c r="R113" s="1059">
        <v>2.329834</v>
      </c>
      <c r="S113" s="1059">
        <v>2.4039359999999999</v>
      </c>
      <c r="T113" s="1059">
        <v>2.422212</v>
      </c>
      <c r="U113" s="1059">
        <v>2.4863749999999998</v>
      </c>
      <c r="V113" s="1059">
        <v>2.5503130000000001</v>
      </c>
      <c r="W113" s="1059">
        <v>2.589102</v>
      </c>
      <c r="X113" s="1059">
        <v>2.6113439999999999</v>
      </c>
      <c r="Y113" s="1059">
        <v>2.6429999999999998</v>
      </c>
      <c r="Z113" s="1059">
        <v>2.675691</v>
      </c>
      <c r="AA113" s="1059">
        <v>2.7024710000000001</v>
      </c>
      <c r="AB113" s="1059">
        <v>2.7390279999999998</v>
      </c>
      <c r="AC113" s="1059">
        <v>2.7738589999999999</v>
      </c>
      <c r="AD113" s="1059">
        <v>2.807261</v>
      </c>
      <c r="AE113" s="1059">
        <v>2.8368190000000002</v>
      </c>
      <c r="AF113" s="1059">
        <v>2.8649870000000002</v>
      </c>
      <c r="AG113" s="1059">
        <v>2.8913859999999998</v>
      </c>
      <c r="AH113" s="1059">
        <v>2.9256030000000002</v>
      </c>
      <c r="AI113" s="1059">
        <v>2.9494180000000001</v>
      </c>
      <c r="AJ113" s="1059">
        <v>2.9743849999999998</v>
      </c>
      <c r="AK113" s="1059">
        <v>3.0006210000000002</v>
      </c>
      <c r="AL113" s="1059">
        <v>3.0244930000000001</v>
      </c>
      <c r="AM113" s="1059">
        <v>3.050074</v>
      </c>
      <c r="AN113" s="1059">
        <v>3.076149</v>
      </c>
      <c r="AO113" s="1059">
        <v>3.099027</v>
      </c>
      <c r="AP113" s="1059">
        <v>3.1208209999999998</v>
      </c>
      <c r="AQ113" s="1059">
        <v>3.153797</v>
      </c>
      <c r="AR113" s="1059">
        <v>3.1896749999999998</v>
      </c>
      <c r="AS113" s="1055"/>
      <c r="AT113" s="1055"/>
      <c r="AU113" s="1055"/>
      <c r="AV113" s="1055"/>
      <c r="AW113" s="1055"/>
      <c r="AX113" s="1055"/>
      <c r="AY113" s="1055"/>
      <c r="AZ113" s="1055"/>
      <c r="BA113" s="1055"/>
      <c r="BB113" s="1055"/>
      <c r="BC113" s="1055"/>
      <c r="BD113" s="1055"/>
      <c r="BE113" s="1055"/>
      <c r="BF113" s="1055"/>
      <c r="BG113" s="1055"/>
      <c r="BH113" s="1055"/>
      <c r="BI113" s="1055"/>
      <c r="BJ113" s="1055"/>
      <c r="BK113" s="1055"/>
      <c r="BL113" s="1055"/>
      <c r="BM113" s="1055"/>
      <c r="BN113" s="1055"/>
      <c r="BO113" s="1055"/>
      <c r="BP113" s="1055"/>
      <c r="BQ113" s="1055"/>
      <c r="BR113" s="1055"/>
      <c r="BS113" s="1055"/>
      <c r="BT113" s="1055"/>
      <c r="BU113" s="1055"/>
      <c r="BV113" s="1057"/>
    </row>
    <row r="114" spans="1:74" s="1053" customFormat="1" x14ac:dyDescent="0.25">
      <c r="A114" s="1058" t="s">
        <v>683</v>
      </c>
      <c r="B114" s="1055"/>
      <c r="C114" s="1056"/>
      <c r="D114" s="1253"/>
      <c r="E114" s="1056"/>
      <c r="F114" s="1055"/>
      <c r="G114" s="1055"/>
      <c r="H114" s="1055"/>
      <c r="I114" s="1055"/>
      <c r="J114" s="1055"/>
      <c r="K114" s="1055"/>
      <c r="L114" s="1055"/>
      <c r="M114" s="1055"/>
      <c r="N114" s="1055"/>
      <c r="O114" s="1059">
        <v>30.531154999999998</v>
      </c>
      <c r="P114" s="1059">
        <v>29.553346999999999</v>
      </c>
      <c r="Q114" s="1059">
        <v>29.462689999999998</v>
      </c>
      <c r="R114" s="1059">
        <v>29.619807999999999</v>
      </c>
      <c r="S114" s="1059">
        <v>29.992000999999998</v>
      </c>
      <c r="T114" s="1059">
        <v>30.137812</v>
      </c>
      <c r="U114" s="1059">
        <v>30.368880999999998</v>
      </c>
      <c r="V114" s="1059">
        <v>30.723389000000001</v>
      </c>
      <c r="W114" s="1059">
        <v>31.014326000000001</v>
      </c>
      <c r="X114" s="1059">
        <v>30.799534000000001</v>
      </c>
      <c r="Y114" s="1059">
        <v>30.631943</v>
      </c>
      <c r="Z114" s="1059">
        <v>30.294862999999999</v>
      </c>
      <c r="AA114" s="1059">
        <v>30.159492</v>
      </c>
      <c r="AB114" s="1059">
        <v>30.497467</v>
      </c>
      <c r="AC114" s="1059">
        <v>30.549484</v>
      </c>
      <c r="AD114" s="1059">
        <v>30.628119000000002</v>
      </c>
      <c r="AE114" s="1059">
        <v>30.831617000000001</v>
      </c>
      <c r="AF114" s="1059">
        <v>30.906943999999999</v>
      </c>
      <c r="AG114" s="1059">
        <v>31.016119</v>
      </c>
      <c r="AH114" s="1059">
        <v>31.259630000000001</v>
      </c>
      <c r="AI114" s="1059">
        <v>31.506346000000001</v>
      </c>
      <c r="AJ114" s="1059">
        <v>31.548763000000001</v>
      </c>
      <c r="AK114" s="1059">
        <v>31.537307999999999</v>
      </c>
      <c r="AL114" s="1059">
        <v>31.727125000000001</v>
      </c>
      <c r="AM114" s="1059">
        <v>31.983875000000001</v>
      </c>
      <c r="AN114" s="1059">
        <v>32.252009999999999</v>
      </c>
      <c r="AO114" s="1059">
        <v>32.456364000000001</v>
      </c>
      <c r="AP114" s="1059">
        <v>32.526015999999998</v>
      </c>
      <c r="AQ114" s="1059">
        <v>32.747635000000002</v>
      </c>
      <c r="AR114" s="1059">
        <v>33.007354999999997</v>
      </c>
      <c r="AS114" s="1055"/>
      <c r="AT114" s="1055"/>
      <c r="AU114" s="1055"/>
      <c r="AV114" s="1055"/>
      <c r="AW114" s="1055"/>
      <c r="AX114" s="1055"/>
      <c r="AY114" s="1055"/>
      <c r="AZ114" s="1055"/>
      <c r="BA114" s="1055"/>
      <c r="BB114" s="1055"/>
      <c r="BC114" s="1055"/>
      <c r="BD114" s="1055"/>
      <c r="BE114" s="1055"/>
      <c r="BF114" s="1055"/>
      <c r="BG114" s="1055"/>
      <c r="BH114" s="1055"/>
      <c r="BI114" s="1055"/>
      <c r="BJ114" s="1055"/>
      <c r="BK114" s="1055"/>
      <c r="BL114" s="1055"/>
      <c r="BM114" s="1055"/>
      <c r="BN114" s="1055"/>
      <c r="BO114" s="1055"/>
      <c r="BP114" s="1055"/>
      <c r="BQ114" s="1055"/>
      <c r="BR114" s="1055"/>
      <c r="BS114" s="1055"/>
      <c r="BT114" s="1055"/>
      <c r="BU114" s="1055"/>
      <c r="BV114" s="1057"/>
    </row>
    <row r="115" spans="1:74" s="1053" customFormat="1" x14ac:dyDescent="0.25">
      <c r="A115" s="1058" t="s">
        <v>698</v>
      </c>
      <c r="B115" s="1055"/>
      <c r="C115" s="1056"/>
      <c r="D115" s="1253"/>
      <c r="E115" s="1056"/>
      <c r="F115" s="1055"/>
      <c r="G115" s="1055"/>
      <c r="H115" s="1055"/>
      <c r="I115" s="1055"/>
      <c r="J115" s="1055"/>
      <c r="K115" s="1055"/>
      <c r="L115" s="1055"/>
      <c r="M115" s="1055"/>
      <c r="N115" s="1055"/>
      <c r="O115" s="1059">
        <v>20.348036</v>
      </c>
      <c r="P115" s="1059">
        <v>19.495602000000002</v>
      </c>
      <c r="Q115" s="1059">
        <v>20.081951</v>
      </c>
      <c r="R115" s="1059">
        <v>19.872589000000001</v>
      </c>
      <c r="S115" s="1059">
        <v>20.106300000000001</v>
      </c>
      <c r="T115" s="1059">
        <v>20.110336</v>
      </c>
      <c r="U115" s="1059">
        <v>20.286434</v>
      </c>
      <c r="V115" s="1059">
        <v>20.591933999999998</v>
      </c>
      <c r="W115" s="1059">
        <v>20.859487999999999</v>
      </c>
      <c r="X115" s="1059">
        <v>20.769625000000001</v>
      </c>
      <c r="Y115" s="1059">
        <v>20.751276000000001</v>
      </c>
      <c r="Z115" s="1059">
        <v>20.654140000000002</v>
      </c>
      <c r="AA115" s="1059">
        <v>20.663025000000001</v>
      </c>
      <c r="AB115" s="1059">
        <v>20.946209</v>
      </c>
      <c r="AC115" s="1059">
        <v>21.079236999999999</v>
      </c>
      <c r="AD115" s="1059">
        <v>21.236912</v>
      </c>
      <c r="AE115" s="1059">
        <v>21.461658</v>
      </c>
      <c r="AF115" s="1059">
        <v>21.586451</v>
      </c>
      <c r="AG115" s="1059">
        <v>21.737777999999999</v>
      </c>
      <c r="AH115" s="1059">
        <v>21.988303999999999</v>
      </c>
      <c r="AI115" s="1059">
        <v>22.237325999999999</v>
      </c>
      <c r="AJ115" s="1059">
        <v>22.342414999999999</v>
      </c>
      <c r="AK115" s="1059">
        <v>22.437189</v>
      </c>
      <c r="AL115" s="1059">
        <v>22.654578999999998</v>
      </c>
      <c r="AM115" s="1059">
        <v>22.911854000000002</v>
      </c>
      <c r="AN115" s="1059">
        <v>23.191139</v>
      </c>
      <c r="AO115" s="1059">
        <v>23.409314999999999</v>
      </c>
      <c r="AP115" s="1059">
        <v>23.521646</v>
      </c>
      <c r="AQ115" s="1059">
        <v>23.76399</v>
      </c>
      <c r="AR115" s="1059">
        <v>24.052772999999998</v>
      </c>
      <c r="AS115" s="1055"/>
      <c r="AT115" s="1055"/>
      <c r="AU115" s="1055"/>
      <c r="AV115" s="1055"/>
      <c r="AW115" s="1055"/>
      <c r="AX115" s="1055"/>
      <c r="AY115" s="1055"/>
      <c r="AZ115" s="1055"/>
      <c r="BA115" s="1055"/>
      <c r="BB115" s="1055"/>
      <c r="BC115" s="1055"/>
      <c r="BD115" s="1055"/>
      <c r="BE115" s="1055"/>
      <c r="BF115" s="1055"/>
      <c r="BG115" s="1055"/>
      <c r="BH115" s="1055"/>
      <c r="BI115" s="1055"/>
      <c r="BJ115" s="1055"/>
      <c r="BK115" s="1055"/>
      <c r="BL115" s="1055"/>
      <c r="BM115" s="1055"/>
      <c r="BN115" s="1055"/>
      <c r="BO115" s="1055"/>
      <c r="BP115" s="1055"/>
      <c r="BQ115" s="1055"/>
      <c r="BR115" s="1055"/>
      <c r="BS115" s="1055"/>
      <c r="BT115" s="1055"/>
      <c r="BU115" s="1055"/>
      <c r="BV115" s="1057"/>
    </row>
    <row r="116" spans="1:74" s="1053" customFormat="1" ht="13" thickBot="1" x14ac:dyDescent="0.3">
      <c r="A116" s="1062" t="s">
        <v>684</v>
      </c>
      <c r="B116" s="1063"/>
      <c r="C116" s="1064"/>
      <c r="D116" s="1064"/>
      <c r="E116" s="1064"/>
      <c r="F116" s="1063"/>
      <c r="G116" s="1063"/>
      <c r="H116" s="1063"/>
      <c r="I116" s="1063"/>
      <c r="J116" s="1063"/>
      <c r="K116" s="1063"/>
      <c r="L116" s="1063"/>
      <c r="M116" s="1063"/>
      <c r="N116" s="1063"/>
      <c r="O116" s="1065">
        <v>34.952885000000002</v>
      </c>
      <c r="P116" s="1065">
        <v>34.831184</v>
      </c>
      <c r="Q116" s="1065">
        <v>34.015979999999999</v>
      </c>
      <c r="R116" s="1065">
        <v>34.409668000000003</v>
      </c>
      <c r="S116" s="1065">
        <v>34.941752999999999</v>
      </c>
      <c r="T116" s="1065">
        <v>35.163139000000001</v>
      </c>
      <c r="U116" s="1065">
        <v>35.519157</v>
      </c>
      <c r="V116" s="1065">
        <v>35.913296000000003</v>
      </c>
      <c r="W116" s="1065">
        <v>36.178234000000003</v>
      </c>
      <c r="X116" s="1065">
        <v>36.146892999999999</v>
      </c>
      <c r="Y116" s="1065">
        <v>36.061802</v>
      </c>
      <c r="Z116" s="1065">
        <v>35.804130999999998</v>
      </c>
      <c r="AA116" s="1065">
        <v>35.695621000000003</v>
      </c>
      <c r="AB116" s="1065">
        <v>36.040774999999996</v>
      </c>
      <c r="AC116" s="1065">
        <v>36.141415000000002</v>
      </c>
      <c r="AD116" s="1065">
        <v>36.246937000000003</v>
      </c>
      <c r="AE116" s="1065">
        <v>36.470740999999997</v>
      </c>
      <c r="AF116" s="1065">
        <v>36.579631999999997</v>
      </c>
      <c r="AG116" s="1065">
        <v>36.725307000000001</v>
      </c>
      <c r="AH116" s="1065">
        <v>36.981831</v>
      </c>
      <c r="AI116" s="1065">
        <v>37.256236999999999</v>
      </c>
      <c r="AJ116" s="1065">
        <v>37.335673999999997</v>
      </c>
      <c r="AK116" s="1065">
        <v>37.369007000000003</v>
      </c>
      <c r="AL116" s="1065">
        <v>37.567386999999997</v>
      </c>
      <c r="AM116" s="1065">
        <v>37.817901999999997</v>
      </c>
      <c r="AN116" s="1065">
        <v>38.082256000000001</v>
      </c>
      <c r="AO116" s="1065">
        <v>38.298912000000001</v>
      </c>
      <c r="AP116" s="1065">
        <v>38.369354000000001</v>
      </c>
      <c r="AQ116" s="1065">
        <v>38.582217999999997</v>
      </c>
      <c r="AR116" s="1065">
        <v>38.834609999999998</v>
      </c>
      <c r="AS116" s="1063"/>
      <c r="AT116" s="1063"/>
      <c r="AU116" s="1063"/>
      <c r="AV116" s="1063"/>
      <c r="AW116" s="1063"/>
      <c r="AX116" s="1063"/>
      <c r="AY116" s="1063"/>
      <c r="AZ116" s="1063"/>
      <c r="BA116" s="1063"/>
      <c r="BB116" s="1063"/>
      <c r="BC116" s="1063"/>
      <c r="BD116" s="1063"/>
      <c r="BE116" s="1063"/>
      <c r="BF116" s="1063"/>
      <c r="BG116" s="1063"/>
      <c r="BH116" s="1063"/>
      <c r="BI116" s="1063"/>
      <c r="BJ116" s="1063"/>
      <c r="BK116" s="1063"/>
      <c r="BL116" s="1063"/>
      <c r="BM116" s="1063"/>
      <c r="BN116" s="1063"/>
      <c r="BO116" s="1063"/>
      <c r="BP116" s="1063"/>
      <c r="BQ116" s="1063"/>
      <c r="BR116" s="1063"/>
      <c r="BS116" s="1063"/>
      <c r="BT116" s="1063"/>
      <c r="BU116" s="1063"/>
      <c r="BV116" s="1066"/>
    </row>
    <row r="129" spans="1:104" ht="13" thickBot="1" x14ac:dyDescent="0.3"/>
    <row r="130" spans="1:104" ht="13" x14ac:dyDescent="0.3">
      <c r="A130" s="1382" t="s">
        <v>1290</v>
      </c>
      <c r="B130" s="1383" t="str">
        <f>"Prices are in $(" &amp; ref_year&amp;")/GJ LHV"</f>
        <v>Prices are in $(2016)/GJ LHV</v>
      </c>
      <c r="C130" s="1383"/>
      <c r="D130" s="1384"/>
      <c r="E130" s="1383"/>
      <c r="F130" s="959"/>
      <c r="G130" s="959"/>
      <c r="H130" s="959"/>
      <c r="I130" s="959"/>
      <c r="J130" s="959"/>
      <c r="K130" s="959"/>
      <c r="L130" s="959"/>
      <c r="M130" s="959"/>
      <c r="N130" s="959"/>
      <c r="O130" s="959"/>
      <c r="P130" s="959"/>
      <c r="Q130" s="959"/>
      <c r="R130" s="959"/>
      <c r="S130" s="959"/>
      <c r="T130" s="959"/>
      <c r="U130" s="959"/>
      <c r="V130" s="959"/>
      <c r="W130" s="959"/>
      <c r="X130" s="959"/>
      <c r="Y130" s="959"/>
      <c r="Z130" s="959"/>
      <c r="AA130" s="959"/>
      <c r="AB130" s="959"/>
      <c r="AC130" s="959"/>
      <c r="AD130" s="959"/>
      <c r="AE130" s="959"/>
      <c r="AF130" s="959"/>
      <c r="AG130" s="959"/>
      <c r="AH130" s="959"/>
      <c r="AI130" s="959"/>
      <c r="AJ130" s="959"/>
      <c r="AK130" s="959"/>
      <c r="AL130" s="959"/>
      <c r="AM130" s="959"/>
      <c r="AN130" s="959"/>
      <c r="AO130" s="959"/>
      <c r="AP130" s="959"/>
      <c r="AQ130" s="959"/>
      <c r="AR130" s="959"/>
      <c r="AS130" s="1385"/>
      <c r="AT130" s="1385"/>
      <c r="AU130" s="1385"/>
      <c r="AV130" s="1385"/>
      <c r="AW130" s="1385"/>
      <c r="AX130" s="1385"/>
      <c r="AY130" s="1385"/>
      <c r="AZ130" s="1385"/>
      <c r="BA130" s="1385"/>
      <c r="BB130" s="1386" t="s">
        <v>1291</v>
      </c>
      <c r="BC130" s="1387"/>
      <c r="BD130" s="1387"/>
      <c r="BE130" s="1387"/>
      <c r="BF130" s="1387"/>
      <c r="BG130" s="1387"/>
      <c r="BH130" s="1387"/>
      <c r="BI130" s="1387"/>
      <c r="BJ130" s="1387"/>
      <c r="BK130" s="1387"/>
      <c r="BL130" s="1387"/>
      <c r="BM130" s="1387"/>
      <c r="BN130" s="1387"/>
      <c r="BO130" s="1387"/>
      <c r="BP130" s="1387"/>
      <c r="BQ130" s="1387"/>
      <c r="BR130" s="1387"/>
      <c r="BS130" s="1387"/>
      <c r="BT130" s="1387"/>
      <c r="BU130" s="1387"/>
      <c r="BV130" s="1387"/>
      <c r="BW130" s="1387"/>
      <c r="BX130" s="1387"/>
      <c r="BY130" s="1387"/>
      <c r="BZ130" s="1387"/>
      <c r="CA130" s="1387"/>
      <c r="CB130" s="1387"/>
      <c r="CC130" s="1387"/>
      <c r="CD130" s="1387"/>
      <c r="CE130" s="1387"/>
      <c r="CF130" s="1387"/>
      <c r="CG130" s="1387"/>
      <c r="CH130" s="1387"/>
      <c r="CI130" s="1387"/>
      <c r="CJ130" s="1387"/>
      <c r="CK130" s="1387"/>
      <c r="CL130" s="1387"/>
      <c r="CM130" s="1387"/>
      <c r="CN130" s="1387"/>
      <c r="CO130" s="1387"/>
      <c r="CP130" s="1387"/>
      <c r="CQ130" s="1387"/>
      <c r="CR130" s="1387"/>
      <c r="CS130" s="1387"/>
      <c r="CT130" s="1387"/>
      <c r="CU130" s="1387"/>
      <c r="CV130" s="1387"/>
      <c r="CW130" s="1387"/>
      <c r="CX130" s="1387"/>
      <c r="CY130" s="1387"/>
      <c r="CZ130" s="1388"/>
    </row>
    <row r="131" spans="1:104" ht="39.5" thickBot="1" x14ac:dyDescent="0.35">
      <c r="A131" s="1389" t="s">
        <v>1084</v>
      </c>
      <c r="B131" s="1123" t="s">
        <v>678</v>
      </c>
      <c r="C131" s="1123" t="s">
        <v>679</v>
      </c>
      <c r="D131" s="1256" t="s">
        <v>690</v>
      </c>
      <c r="E131" s="1123" t="s">
        <v>691</v>
      </c>
      <c r="F131" s="1124" t="s">
        <v>680</v>
      </c>
      <c r="G131" s="1124" t="s">
        <v>692</v>
      </c>
      <c r="H131" s="889">
        <v>2004</v>
      </c>
      <c r="I131" s="889">
        <f>+H131+1</f>
        <v>2005</v>
      </c>
      <c r="J131" s="889">
        <f t="shared" ref="J131:BU131" si="265">+I131+1</f>
        <v>2006</v>
      </c>
      <c r="K131" s="889">
        <f t="shared" si="265"/>
        <v>2007</v>
      </c>
      <c r="L131" s="889">
        <f t="shared" si="265"/>
        <v>2008</v>
      </c>
      <c r="M131" s="889">
        <f t="shared" si="265"/>
        <v>2009</v>
      </c>
      <c r="N131" s="889">
        <f t="shared" si="265"/>
        <v>2010</v>
      </c>
      <c r="O131" s="889">
        <f t="shared" si="265"/>
        <v>2011</v>
      </c>
      <c r="P131" s="889">
        <f t="shared" si="265"/>
        <v>2012</v>
      </c>
      <c r="Q131" s="889">
        <f t="shared" si="265"/>
        <v>2013</v>
      </c>
      <c r="R131" s="889">
        <f t="shared" si="265"/>
        <v>2014</v>
      </c>
      <c r="S131" s="889">
        <f t="shared" si="265"/>
        <v>2015</v>
      </c>
      <c r="T131" s="889">
        <f t="shared" si="265"/>
        <v>2016</v>
      </c>
      <c r="U131" s="889">
        <f t="shared" si="265"/>
        <v>2017</v>
      </c>
      <c r="V131" s="889">
        <f t="shared" si="265"/>
        <v>2018</v>
      </c>
      <c r="W131" s="889">
        <f t="shared" si="265"/>
        <v>2019</v>
      </c>
      <c r="X131" s="889">
        <f t="shared" si="265"/>
        <v>2020</v>
      </c>
      <c r="Y131" s="889">
        <f t="shared" si="265"/>
        <v>2021</v>
      </c>
      <c r="Z131" s="889">
        <f t="shared" si="265"/>
        <v>2022</v>
      </c>
      <c r="AA131" s="889">
        <f t="shared" si="265"/>
        <v>2023</v>
      </c>
      <c r="AB131" s="889">
        <f t="shared" si="265"/>
        <v>2024</v>
      </c>
      <c r="AC131" s="889">
        <f t="shared" si="265"/>
        <v>2025</v>
      </c>
      <c r="AD131" s="889">
        <f t="shared" si="265"/>
        <v>2026</v>
      </c>
      <c r="AE131" s="889">
        <f t="shared" si="265"/>
        <v>2027</v>
      </c>
      <c r="AF131" s="889">
        <f t="shared" si="265"/>
        <v>2028</v>
      </c>
      <c r="AG131" s="889">
        <f t="shared" si="265"/>
        <v>2029</v>
      </c>
      <c r="AH131" s="889">
        <f t="shared" si="265"/>
        <v>2030</v>
      </c>
      <c r="AI131" s="889">
        <f t="shared" si="265"/>
        <v>2031</v>
      </c>
      <c r="AJ131" s="889">
        <f t="shared" si="265"/>
        <v>2032</v>
      </c>
      <c r="AK131" s="889">
        <f t="shared" si="265"/>
        <v>2033</v>
      </c>
      <c r="AL131" s="889">
        <f t="shared" si="265"/>
        <v>2034</v>
      </c>
      <c r="AM131" s="889">
        <f t="shared" si="265"/>
        <v>2035</v>
      </c>
      <c r="AN131" s="889">
        <f t="shared" si="265"/>
        <v>2036</v>
      </c>
      <c r="AO131" s="889">
        <f t="shared" si="265"/>
        <v>2037</v>
      </c>
      <c r="AP131" s="889">
        <f t="shared" si="265"/>
        <v>2038</v>
      </c>
      <c r="AQ131" s="889">
        <f t="shared" si="265"/>
        <v>2039</v>
      </c>
      <c r="AR131" s="889">
        <f t="shared" si="265"/>
        <v>2040</v>
      </c>
      <c r="AS131" s="889">
        <f t="shared" si="265"/>
        <v>2041</v>
      </c>
      <c r="AT131" s="889">
        <f t="shared" si="265"/>
        <v>2042</v>
      </c>
      <c r="AU131" s="889">
        <f t="shared" si="265"/>
        <v>2043</v>
      </c>
      <c r="AV131" s="889">
        <f t="shared" si="265"/>
        <v>2044</v>
      </c>
      <c r="AW131" s="889">
        <f t="shared" si="265"/>
        <v>2045</v>
      </c>
      <c r="AX131" s="889">
        <f t="shared" si="265"/>
        <v>2046</v>
      </c>
      <c r="AY131" s="889">
        <f t="shared" si="265"/>
        <v>2047</v>
      </c>
      <c r="AZ131" s="889">
        <f t="shared" si="265"/>
        <v>2048</v>
      </c>
      <c r="BA131" s="889">
        <f t="shared" si="265"/>
        <v>2049</v>
      </c>
      <c r="BB131" s="889">
        <f t="shared" si="265"/>
        <v>2050</v>
      </c>
      <c r="BC131" s="889">
        <f t="shared" si="265"/>
        <v>2051</v>
      </c>
      <c r="BD131" s="889">
        <f t="shared" si="265"/>
        <v>2052</v>
      </c>
      <c r="BE131" s="889">
        <f t="shared" si="265"/>
        <v>2053</v>
      </c>
      <c r="BF131" s="889">
        <f t="shared" si="265"/>
        <v>2054</v>
      </c>
      <c r="BG131" s="889">
        <f t="shared" si="265"/>
        <v>2055</v>
      </c>
      <c r="BH131" s="889">
        <f t="shared" si="265"/>
        <v>2056</v>
      </c>
      <c r="BI131" s="889">
        <f t="shared" si="265"/>
        <v>2057</v>
      </c>
      <c r="BJ131" s="889">
        <f t="shared" si="265"/>
        <v>2058</v>
      </c>
      <c r="BK131" s="889">
        <f t="shared" si="265"/>
        <v>2059</v>
      </c>
      <c r="BL131" s="889">
        <f t="shared" si="265"/>
        <v>2060</v>
      </c>
      <c r="BM131" s="889">
        <f t="shared" si="265"/>
        <v>2061</v>
      </c>
      <c r="BN131" s="889">
        <f t="shared" si="265"/>
        <v>2062</v>
      </c>
      <c r="BO131" s="889">
        <f t="shared" si="265"/>
        <v>2063</v>
      </c>
      <c r="BP131" s="889">
        <f t="shared" si="265"/>
        <v>2064</v>
      </c>
      <c r="BQ131" s="889">
        <f t="shared" si="265"/>
        <v>2065</v>
      </c>
      <c r="BR131" s="889">
        <f t="shared" si="265"/>
        <v>2066</v>
      </c>
      <c r="BS131" s="889">
        <f t="shared" si="265"/>
        <v>2067</v>
      </c>
      <c r="BT131" s="889">
        <f t="shared" si="265"/>
        <v>2068</v>
      </c>
      <c r="BU131" s="889">
        <f t="shared" si="265"/>
        <v>2069</v>
      </c>
      <c r="BV131" s="889">
        <f t="shared" ref="BV131:CZ131" si="266">+BU131+1</f>
        <v>2070</v>
      </c>
      <c r="BW131" s="889">
        <f t="shared" si="266"/>
        <v>2071</v>
      </c>
      <c r="BX131" s="889">
        <f t="shared" si="266"/>
        <v>2072</v>
      </c>
      <c r="BY131" s="889">
        <f t="shared" si="266"/>
        <v>2073</v>
      </c>
      <c r="BZ131" s="889">
        <f t="shared" si="266"/>
        <v>2074</v>
      </c>
      <c r="CA131" s="889">
        <f t="shared" si="266"/>
        <v>2075</v>
      </c>
      <c r="CB131" s="889">
        <f t="shared" si="266"/>
        <v>2076</v>
      </c>
      <c r="CC131" s="889">
        <f t="shared" si="266"/>
        <v>2077</v>
      </c>
      <c r="CD131" s="889">
        <f t="shared" si="266"/>
        <v>2078</v>
      </c>
      <c r="CE131" s="889">
        <f t="shared" si="266"/>
        <v>2079</v>
      </c>
      <c r="CF131" s="889">
        <f t="shared" si="266"/>
        <v>2080</v>
      </c>
      <c r="CG131" s="889">
        <f t="shared" si="266"/>
        <v>2081</v>
      </c>
      <c r="CH131" s="889">
        <f t="shared" si="266"/>
        <v>2082</v>
      </c>
      <c r="CI131" s="889">
        <f t="shared" si="266"/>
        <v>2083</v>
      </c>
      <c r="CJ131" s="889">
        <f t="shared" si="266"/>
        <v>2084</v>
      </c>
      <c r="CK131" s="889">
        <f t="shared" si="266"/>
        <v>2085</v>
      </c>
      <c r="CL131" s="889">
        <f t="shared" si="266"/>
        <v>2086</v>
      </c>
      <c r="CM131" s="889">
        <f t="shared" si="266"/>
        <v>2087</v>
      </c>
      <c r="CN131" s="889">
        <f t="shared" si="266"/>
        <v>2088</v>
      </c>
      <c r="CO131" s="889">
        <f t="shared" si="266"/>
        <v>2089</v>
      </c>
      <c r="CP131" s="889">
        <f t="shared" si="266"/>
        <v>2090</v>
      </c>
      <c r="CQ131" s="889">
        <f t="shared" si="266"/>
        <v>2091</v>
      </c>
      <c r="CR131" s="889">
        <f t="shared" si="266"/>
        <v>2092</v>
      </c>
      <c r="CS131" s="889">
        <f t="shared" si="266"/>
        <v>2093</v>
      </c>
      <c r="CT131" s="889">
        <f t="shared" si="266"/>
        <v>2094</v>
      </c>
      <c r="CU131" s="889">
        <f t="shared" si="266"/>
        <v>2095</v>
      </c>
      <c r="CV131" s="889">
        <f t="shared" si="266"/>
        <v>2096</v>
      </c>
      <c r="CW131" s="889">
        <f t="shared" si="266"/>
        <v>2097</v>
      </c>
      <c r="CX131" s="889">
        <f t="shared" si="266"/>
        <v>2098</v>
      </c>
      <c r="CY131" s="889">
        <f t="shared" si="266"/>
        <v>2099</v>
      </c>
      <c r="CZ131" s="1390">
        <f t="shared" si="266"/>
        <v>2100</v>
      </c>
    </row>
    <row r="132" spans="1:104" ht="13" thickBot="1" x14ac:dyDescent="0.3">
      <c r="A132" s="1391" t="s">
        <v>1090</v>
      </c>
      <c r="B132" s="871"/>
      <c r="C132" s="871"/>
      <c r="D132" s="1257"/>
      <c r="E132" s="871"/>
      <c r="F132" s="871"/>
      <c r="G132" s="871"/>
      <c r="H132" s="959"/>
      <c r="I132" s="959"/>
      <c r="J132" s="959"/>
      <c r="K132" s="959"/>
      <c r="L132" s="959"/>
      <c r="M132" s="959"/>
      <c r="N132" s="959"/>
      <c r="O132" s="959"/>
      <c r="P132" s="959"/>
      <c r="Q132" s="959"/>
      <c r="R132" s="959"/>
      <c r="S132" s="959"/>
      <c r="T132" s="959"/>
      <c r="U132" s="959"/>
      <c r="V132" s="959"/>
      <c r="W132" s="959"/>
      <c r="X132" s="959"/>
      <c r="Y132" s="959"/>
      <c r="Z132" s="959"/>
      <c r="AA132" s="959"/>
      <c r="AB132" s="959"/>
      <c r="AC132" s="959"/>
      <c r="AD132" s="959"/>
      <c r="AE132" s="959"/>
      <c r="AF132" s="959"/>
      <c r="AG132" s="959"/>
      <c r="AH132" s="959"/>
      <c r="AI132" s="959"/>
      <c r="AJ132" s="959"/>
      <c r="AK132" s="959"/>
      <c r="AL132" s="959"/>
      <c r="AM132" s="959"/>
      <c r="AN132" s="959"/>
      <c r="AO132" s="959"/>
      <c r="AP132" s="959"/>
      <c r="AQ132" s="959"/>
      <c r="AR132" s="959"/>
      <c r="AS132" s="959"/>
      <c r="AT132" s="959"/>
      <c r="AU132" s="959"/>
      <c r="AV132" s="959"/>
      <c r="AW132" s="959"/>
      <c r="AX132" s="959"/>
      <c r="AY132" s="959"/>
      <c r="AZ132" s="959"/>
      <c r="BA132" s="959"/>
      <c r="BB132" s="959"/>
      <c r="BC132" s="959"/>
      <c r="BD132" s="959"/>
      <c r="BE132" s="959"/>
      <c r="BF132" s="959"/>
      <c r="BG132" s="959"/>
      <c r="BH132" s="959"/>
      <c r="BI132" s="959"/>
      <c r="BJ132" s="959"/>
      <c r="BK132" s="959"/>
      <c r="BL132" s="959"/>
      <c r="BM132" s="959"/>
      <c r="BN132" s="959"/>
      <c r="BO132" s="959"/>
      <c r="BP132" s="959"/>
      <c r="BQ132" s="959"/>
      <c r="BR132" s="959"/>
      <c r="BS132" s="959"/>
      <c r="BT132" s="959"/>
      <c r="BU132" s="959"/>
      <c r="BV132" s="959"/>
      <c r="BW132" s="959"/>
      <c r="BX132" s="959"/>
      <c r="BY132" s="959"/>
      <c r="BZ132" s="959"/>
      <c r="CA132" s="959"/>
      <c r="CB132" s="959"/>
      <c r="CC132" s="959"/>
      <c r="CD132" s="959"/>
      <c r="CE132" s="959"/>
      <c r="CF132" s="959"/>
      <c r="CG132" s="959"/>
      <c r="CH132" s="959"/>
      <c r="CI132" s="959"/>
      <c r="CJ132" s="959"/>
      <c r="CK132" s="959"/>
      <c r="CL132" s="959"/>
      <c r="CM132" s="959"/>
      <c r="CN132" s="959"/>
      <c r="CO132" s="959"/>
      <c r="CP132" s="959"/>
      <c r="CQ132" s="959"/>
      <c r="CR132" s="959"/>
      <c r="CS132" s="959"/>
      <c r="CT132" s="959"/>
      <c r="CU132" s="959"/>
      <c r="CV132" s="959"/>
      <c r="CW132" s="959"/>
      <c r="CX132" s="959"/>
      <c r="CY132" s="959"/>
      <c r="CZ132" s="1392"/>
    </row>
    <row r="133" spans="1:104" ht="13" x14ac:dyDescent="0.3">
      <c r="A133" s="1477" t="s">
        <v>681</v>
      </c>
      <c r="B133" s="260">
        <v>2016</v>
      </c>
      <c r="C133" s="874">
        <f t="shared" ref="C133:C141" si="267">VLOOKUP(ref_year,DeflatorTable,2,FALSE)/VLOOKUP(B133,DeflatorTable,2,FALSE)</f>
        <v>1</v>
      </c>
      <c r="D133" s="1258" t="s">
        <v>864</v>
      </c>
      <c r="E133" s="874" t="s">
        <v>1058</v>
      </c>
      <c r="F133" s="260">
        <v>47.141269049911173</v>
      </c>
      <c r="G133" s="260">
        <v>52.224661236371581</v>
      </c>
      <c r="H133" s="1068">
        <f>+H153*$C133</f>
        <v>13.604875014867702</v>
      </c>
      <c r="I133" s="1068">
        <f t="shared" ref="I133:BT141" si="268">+I153*$C133</f>
        <v>15.571757228276402</v>
      </c>
      <c r="J133" s="1068">
        <f t="shared" si="268"/>
        <v>16.331995797204218</v>
      </c>
      <c r="K133" s="1068">
        <f t="shared" si="268"/>
        <v>15.155672177020728</v>
      </c>
      <c r="L133" s="1068">
        <f t="shared" si="268"/>
        <v>15.783516201764996</v>
      </c>
      <c r="M133" s="1068">
        <f t="shared" si="268"/>
        <v>13.69149010361817</v>
      </c>
      <c r="N133" s="1068">
        <f t="shared" si="268"/>
        <v>12.691188457250465</v>
      </c>
      <c r="O133" s="959">
        <f t="shared" si="268"/>
        <v>12.04142243701838</v>
      </c>
      <c r="P133" s="959">
        <f t="shared" si="268"/>
        <v>11.415954621928984</v>
      </c>
      <c r="Q133" s="959">
        <f t="shared" si="268"/>
        <v>10.886628367710442</v>
      </c>
      <c r="R133" s="959">
        <f t="shared" si="268"/>
        <v>11.368469484946878</v>
      </c>
      <c r="S133" s="959">
        <f t="shared" si="268"/>
        <v>9.7183315387998359</v>
      </c>
      <c r="T133" s="959">
        <f t="shared" si="268"/>
        <v>9.390001099467705</v>
      </c>
      <c r="U133" s="959">
        <f t="shared" si="268"/>
        <v>10.023002570479671</v>
      </c>
      <c r="V133" s="959">
        <f t="shared" si="268"/>
        <v>10.033707215541167</v>
      </c>
      <c r="W133" s="959">
        <f t="shared" si="268"/>
        <v>10.158951752324048</v>
      </c>
      <c r="X133" s="959">
        <f t="shared" si="268"/>
        <v>10.289627280447673</v>
      </c>
      <c r="Y133" s="959">
        <f t="shared" si="268"/>
        <v>10.38663350570965</v>
      </c>
      <c r="Z133" s="959">
        <f t="shared" si="268"/>
        <v>10.458822090960101</v>
      </c>
      <c r="AA133" s="959">
        <f t="shared" si="268"/>
        <v>10.541361785535555</v>
      </c>
      <c r="AB133" s="959">
        <f t="shared" si="268"/>
        <v>10.671303703310535</v>
      </c>
      <c r="AC133" s="959">
        <f t="shared" si="268"/>
        <v>10.821196220864106</v>
      </c>
      <c r="AD133" s="959">
        <f t="shared" si="268"/>
        <v>10.961130973142659</v>
      </c>
      <c r="AE133" s="959">
        <f t="shared" si="268"/>
        <v>11.387951919139837</v>
      </c>
      <c r="AF133" s="959">
        <f t="shared" si="268"/>
        <v>11.524366479125279</v>
      </c>
      <c r="AG133" s="959">
        <f t="shared" si="268"/>
        <v>11.653679994237272</v>
      </c>
      <c r="AH133" s="959">
        <f t="shared" si="268"/>
        <v>11.727599293307653</v>
      </c>
      <c r="AI133" s="959">
        <f t="shared" si="268"/>
        <v>11.827238554162054</v>
      </c>
      <c r="AJ133" s="959">
        <f t="shared" si="268"/>
        <v>11.877874728924342</v>
      </c>
      <c r="AK133" s="959">
        <f t="shared" si="268"/>
        <v>11.891573527850655</v>
      </c>
      <c r="AL133" s="959">
        <f t="shared" si="268"/>
        <v>11.9827791131466</v>
      </c>
      <c r="AM133" s="959">
        <f t="shared" si="268"/>
        <v>12.163475682807357</v>
      </c>
      <c r="AN133" s="959">
        <f t="shared" si="268"/>
        <v>12.259449735369497</v>
      </c>
      <c r="AO133" s="959">
        <f t="shared" si="268"/>
        <v>12.356256919064013</v>
      </c>
      <c r="AP133" s="959">
        <f t="shared" si="268"/>
        <v>12.41256198723101</v>
      </c>
      <c r="AQ133" s="959">
        <f t="shared" si="268"/>
        <v>12.490714236969412</v>
      </c>
      <c r="AR133" s="959">
        <f t="shared" si="268"/>
        <v>12.496378391289182</v>
      </c>
      <c r="AS133" s="959">
        <f t="shared" si="268"/>
        <v>12.55376491863939</v>
      </c>
      <c r="AT133" s="959">
        <f t="shared" si="268"/>
        <v>12.651412816002184</v>
      </c>
      <c r="AU133" s="959">
        <f t="shared" si="268"/>
        <v>12.770777096192051</v>
      </c>
      <c r="AV133" s="959">
        <f t="shared" si="268"/>
        <v>12.886454368298935</v>
      </c>
      <c r="AW133" s="959">
        <f t="shared" si="268"/>
        <v>13.010888521557151</v>
      </c>
      <c r="AX133" s="959">
        <f t="shared" si="268"/>
        <v>13.118997475015544</v>
      </c>
      <c r="AY133" s="959">
        <f t="shared" si="268"/>
        <v>13.217679440712152</v>
      </c>
      <c r="AZ133" s="959">
        <f t="shared" si="268"/>
        <v>13.363983523149482</v>
      </c>
      <c r="BA133" s="959">
        <f t="shared" si="268"/>
        <v>13.453606254075613</v>
      </c>
      <c r="BB133" s="959">
        <f t="shared" si="268"/>
        <v>13.593337225701765</v>
      </c>
      <c r="BC133" s="959">
        <f t="shared" si="268"/>
        <v>13.668907227280409</v>
      </c>
      <c r="BD133" s="959">
        <f t="shared" si="268"/>
        <v>13.744897348292845</v>
      </c>
      <c r="BE133" s="959">
        <f t="shared" si="268"/>
        <v>13.821309924326409</v>
      </c>
      <c r="BF133" s="959">
        <f t="shared" si="268"/>
        <v>13.898147303952761</v>
      </c>
      <c r="BG133" s="959">
        <f t="shared" si="268"/>
        <v>13.975411848800078</v>
      </c>
      <c r="BH133" s="959">
        <f t="shared" si="268"/>
        <v>14.050424531225174</v>
      </c>
      <c r="BI133" s="959">
        <f t="shared" si="268"/>
        <v>14.12583984239463</v>
      </c>
      <c r="BJ133" s="959">
        <f t="shared" si="268"/>
        <v>14.201659943408417</v>
      </c>
      <c r="BK133" s="959">
        <f t="shared" si="268"/>
        <v>14.277887006966159</v>
      </c>
      <c r="BL133" s="959">
        <f t="shared" si="268"/>
        <v>14.354523217429389</v>
      </c>
      <c r="BM133" s="959">
        <f t="shared" si="268"/>
        <v>14.422221698840277</v>
      </c>
      <c r="BN133" s="959">
        <f t="shared" si="268"/>
        <v>14.490239458315362</v>
      </c>
      <c r="BO133" s="959">
        <f t="shared" si="268"/>
        <v>14.558578001626712</v>
      </c>
      <c r="BP133" s="959">
        <f t="shared" si="268"/>
        <v>14.627238841647882</v>
      </c>
      <c r="BQ133" s="959">
        <f t="shared" si="268"/>
        <v>14.696223498387408</v>
      </c>
      <c r="BR133" s="959">
        <f t="shared" si="268"/>
        <v>14.75529333521281</v>
      </c>
      <c r="BS133" s="959">
        <f t="shared" si="268"/>
        <v>14.814600596681556</v>
      </c>
      <c r="BT133" s="959">
        <f t="shared" si="268"/>
        <v>14.874146237095607</v>
      </c>
      <c r="BU133" s="959">
        <f t="shared" ref="BU133:CZ140" si="269">+BU153*$C133</f>
        <v>14.933931214592636</v>
      </c>
      <c r="BV133" s="959">
        <f t="shared" si="269"/>
        <v>14.993956491161448</v>
      </c>
      <c r="BW133" s="959">
        <f t="shared" si="269"/>
        <v>15.043740835540882</v>
      </c>
      <c r="BX133" s="959">
        <f t="shared" si="269"/>
        <v>15.093690478582264</v>
      </c>
      <c r="BY133" s="959">
        <f t="shared" si="269"/>
        <v>15.143805969125756</v>
      </c>
      <c r="BZ133" s="959">
        <f t="shared" si="269"/>
        <v>15.19408785783383</v>
      </c>
      <c r="CA133" s="959">
        <f t="shared" si="269"/>
        <v>15.244536697197322</v>
      </c>
      <c r="CB133" s="959">
        <f t="shared" si="269"/>
        <v>15.277067444573643</v>
      </c>
      <c r="CC133" s="959">
        <f t="shared" si="269"/>
        <v>15.309667610230484</v>
      </c>
      <c r="CD133" s="959">
        <f t="shared" si="269"/>
        <v>15.342337342301477</v>
      </c>
      <c r="CE133" s="959">
        <f t="shared" si="269"/>
        <v>15.375076789236356</v>
      </c>
      <c r="CF133" s="959">
        <f t="shared" si="269"/>
        <v>15.407886099801638</v>
      </c>
      <c r="CG133" s="959">
        <f t="shared" si="269"/>
        <v>15.41853907481957</v>
      </c>
      <c r="CH133" s="959">
        <f t="shared" si="269"/>
        <v>15.42919941527855</v>
      </c>
      <c r="CI133" s="959">
        <f t="shared" si="269"/>
        <v>15.439867126271025</v>
      </c>
      <c r="CJ133" s="959">
        <f t="shared" si="269"/>
        <v>15.450542212892964</v>
      </c>
      <c r="CK133" s="959">
        <f t="shared" si="269"/>
        <v>15.461224680243861</v>
      </c>
      <c r="CL133" s="959">
        <f t="shared" si="269"/>
        <v>15.464845562477739</v>
      </c>
      <c r="CM133" s="959">
        <f t="shared" si="269"/>
        <v>15.468467292690251</v>
      </c>
      <c r="CN133" s="959">
        <f t="shared" si="269"/>
        <v>15.472089871079984</v>
      </c>
      <c r="CO133" s="959">
        <f t="shared" si="269"/>
        <v>15.475713297845573</v>
      </c>
      <c r="CP133" s="959">
        <f t="shared" si="269"/>
        <v>15.479337573185701</v>
      </c>
      <c r="CQ133" s="959">
        <f t="shared" si="269"/>
        <v>15.484830510437597</v>
      </c>
      <c r="CR133" s="959">
        <f t="shared" si="269"/>
        <v>15.490325396891745</v>
      </c>
      <c r="CS133" s="959">
        <f t="shared" si="269"/>
        <v>15.49582223323983</v>
      </c>
      <c r="CT133" s="959">
        <f t="shared" si="269"/>
        <v>15.501321020173785</v>
      </c>
      <c r="CU133" s="959">
        <f t="shared" si="269"/>
        <v>15.506821758385787</v>
      </c>
      <c r="CV133" s="959">
        <f t="shared" si="269"/>
        <v>15.515287417782641</v>
      </c>
      <c r="CW133" s="959">
        <f t="shared" si="269"/>
        <v>15.523757698847955</v>
      </c>
      <c r="CX133" s="959">
        <f t="shared" si="269"/>
        <v>15.532232604104841</v>
      </c>
      <c r="CY133" s="959">
        <f t="shared" si="269"/>
        <v>15.540712136077792</v>
      </c>
      <c r="CZ133" s="1392">
        <f t="shared" si="269"/>
        <v>15.549196297292674</v>
      </c>
    </row>
    <row r="134" spans="1:104" ht="13" x14ac:dyDescent="0.3">
      <c r="A134" s="1477" t="s">
        <v>1085</v>
      </c>
      <c r="B134" s="260">
        <v>2016</v>
      </c>
      <c r="C134" s="874">
        <f t="shared" si="267"/>
        <v>1</v>
      </c>
      <c r="D134" s="1258" t="s">
        <v>864</v>
      </c>
      <c r="E134" s="874" t="s">
        <v>1058</v>
      </c>
      <c r="F134" s="260">
        <v>47.141269049911173</v>
      </c>
      <c r="G134" s="260">
        <v>52.224661236371581</v>
      </c>
      <c r="H134" s="1069">
        <f t="shared" ref="H134:BS137" si="270">+H154*$C134</f>
        <v>11.934322920018829</v>
      </c>
      <c r="I134" s="1069">
        <f t="shared" si="270"/>
        <v>13.90423046997279</v>
      </c>
      <c r="J134" s="1069">
        <f t="shared" si="270"/>
        <v>14.274140536522257</v>
      </c>
      <c r="K134" s="1069">
        <f t="shared" si="270"/>
        <v>13.139550648884942</v>
      </c>
      <c r="L134" s="1069">
        <f t="shared" si="270"/>
        <v>13.897221248926272</v>
      </c>
      <c r="M134" s="1069">
        <f t="shared" si="270"/>
        <v>11.345666428533674</v>
      </c>
      <c r="N134" s="1069">
        <f t="shared" si="270"/>
        <v>10.551848524158197</v>
      </c>
      <c r="O134" s="260">
        <f t="shared" si="270"/>
        <v>9.7270239269114924</v>
      </c>
      <c r="P134" s="260">
        <f t="shared" si="270"/>
        <v>8.6825570363966911</v>
      </c>
      <c r="Q134" s="260">
        <f t="shared" si="270"/>
        <v>8.5236392646415098</v>
      </c>
      <c r="R134" s="260">
        <f t="shared" si="270"/>
        <v>9.2232797097563566</v>
      </c>
      <c r="S134" s="260">
        <f t="shared" si="270"/>
        <v>7.6085885488542795</v>
      </c>
      <c r="T134" s="260">
        <f t="shared" si="270"/>
        <v>6.813801352724405</v>
      </c>
      <c r="U134" s="260">
        <f t="shared" si="270"/>
        <v>7.4731047451509687</v>
      </c>
      <c r="V134" s="260">
        <f t="shared" si="270"/>
        <v>7.9843107853990691</v>
      </c>
      <c r="W134" s="260">
        <f t="shared" si="270"/>
        <v>8.5650780622071245</v>
      </c>
      <c r="X134" s="260">
        <f t="shared" si="270"/>
        <v>9.1477570858798014</v>
      </c>
      <c r="Y134" s="260">
        <f t="shared" si="270"/>
        <v>9.2514909161219876</v>
      </c>
      <c r="Z134" s="260">
        <f t="shared" si="270"/>
        <v>9.3094669856386769</v>
      </c>
      <c r="AA134" s="260">
        <f t="shared" si="270"/>
        <v>9.3761326413005577</v>
      </c>
      <c r="AB134" s="260">
        <f t="shared" si="270"/>
        <v>9.4891655040111615</v>
      </c>
      <c r="AC134" s="260">
        <f t="shared" si="270"/>
        <v>9.6143446414218783</v>
      </c>
      <c r="AD134" s="260">
        <f t="shared" si="270"/>
        <v>9.7258827967425425</v>
      </c>
      <c r="AE134" s="260">
        <f t="shared" si="270"/>
        <v>10.087086372666475</v>
      </c>
      <c r="AF134" s="260">
        <f t="shared" si="270"/>
        <v>10.198695614261233</v>
      </c>
      <c r="AG134" s="260">
        <f t="shared" si="270"/>
        <v>10.304737378868989</v>
      </c>
      <c r="AH134" s="260">
        <f t="shared" si="270"/>
        <v>10.357640731866367</v>
      </c>
      <c r="AI134" s="260">
        <f t="shared" si="270"/>
        <v>10.427655972763532</v>
      </c>
      <c r="AJ134" s="260">
        <f t="shared" si="270"/>
        <v>10.453569289213085</v>
      </c>
      <c r="AK134" s="260">
        <f t="shared" si="270"/>
        <v>10.441948105124277</v>
      </c>
      <c r="AL134" s="260">
        <f t="shared" si="270"/>
        <v>10.506270757192036</v>
      </c>
      <c r="AM134" s="260">
        <f t="shared" si="270"/>
        <v>10.658282593530579</v>
      </c>
      <c r="AN134" s="260">
        <f t="shared" si="270"/>
        <v>10.722901912315555</v>
      </c>
      <c r="AO134" s="260">
        <f t="shared" si="270"/>
        <v>10.786351624937444</v>
      </c>
      <c r="AP134" s="260">
        <f t="shared" si="270"/>
        <v>10.817805879498341</v>
      </c>
      <c r="AQ134" s="260">
        <f t="shared" si="270"/>
        <v>10.86596540847121</v>
      </c>
      <c r="AR134" s="260">
        <f t="shared" si="270"/>
        <v>10.838793391061706</v>
      </c>
      <c r="AS134" s="260">
        <f t="shared" si="270"/>
        <v>10.868085675073171</v>
      </c>
      <c r="AT134" s="260">
        <f t="shared" si="270"/>
        <v>10.937640276914211</v>
      </c>
      <c r="AU134" s="260">
        <f t="shared" si="270"/>
        <v>11.027299024885883</v>
      </c>
      <c r="AV134" s="260">
        <f t="shared" si="270"/>
        <v>11.114692490256441</v>
      </c>
      <c r="AW134" s="260">
        <f t="shared" si="270"/>
        <v>11.212257927541287</v>
      </c>
      <c r="AX134" s="260">
        <f t="shared" si="270"/>
        <v>11.293368314098968</v>
      </c>
      <c r="AY134" s="260">
        <f t="shared" si="270"/>
        <v>11.35816487466068</v>
      </c>
      <c r="AZ134" s="260">
        <f t="shared" si="270"/>
        <v>11.46581792814789</v>
      </c>
      <c r="BA134" s="260">
        <f t="shared" si="270"/>
        <v>11.521194135666732</v>
      </c>
      <c r="BB134" s="260">
        <f t="shared" si="270"/>
        <v>11.628119265707223</v>
      </c>
      <c r="BC134" s="260">
        <f t="shared" si="270"/>
        <v>11.692763949840026</v>
      </c>
      <c r="BD134" s="260">
        <f t="shared" si="270"/>
        <v>11.757768015837698</v>
      </c>
      <c r="BE134" s="260">
        <f t="shared" si="270"/>
        <v>11.823133461626696</v>
      </c>
      <c r="BF134" s="260">
        <f t="shared" si="270"/>
        <v>11.888862296240635</v>
      </c>
      <c r="BG134" s="260">
        <f t="shared" si="270"/>
        <v>11.954956539882032</v>
      </c>
      <c r="BH134" s="260">
        <f t="shared" si="270"/>
        <v>12.019124477688386</v>
      </c>
      <c r="BI134" s="260">
        <f t="shared" si="270"/>
        <v>12.083636835336717</v>
      </c>
      <c r="BJ134" s="260">
        <f t="shared" si="270"/>
        <v>12.148495461492134</v>
      </c>
      <c r="BK134" s="260">
        <f t="shared" si="270"/>
        <v>12.213702214742405</v>
      </c>
      <c r="BL134" s="260">
        <f t="shared" si="270"/>
        <v>12.279258963651227</v>
      </c>
      <c r="BM134" s="260">
        <f t="shared" si="270"/>
        <v>12.337170130194249</v>
      </c>
      <c r="BN134" s="260">
        <f t="shared" si="270"/>
        <v>12.395354416085945</v>
      </c>
      <c r="BO134" s="260">
        <f t="shared" si="270"/>
        <v>12.453813109405683</v>
      </c>
      <c r="BP134" s="260">
        <f t="shared" si="270"/>
        <v>12.512547504307637</v>
      </c>
      <c r="BQ134" s="260">
        <f t="shared" si="270"/>
        <v>12.571558901049444</v>
      </c>
      <c r="BR134" s="260">
        <f t="shared" si="270"/>
        <v>12.622088884688262</v>
      </c>
      <c r="BS134" s="260">
        <f t="shared" si="270"/>
        <v>12.672821967979766</v>
      </c>
      <c r="BT134" s="260">
        <f t="shared" si="268"/>
        <v>12.723758967260437</v>
      </c>
      <c r="BU134" s="260">
        <f t="shared" si="269"/>
        <v>12.774900702147928</v>
      </c>
      <c r="BV134" s="260">
        <f t="shared" si="269"/>
        <v>12.826247995554251</v>
      </c>
      <c r="BW134" s="260">
        <f t="shared" si="269"/>
        <v>12.868834910334423</v>
      </c>
      <c r="BX134" s="260">
        <f t="shared" si="269"/>
        <v>12.911563226193937</v>
      </c>
      <c r="BY134" s="260">
        <f t="shared" si="269"/>
        <v>12.954433412625956</v>
      </c>
      <c r="BZ134" s="260">
        <f t="shared" si="269"/>
        <v>12.997445940682496</v>
      </c>
      <c r="CA134" s="260">
        <f t="shared" si="269"/>
        <v>13.040601282979605</v>
      </c>
      <c r="CB134" s="260">
        <f t="shared" si="269"/>
        <v>13.06842899033459</v>
      </c>
      <c r="CC134" s="260">
        <f t="shared" si="269"/>
        <v>13.096316080020177</v>
      </c>
      <c r="CD134" s="260">
        <f t="shared" si="269"/>
        <v>13.124262678753999</v>
      </c>
      <c r="CE134" s="260">
        <f t="shared" si="269"/>
        <v>13.152268913524093</v>
      </c>
      <c r="CF134" s="260">
        <f t="shared" si="269"/>
        <v>13.180334911589481</v>
      </c>
      <c r="CG134" s="260">
        <f t="shared" si="269"/>
        <v>13.189447763127433</v>
      </c>
      <c r="CH134" s="260">
        <f t="shared" si="269"/>
        <v>13.198566915268799</v>
      </c>
      <c r="CI134" s="260">
        <f t="shared" si="269"/>
        <v>13.207692372369801</v>
      </c>
      <c r="CJ134" s="260">
        <f t="shared" si="269"/>
        <v>13.216824138789674</v>
      </c>
      <c r="CK134" s="260">
        <f t="shared" si="269"/>
        <v>13.225962218890665</v>
      </c>
      <c r="CL134" s="260">
        <f t="shared" si="269"/>
        <v>13.22905962240266</v>
      </c>
      <c r="CM134" s="260">
        <f t="shared" si="269"/>
        <v>13.232157751299196</v>
      </c>
      <c r="CN134" s="260">
        <f t="shared" si="269"/>
        <v>13.23525660575015</v>
      </c>
      <c r="CO134" s="260">
        <f t="shared" si="269"/>
        <v>13.23835618592544</v>
      </c>
      <c r="CP134" s="260">
        <f t="shared" si="269"/>
        <v>13.241456491995026</v>
      </c>
      <c r="CQ134" s="260">
        <f t="shared" si="269"/>
        <v>13.246155303510076</v>
      </c>
      <c r="CR134" s="260">
        <f t="shared" si="269"/>
        <v>13.250855782427021</v>
      </c>
      <c r="CS134" s="260">
        <f t="shared" si="269"/>
        <v>13.255557929337549</v>
      </c>
      <c r="CT134" s="260">
        <f t="shared" si="269"/>
        <v>13.260261744833558</v>
      </c>
      <c r="CU134" s="260">
        <f t="shared" si="269"/>
        <v>13.264967229507157</v>
      </c>
      <c r="CV134" s="260">
        <f t="shared" si="269"/>
        <v>13.272208990341527</v>
      </c>
      <c r="CW134" s="260">
        <f t="shared" si="269"/>
        <v>13.279454704679821</v>
      </c>
      <c r="CX134" s="260">
        <f t="shared" si="269"/>
        <v>13.286704374680379</v>
      </c>
      <c r="CY134" s="260">
        <f t="shared" si="269"/>
        <v>13.293958002502723</v>
      </c>
      <c r="CZ134" s="449">
        <f t="shared" si="269"/>
        <v>13.30121559030755</v>
      </c>
    </row>
    <row r="135" spans="1:104" ht="13" x14ac:dyDescent="0.3">
      <c r="A135" s="1477" t="s">
        <v>283</v>
      </c>
      <c r="B135" s="260">
        <v>2016</v>
      </c>
      <c r="C135" s="874">
        <f t="shared" si="267"/>
        <v>1</v>
      </c>
      <c r="D135" s="1258" t="s">
        <v>864</v>
      </c>
      <c r="E135" s="874" t="s">
        <v>1058</v>
      </c>
      <c r="F135" s="260">
        <v>47.141269049911173</v>
      </c>
      <c r="G135" s="260">
        <v>52.224661236371581</v>
      </c>
      <c r="H135" s="1069">
        <f t="shared" si="270"/>
        <v>8.2641705904266125</v>
      </c>
      <c r="I135" s="1069">
        <f t="shared" si="270"/>
        <v>10.495609596381577</v>
      </c>
      <c r="J135" s="1069">
        <f t="shared" si="270"/>
        <v>9.3614571685358463</v>
      </c>
      <c r="K135" s="1069">
        <f t="shared" si="270"/>
        <v>8.8987432965993278</v>
      </c>
      <c r="L135" s="1069">
        <f t="shared" si="270"/>
        <v>10.965509816201024</v>
      </c>
      <c r="M135" s="1069">
        <f t="shared" si="270"/>
        <v>6.0111731674040234</v>
      </c>
      <c r="N135" s="1069">
        <f t="shared" si="270"/>
        <v>6.1171751211856922</v>
      </c>
      <c r="O135" s="260">
        <f t="shared" si="270"/>
        <v>5.6004077154944953</v>
      </c>
      <c r="P135" s="260">
        <f t="shared" si="270"/>
        <v>4.1590520124961925</v>
      </c>
      <c r="Q135" s="260">
        <f t="shared" si="270"/>
        <v>4.894763142071362</v>
      </c>
      <c r="R135" s="260">
        <f t="shared" si="270"/>
        <v>5.8241384234641265</v>
      </c>
      <c r="S135" s="260">
        <f t="shared" si="270"/>
        <v>3.5390282601113117</v>
      </c>
      <c r="T135" s="260">
        <f t="shared" si="270"/>
        <v>3.3168400539876552</v>
      </c>
      <c r="U135" s="260">
        <f t="shared" si="270"/>
        <v>3.8686572087168831</v>
      </c>
      <c r="V135" s="260">
        <f t="shared" si="270"/>
        <v>4.230424735748624</v>
      </c>
      <c r="W135" s="260">
        <f t="shared" si="270"/>
        <v>4.6374903322667231</v>
      </c>
      <c r="X135" s="260">
        <f t="shared" si="270"/>
        <v>5.0398775041324821</v>
      </c>
      <c r="Y135" s="260">
        <f t="shared" si="270"/>
        <v>5.0452222441273262</v>
      </c>
      <c r="Z135" s="260">
        <f t="shared" si="270"/>
        <v>4.9894479534735598</v>
      </c>
      <c r="AA135" s="260">
        <f t="shared" si="270"/>
        <v>5.0008757828968315</v>
      </c>
      <c r="AB135" s="260">
        <f t="shared" si="270"/>
        <v>5.0866427943161305</v>
      </c>
      <c r="AC135" s="260">
        <f t="shared" si="270"/>
        <v>5.1985543895300337</v>
      </c>
      <c r="AD135" s="260">
        <f t="shared" si="270"/>
        <v>5.3142743134013735</v>
      </c>
      <c r="AE135" s="260">
        <f t="shared" si="270"/>
        <v>5.4069765017212355</v>
      </c>
      <c r="AF135" s="260">
        <f t="shared" si="270"/>
        <v>5.498883471588238</v>
      </c>
      <c r="AG135" s="260">
        <f t="shared" si="270"/>
        <v>5.5761078084954727</v>
      </c>
      <c r="AH135" s="260">
        <f t="shared" si="270"/>
        <v>5.5953977798334869</v>
      </c>
      <c r="AI135" s="260">
        <f t="shared" si="270"/>
        <v>5.6194116710392619</v>
      </c>
      <c r="AJ135" s="260">
        <f t="shared" si="270"/>
        <v>5.6053299540498323</v>
      </c>
      <c r="AK135" s="260">
        <f t="shared" si="270"/>
        <v>5.5496627667157004</v>
      </c>
      <c r="AL135" s="260">
        <f t="shared" si="270"/>
        <v>5.5482476759527453</v>
      </c>
      <c r="AM135" s="260">
        <f t="shared" si="270"/>
        <v>5.6344516310034729</v>
      </c>
      <c r="AN135" s="260">
        <f t="shared" si="270"/>
        <v>5.6381945602887429</v>
      </c>
      <c r="AO135" s="260">
        <f t="shared" si="270"/>
        <v>5.6485162872871211</v>
      </c>
      <c r="AP135" s="260">
        <f t="shared" si="270"/>
        <v>5.6430123140383071</v>
      </c>
      <c r="AQ135" s="260">
        <f t="shared" si="270"/>
        <v>5.6644386648670784</v>
      </c>
      <c r="AR135" s="260">
        <f t="shared" si="270"/>
        <v>5.6215300420072483</v>
      </c>
      <c r="AS135" s="260">
        <f t="shared" si="270"/>
        <v>5.6260767200982693</v>
      </c>
      <c r="AT135" s="260">
        <f t="shared" si="270"/>
        <v>5.6802473044084865</v>
      </c>
      <c r="AU135" s="260">
        <f t="shared" si="270"/>
        <v>5.7631623345111542</v>
      </c>
      <c r="AV135" s="260">
        <f t="shared" si="270"/>
        <v>5.819991545472468</v>
      </c>
      <c r="AW135" s="260">
        <f t="shared" si="270"/>
        <v>5.8947240715184783</v>
      </c>
      <c r="AX135" s="260">
        <f t="shared" si="270"/>
        <v>5.9518546882819487</v>
      </c>
      <c r="AY135" s="260">
        <f t="shared" si="270"/>
        <v>6.0145186606208574</v>
      </c>
      <c r="AZ135" s="260">
        <f t="shared" si="270"/>
        <v>6.1247620979360331</v>
      </c>
      <c r="BA135" s="260">
        <f t="shared" si="270"/>
        <v>6.1606322318436177</v>
      </c>
      <c r="BB135" s="260">
        <f t="shared" si="270"/>
        <v>6.238633778680942</v>
      </c>
      <c r="BC135" s="260">
        <f t="shared" si="270"/>
        <v>6.2733164733478626</v>
      </c>
      <c r="BD135" s="260">
        <f t="shared" si="270"/>
        <v>6.3081919809530058</v>
      </c>
      <c r="BE135" s="260">
        <f t="shared" si="270"/>
        <v>6.3432613734093088</v>
      </c>
      <c r="BF135" s="260">
        <f t="shared" si="270"/>
        <v>6.3785257285888406</v>
      </c>
      <c r="BG135" s="260">
        <f t="shared" si="270"/>
        <v>6.4139861303559274</v>
      </c>
      <c r="BH135" s="260">
        <f t="shared" si="270"/>
        <v>6.4484130445592944</v>
      </c>
      <c r="BI135" s="260">
        <f t="shared" si="270"/>
        <v>6.4830247443854354</v>
      </c>
      <c r="BJ135" s="260">
        <f t="shared" si="270"/>
        <v>6.5178222216666768</v>
      </c>
      <c r="BK135" s="260">
        <f t="shared" si="270"/>
        <v>6.5528064735589808</v>
      </c>
      <c r="BL135" s="260">
        <f t="shared" si="270"/>
        <v>6.5879785025705191</v>
      </c>
      <c r="BM135" s="260">
        <f t="shared" si="270"/>
        <v>6.6190485794679574</v>
      </c>
      <c r="BN135" s="260">
        <f t="shared" si="270"/>
        <v>6.6502651883672899</v>
      </c>
      <c r="BO135" s="260">
        <f t="shared" si="270"/>
        <v>6.6816290203394662</v>
      </c>
      <c r="BP135" s="260">
        <f t="shared" si="270"/>
        <v>6.7131407697146503</v>
      </c>
      <c r="BQ135" s="260">
        <f t="shared" si="270"/>
        <v>6.7448011340975915</v>
      </c>
      <c r="BR135" s="260">
        <f t="shared" si="270"/>
        <v>6.7719111125525773</v>
      </c>
      <c r="BS135" s="260">
        <f t="shared" si="270"/>
        <v>6.7991300565526132</v>
      </c>
      <c r="BT135" s="260">
        <f t="shared" si="268"/>
        <v>6.8264584040725946</v>
      </c>
      <c r="BU135" s="260">
        <f t="shared" si="269"/>
        <v>6.8538965948478108</v>
      </c>
      <c r="BV135" s="260">
        <f t="shared" si="269"/>
        <v>6.8814450703810159</v>
      </c>
      <c r="BW135" s="260">
        <f t="shared" si="269"/>
        <v>6.904293491437457</v>
      </c>
      <c r="BX135" s="260">
        <f t="shared" si="269"/>
        <v>6.9272177759701634</v>
      </c>
      <c r="BY135" s="260">
        <f t="shared" si="269"/>
        <v>6.9502181758681845</v>
      </c>
      <c r="BZ135" s="260">
        <f t="shared" si="269"/>
        <v>6.9732949438569127</v>
      </c>
      <c r="CA135" s="260">
        <f t="shared" si="269"/>
        <v>6.996448333500866</v>
      </c>
      <c r="CB135" s="260">
        <f t="shared" si="269"/>
        <v>7.0113782521851409</v>
      </c>
      <c r="CC135" s="260">
        <f t="shared" si="269"/>
        <v>7.0263400302445289</v>
      </c>
      <c r="CD135" s="260">
        <f t="shared" si="269"/>
        <v>7.0413337356646508</v>
      </c>
      <c r="CE135" s="260">
        <f t="shared" si="269"/>
        <v>7.0563594365762032</v>
      </c>
      <c r="CF135" s="260">
        <f t="shared" si="269"/>
        <v>7.0714172012552687</v>
      </c>
      <c r="CG135" s="260">
        <f t="shared" si="269"/>
        <v>7.0763063619291211</v>
      </c>
      <c r="CH135" s="260">
        <f t="shared" si="269"/>
        <v>7.0811989029567863</v>
      </c>
      <c r="CI135" s="260">
        <f t="shared" si="269"/>
        <v>7.0860948266754322</v>
      </c>
      <c r="CJ135" s="260">
        <f t="shared" si="269"/>
        <v>7.090994135423843</v>
      </c>
      <c r="CK135" s="260">
        <f t="shared" si="269"/>
        <v>7.0958968315424205</v>
      </c>
      <c r="CL135" s="260">
        <f t="shared" si="269"/>
        <v>7.0975586278944007</v>
      </c>
      <c r="CM135" s="260">
        <f t="shared" si="269"/>
        <v>7.0992208134244059</v>
      </c>
      <c r="CN135" s="260">
        <f t="shared" si="269"/>
        <v>7.1008833882235782</v>
      </c>
      <c r="CO135" s="260">
        <f t="shared" si="269"/>
        <v>7.1025463523830812</v>
      </c>
      <c r="CP135" s="260">
        <f t="shared" si="269"/>
        <v>7.1042097059940996</v>
      </c>
      <c r="CQ135" s="260">
        <f t="shared" si="269"/>
        <v>7.1067306780935082</v>
      </c>
      <c r="CR135" s="260">
        <f t="shared" si="269"/>
        <v>7.1092525447752264</v>
      </c>
      <c r="CS135" s="260">
        <f t="shared" si="269"/>
        <v>7.1117753063567024</v>
      </c>
      <c r="CT135" s="260">
        <f t="shared" si="269"/>
        <v>7.1142989631554965</v>
      </c>
      <c r="CU135" s="260">
        <f t="shared" si="269"/>
        <v>7.1168235154892816</v>
      </c>
      <c r="CV135" s="260">
        <f t="shared" si="269"/>
        <v>7.1207088122192239</v>
      </c>
      <c r="CW135" s="260">
        <f t="shared" si="269"/>
        <v>7.1245962300542702</v>
      </c>
      <c r="CX135" s="260">
        <f t="shared" si="269"/>
        <v>7.1284857701523974</v>
      </c>
      <c r="CY135" s="260">
        <f t="shared" si="269"/>
        <v>7.1323774336722154</v>
      </c>
      <c r="CZ135" s="449">
        <f t="shared" si="269"/>
        <v>7.1362712217729669</v>
      </c>
    </row>
    <row r="136" spans="1:104" ht="13" x14ac:dyDescent="0.3">
      <c r="A136" s="1477" t="s">
        <v>1086</v>
      </c>
      <c r="B136" s="260">
        <v>2016</v>
      </c>
      <c r="C136" s="874">
        <f t="shared" si="267"/>
        <v>1</v>
      </c>
      <c r="D136" s="1258" t="s">
        <v>864</v>
      </c>
      <c r="E136" s="874" t="s">
        <v>1058</v>
      </c>
      <c r="F136" s="260">
        <v>47.141269049911173</v>
      </c>
      <c r="G136" s="260">
        <v>52.224661236371581</v>
      </c>
      <c r="H136" s="1069">
        <f t="shared" si="270"/>
        <v>8.4160389626855991</v>
      </c>
      <c r="I136" s="1069">
        <f t="shared" si="270"/>
        <v>10.630483084185546</v>
      </c>
      <c r="J136" s="1069">
        <f t="shared" si="270"/>
        <v>10.241695834954719</v>
      </c>
      <c r="K136" s="1069">
        <f t="shared" si="270"/>
        <v>9.4549147526367854</v>
      </c>
      <c r="L136" s="1069">
        <f t="shared" si="270"/>
        <v>10.431438353650302</v>
      </c>
      <c r="M136" s="1069">
        <f t="shared" si="270"/>
        <v>7.3081429877632402</v>
      </c>
      <c r="N136" s="1069">
        <f t="shared" si="270"/>
        <v>6.8860004096407268</v>
      </c>
      <c r="O136" s="260">
        <f t="shared" si="270"/>
        <v>6.1462564207083838</v>
      </c>
      <c r="P136" s="260">
        <f t="shared" si="270"/>
        <v>5.0701845410069568</v>
      </c>
      <c r="Q136" s="260">
        <f t="shared" si="270"/>
        <v>5.147940545971605</v>
      </c>
      <c r="R136" s="260">
        <f t="shared" si="270"/>
        <v>5.9174075441245835</v>
      </c>
      <c r="S136" s="260">
        <f t="shared" si="270"/>
        <v>4.3672641892083037</v>
      </c>
      <c r="T136" s="260">
        <f t="shared" si="270"/>
        <v>3.755553639162041</v>
      </c>
      <c r="U136" s="260">
        <f t="shared" si="270"/>
        <v>3.3468214009493336</v>
      </c>
      <c r="V136" s="260">
        <f t="shared" si="270"/>
        <v>3.6078009129373227</v>
      </c>
      <c r="W136" s="260">
        <f t="shared" si="270"/>
        <v>3.9595869792693468</v>
      </c>
      <c r="X136" s="260">
        <f t="shared" si="270"/>
        <v>4.2992239274502966</v>
      </c>
      <c r="Y136" s="260">
        <f t="shared" si="270"/>
        <v>4.3362295461094007</v>
      </c>
      <c r="Z136" s="260">
        <f t="shared" si="270"/>
        <v>4.2972619462853157</v>
      </c>
      <c r="AA136" s="260">
        <f t="shared" si="270"/>
        <v>4.3209431537283329</v>
      </c>
      <c r="AB136" s="260">
        <f t="shared" si="270"/>
        <v>4.4388231525151278</v>
      </c>
      <c r="AC136" s="260">
        <f t="shared" si="270"/>
        <v>4.5598555906037213</v>
      </c>
      <c r="AD136" s="260">
        <f t="shared" si="270"/>
        <v>4.6705511366221319</v>
      </c>
      <c r="AE136" s="260">
        <f t="shared" si="270"/>
        <v>4.7905826799714895</v>
      </c>
      <c r="AF136" s="260">
        <f t="shared" si="270"/>
        <v>4.8909868291351355</v>
      </c>
      <c r="AG136" s="260">
        <f t="shared" si="270"/>
        <v>4.9795195705251665</v>
      </c>
      <c r="AH136" s="260">
        <f t="shared" si="270"/>
        <v>5.0140428564929254</v>
      </c>
      <c r="AI136" s="260">
        <f t="shared" si="270"/>
        <v>5.034241784322349</v>
      </c>
      <c r="AJ136" s="260">
        <f t="shared" si="270"/>
        <v>5.0303794300966009</v>
      </c>
      <c r="AK136" s="260">
        <f t="shared" si="270"/>
        <v>4.9817061843162831</v>
      </c>
      <c r="AL136" s="260">
        <f t="shared" si="270"/>
        <v>5.005816752854825</v>
      </c>
      <c r="AM136" s="260">
        <f t="shared" si="270"/>
        <v>5.1117353012541518</v>
      </c>
      <c r="AN136" s="260">
        <f t="shared" si="270"/>
        <v>5.1218001698488047</v>
      </c>
      <c r="AO136" s="260">
        <f t="shared" si="270"/>
        <v>5.1563490468752367</v>
      </c>
      <c r="AP136" s="260">
        <f t="shared" si="270"/>
        <v>5.1654177598155924</v>
      </c>
      <c r="AQ136" s="260">
        <f t="shared" si="270"/>
        <v>5.1952502995101684</v>
      </c>
      <c r="AR136" s="260">
        <f t="shared" si="270"/>
        <v>5.1548078964528896</v>
      </c>
      <c r="AS136" s="260">
        <f t="shared" si="270"/>
        <v>5.1691436283950809</v>
      </c>
      <c r="AT136" s="260">
        <f t="shared" si="270"/>
        <v>5.2239208155775625</v>
      </c>
      <c r="AU136" s="260">
        <f t="shared" si="270"/>
        <v>5.3036701369405987</v>
      </c>
      <c r="AV136" s="260">
        <f t="shared" si="270"/>
        <v>5.3698761013633396</v>
      </c>
      <c r="AW136" s="260">
        <f t="shared" si="270"/>
        <v>5.4477553798092231</v>
      </c>
      <c r="AX136" s="260">
        <f t="shared" si="270"/>
        <v>5.5105548899774046</v>
      </c>
      <c r="AY136" s="260">
        <f t="shared" si="270"/>
        <v>5.5735610242489493</v>
      </c>
      <c r="AZ136" s="260">
        <f t="shared" si="270"/>
        <v>5.6745566112130543</v>
      </c>
      <c r="BA136" s="260">
        <f t="shared" si="270"/>
        <v>5.7069198222653581</v>
      </c>
      <c r="BB136" s="260">
        <f t="shared" si="270"/>
        <v>5.8107835034348891</v>
      </c>
      <c r="BC136" s="260">
        <f t="shared" si="270"/>
        <v>5.8430876323795795</v>
      </c>
      <c r="BD136" s="260">
        <f t="shared" si="270"/>
        <v>5.8755713510037442</v>
      </c>
      <c r="BE136" s="260">
        <f t="shared" si="270"/>
        <v>5.9082356577077126</v>
      </c>
      <c r="BF136" s="260">
        <f t="shared" si="270"/>
        <v>5.9410815564422617</v>
      </c>
      <c r="BG136" s="260">
        <f t="shared" si="270"/>
        <v>5.974110056739474</v>
      </c>
      <c r="BH136" s="260">
        <f t="shared" si="270"/>
        <v>6.006175946840397</v>
      </c>
      <c r="BI136" s="260">
        <f t="shared" si="270"/>
        <v>6.0384139498247791</v>
      </c>
      <c r="BJ136" s="260">
        <f t="shared" si="270"/>
        <v>6.0708249895043265</v>
      </c>
      <c r="BK136" s="260">
        <f t="shared" si="270"/>
        <v>6.1034099946492821</v>
      </c>
      <c r="BL136" s="260">
        <f t="shared" si="270"/>
        <v>6.1361698990150408</v>
      </c>
      <c r="BM136" s="260">
        <f t="shared" si="270"/>
        <v>6.1651091662794615</v>
      </c>
      <c r="BN136" s="260">
        <f t="shared" si="270"/>
        <v>6.1941849162690321</v>
      </c>
      <c r="BO136" s="260">
        <f t="shared" si="270"/>
        <v>6.2233977926605295</v>
      </c>
      <c r="BP136" s="260">
        <f t="shared" si="270"/>
        <v>6.2527484421664239</v>
      </c>
      <c r="BQ136" s="260">
        <f t="shared" si="270"/>
        <v>6.2822375145491964</v>
      </c>
      <c r="BR136" s="260">
        <f t="shared" si="270"/>
        <v>6.3074882699506478</v>
      </c>
      <c r="BS136" s="260">
        <f t="shared" si="270"/>
        <v>6.3328405179567433</v>
      </c>
      <c r="BT136" s="260">
        <f t="shared" si="268"/>
        <v>6.3582946665057261</v>
      </c>
      <c r="BU136" s="260">
        <f t="shared" si="269"/>
        <v>6.3838511251755019</v>
      </c>
      <c r="BV136" s="260">
        <f t="shared" si="269"/>
        <v>6.4095103051902287</v>
      </c>
      <c r="BW136" s="260">
        <f t="shared" si="269"/>
        <v>6.4307917640583545</v>
      </c>
      <c r="BX136" s="260">
        <f t="shared" si="269"/>
        <v>6.4521438836275307</v>
      </c>
      <c r="BY136" s="260">
        <f t="shared" si="269"/>
        <v>6.473566898512062</v>
      </c>
      <c r="BZ136" s="260">
        <f t="shared" si="269"/>
        <v>6.4950610441052419</v>
      </c>
      <c r="CA136" s="260">
        <f t="shared" si="269"/>
        <v>6.5166265565819383</v>
      </c>
      <c r="CB136" s="260">
        <f t="shared" si="269"/>
        <v>6.5305325700258869</v>
      </c>
      <c r="CC136" s="260">
        <f t="shared" si="269"/>
        <v>6.5444682579046409</v>
      </c>
      <c r="CD136" s="260">
        <f t="shared" si="269"/>
        <v>6.5584336835413142</v>
      </c>
      <c r="CE136" s="260">
        <f t="shared" si="269"/>
        <v>6.5724289103941489</v>
      </c>
      <c r="CF136" s="260">
        <f t="shared" si="269"/>
        <v>6.5864540020568016</v>
      </c>
      <c r="CG136" s="260">
        <f t="shared" si="269"/>
        <v>6.5910078603528843</v>
      </c>
      <c r="CH136" s="260">
        <f t="shared" si="269"/>
        <v>6.5955648671755291</v>
      </c>
      <c r="CI136" s="260">
        <f t="shared" si="269"/>
        <v>6.6001250247016205</v>
      </c>
      <c r="CJ136" s="260">
        <f t="shared" si="269"/>
        <v>6.6046883351095476</v>
      </c>
      <c r="CK136" s="260">
        <f t="shared" si="269"/>
        <v>6.6092548005792047</v>
      </c>
      <c r="CL136" s="260">
        <f t="shared" si="269"/>
        <v>6.6108026296665843</v>
      </c>
      <c r="CM136" s="260">
        <f t="shared" si="269"/>
        <v>6.6123508212418631</v>
      </c>
      <c r="CN136" s="260">
        <f t="shared" si="269"/>
        <v>6.6138993753899316</v>
      </c>
      <c r="CO136" s="260">
        <f t="shared" si="269"/>
        <v>6.6154482921957012</v>
      </c>
      <c r="CP136" s="260">
        <f t="shared" si="269"/>
        <v>6.6169975717441041</v>
      </c>
      <c r="CQ136" s="260">
        <f t="shared" si="269"/>
        <v>6.6193456536491393</v>
      </c>
      <c r="CR136" s="260">
        <f t="shared" si="269"/>
        <v>6.6216945687853457</v>
      </c>
      <c r="CS136" s="260">
        <f t="shared" si="269"/>
        <v>6.6240443174483996</v>
      </c>
      <c r="CT136" s="260">
        <f t="shared" si="269"/>
        <v>6.6263948999340831</v>
      </c>
      <c r="CU136" s="260">
        <f t="shared" si="269"/>
        <v>6.6287463165382841</v>
      </c>
      <c r="CV136" s="260">
        <f t="shared" si="269"/>
        <v>6.6323651566473876</v>
      </c>
      <c r="CW136" s="260">
        <f t="shared" si="269"/>
        <v>6.6359859723945851</v>
      </c>
      <c r="CX136" s="260">
        <f t="shared" si="269"/>
        <v>6.6396087648584388</v>
      </c>
      <c r="CY136" s="260">
        <f t="shared" si="269"/>
        <v>6.6432335351180996</v>
      </c>
      <c r="CZ136" s="449">
        <f t="shared" si="269"/>
        <v>6.6468602842533091</v>
      </c>
    </row>
    <row r="137" spans="1:104" ht="13" x14ac:dyDescent="0.3">
      <c r="A137" s="1477" t="s">
        <v>1081</v>
      </c>
      <c r="B137" s="260">
        <v>2016</v>
      </c>
      <c r="C137" s="874">
        <f t="shared" si="267"/>
        <v>1</v>
      </c>
      <c r="D137" s="1260" t="s">
        <v>268</v>
      </c>
      <c r="E137" s="874" t="s">
        <v>1058</v>
      </c>
      <c r="F137" s="260">
        <v>19.551069237418005</v>
      </c>
      <c r="G137" s="260">
        <v>20.588656379262464</v>
      </c>
      <c r="H137" s="1069">
        <f t="shared" si="270"/>
        <v>5.0967849132778742</v>
      </c>
      <c r="I137" s="1069">
        <f t="shared" si="270"/>
        <v>5.0967849132778742</v>
      </c>
      <c r="J137" s="1069">
        <f t="shared" si="270"/>
        <v>5.0967849132778742</v>
      </c>
      <c r="K137" s="1069">
        <f t="shared" si="270"/>
        <v>5.0967849132778742</v>
      </c>
      <c r="L137" s="1069">
        <f t="shared" si="270"/>
        <v>5.0967849132778742</v>
      </c>
      <c r="M137" s="1069">
        <f t="shared" si="270"/>
        <v>5.0967849132778742</v>
      </c>
      <c r="N137" s="1069">
        <f t="shared" si="270"/>
        <v>5.0967849132778742</v>
      </c>
      <c r="O137" s="260">
        <f t="shared" si="270"/>
        <v>5.0967849132778742</v>
      </c>
      <c r="P137" s="260">
        <f t="shared" si="270"/>
        <v>5.0967849132778742</v>
      </c>
      <c r="Q137" s="260">
        <f t="shared" si="270"/>
        <v>5.0967849132778742</v>
      </c>
      <c r="R137" s="260">
        <f t="shared" si="270"/>
        <v>5.0967849132778742</v>
      </c>
      <c r="S137" s="260">
        <f t="shared" si="270"/>
        <v>5.0967849132778742</v>
      </c>
      <c r="T137" s="260">
        <f t="shared" si="270"/>
        <v>5.0967849132778742</v>
      </c>
      <c r="U137" s="260">
        <f t="shared" si="270"/>
        <v>5.0967849132778742</v>
      </c>
      <c r="V137" s="260">
        <f t="shared" si="270"/>
        <v>5.0967849132778742</v>
      </c>
      <c r="W137" s="260">
        <f t="shared" si="270"/>
        <v>5.0967849132778742</v>
      </c>
      <c r="X137" s="260">
        <f t="shared" si="270"/>
        <v>5.0967849132778742</v>
      </c>
      <c r="Y137" s="260">
        <f t="shared" si="270"/>
        <v>5.0967849132778742</v>
      </c>
      <c r="Z137" s="260">
        <f t="shared" si="270"/>
        <v>5.0967849132778742</v>
      </c>
      <c r="AA137" s="260">
        <f t="shared" si="270"/>
        <v>5.0967849132778742</v>
      </c>
      <c r="AB137" s="260">
        <f t="shared" si="270"/>
        <v>5.0967849132778742</v>
      </c>
      <c r="AC137" s="260">
        <f t="shared" si="270"/>
        <v>5.0967849132778742</v>
      </c>
      <c r="AD137" s="260">
        <f t="shared" si="270"/>
        <v>5.0967849132778742</v>
      </c>
      <c r="AE137" s="260">
        <f t="shared" si="270"/>
        <v>5.0967849132778742</v>
      </c>
      <c r="AF137" s="260">
        <f t="shared" si="270"/>
        <v>5.0967849132778742</v>
      </c>
      <c r="AG137" s="260">
        <f t="shared" si="270"/>
        <v>5.0967849132778742</v>
      </c>
      <c r="AH137" s="260">
        <f t="shared" si="270"/>
        <v>5.0967849132778742</v>
      </c>
      <c r="AI137" s="260">
        <f t="shared" si="270"/>
        <v>5.0967849132778742</v>
      </c>
      <c r="AJ137" s="260">
        <f t="shared" si="270"/>
        <v>5.0967849132778742</v>
      </c>
      <c r="AK137" s="260">
        <f t="shared" si="270"/>
        <v>5.0967849132778742</v>
      </c>
      <c r="AL137" s="260">
        <f t="shared" si="270"/>
        <v>5.0967849132778742</v>
      </c>
      <c r="AM137" s="260">
        <f t="shared" si="270"/>
        <v>5.0967849132778742</v>
      </c>
      <c r="AN137" s="260">
        <f t="shared" si="270"/>
        <v>5.0967849132778742</v>
      </c>
      <c r="AO137" s="260">
        <f t="shared" si="270"/>
        <v>5.0967849132778742</v>
      </c>
      <c r="AP137" s="260">
        <f t="shared" si="270"/>
        <v>5.0967849132778742</v>
      </c>
      <c r="AQ137" s="260">
        <f t="shared" si="270"/>
        <v>5.0967849132778742</v>
      </c>
      <c r="AR137" s="260">
        <f t="shared" si="270"/>
        <v>5.0967849132778742</v>
      </c>
      <c r="AS137" s="260">
        <f t="shared" si="270"/>
        <v>5.0967849132778742</v>
      </c>
      <c r="AT137" s="260">
        <f t="shared" si="270"/>
        <v>5.0967849132778742</v>
      </c>
      <c r="AU137" s="260">
        <f t="shared" si="270"/>
        <v>5.0967849132778742</v>
      </c>
      <c r="AV137" s="260">
        <f t="shared" si="270"/>
        <v>5.0967849132778742</v>
      </c>
      <c r="AW137" s="260">
        <f t="shared" si="270"/>
        <v>5.0967849132778742</v>
      </c>
      <c r="AX137" s="260">
        <f t="shared" si="270"/>
        <v>5.0967849132778742</v>
      </c>
      <c r="AY137" s="260">
        <f t="shared" si="270"/>
        <v>5.0967849132778742</v>
      </c>
      <c r="AZ137" s="260">
        <f t="shared" si="270"/>
        <v>5.0967849132778742</v>
      </c>
      <c r="BA137" s="260">
        <f t="shared" si="270"/>
        <v>5.0967849132778742</v>
      </c>
      <c r="BB137" s="260">
        <f t="shared" si="270"/>
        <v>5.0967849132778742</v>
      </c>
      <c r="BC137" s="260">
        <f t="shared" si="270"/>
        <v>5.1179587571540939</v>
      </c>
      <c r="BD137" s="260">
        <f t="shared" si="270"/>
        <v>5.1392205646528959</v>
      </c>
      <c r="BE137" s="260">
        <f t="shared" si="270"/>
        <v>5.1605707012062227</v>
      </c>
      <c r="BF137" s="260">
        <f t="shared" si="270"/>
        <v>5.1820095337641501</v>
      </c>
      <c r="BG137" s="260">
        <f t="shared" si="270"/>
        <v>5.2035374308011946</v>
      </c>
      <c r="BH137" s="260">
        <f t="shared" si="270"/>
        <v>5.2223240063357927</v>
      </c>
      <c r="BI137" s="260">
        <f t="shared" si="270"/>
        <v>5.2411784079262249</v>
      </c>
      <c r="BJ137" s="260">
        <f t="shared" si="270"/>
        <v>5.2601008804480855</v>
      </c>
      <c r="BK137" s="260">
        <f t="shared" si="270"/>
        <v>5.2790916696610548</v>
      </c>
      <c r="BL137" s="260">
        <f t="shared" si="270"/>
        <v>5.2981510222120916</v>
      </c>
      <c r="BM137" s="260">
        <f t="shared" si="270"/>
        <v>5.3113630812048802</v>
      </c>
      <c r="BN137" s="260">
        <f t="shared" si="270"/>
        <v>5.3246080872582748</v>
      </c>
      <c r="BO137" s="260">
        <f t="shared" si="270"/>
        <v>5.3378861225327325</v>
      </c>
      <c r="BP137" s="260">
        <f t="shared" si="270"/>
        <v>5.3511972693935945</v>
      </c>
      <c r="BQ137" s="260">
        <f t="shared" si="270"/>
        <v>5.3645416104115968</v>
      </c>
      <c r="BR137" s="260">
        <f t="shared" si="270"/>
        <v>5.3779717491778074</v>
      </c>
      <c r="BS137" s="260">
        <f t="shared" ref="BS137" si="271">+BS157*$C137</f>
        <v>5.3914355103185612</v>
      </c>
      <c r="BT137" s="260">
        <f t="shared" si="268"/>
        <v>5.4049329780075288</v>
      </c>
      <c r="BU137" s="260">
        <f t="shared" si="269"/>
        <v>5.4184642366291094</v>
      </c>
      <c r="BV137" s="260">
        <f t="shared" si="269"/>
        <v>5.4320293707789578</v>
      </c>
      <c r="BW137" s="260">
        <f t="shared" si="269"/>
        <v>5.4450858323773135</v>
      </c>
      <c r="BX137" s="260">
        <f t="shared" si="269"/>
        <v>5.458173676572823</v>
      </c>
      <c r="BY137" s="260">
        <f t="shared" si="269"/>
        <v>5.471292978796904</v>
      </c>
      <c r="BZ137" s="260">
        <f t="shared" si="269"/>
        <v>5.4844438146622805</v>
      </c>
      <c r="CA137" s="260">
        <f t="shared" si="269"/>
        <v>5.4976262599634209</v>
      </c>
      <c r="CB137" s="260">
        <f t="shared" si="269"/>
        <v>5.509165721372697</v>
      </c>
      <c r="CC137" s="260">
        <f t="shared" si="269"/>
        <v>5.5207294039936956</v>
      </c>
      <c r="CD137" s="260">
        <f t="shared" si="269"/>
        <v>5.5323173586664938</v>
      </c>
      <c r="CE137" s="260">
        <f t="shared" si="269"/>
        <v>5.5439296363378796</v>
      </c>
      <c r="CF137" s="260">
        <f t="shared" si="269"/>
        <v>5.5555662880615797</v>
      </c>
      <c r="CG137" s="260">
        <f t="shared" si="269"/>
        <v>5.5698816197819898</v>
      </c>
      <c r="CH137" s="260">
        <f t="shared" si="269"/>
        <v>5.5842338386011479</v>
      </c>
      <c r="CI137" s="260">
        <f t="shared" si="269"/>
        <v>5.598623039568059</v>
      </c>
      <c r="CJ137" s="260">
        <f t="shared" si="269"/>
        <v>5.6130493179766479</v>
      </c>
      <c r="CK137" s="260">
        <f t="shared" si="269"/>
        <v>5.6275127693663878</v>
      </c>
      <c r="CL137" s="260">
        <f t="shared" si="269"/>
        <v>5.6395580019552014</v>
      </c>
      <c r="CM137" s="260">
        <f t="shared" si="269"/>
        <v>5.6516290163830023</v>
      </c>
      <c r="CN137" s="260">
        <f t="shared" si="269"/>
        <v>5.6637258678337163</v>
      </c>
      <c r="CO137" s="260">
        <f t="shared" si="269"/>
        <v>5.6758486116093856</v>
      </c>
      <c r="CP137" s="260">
        <f t="shared" si="269"/>
        <v>5.6879973031304223</v>
      </c>
      <c r="CQ137" s="260">
        <f t="shared" si="269"/>
        <v>5.6991168854631553</v>
      </c>
      <c r="CR137" s="260">
        <f t="shared" si="269"/>
        <v>5.7102582056949531</v>
      </c>
      <c r="CS137" s="260">
        <f t="shared" si="269"/>
        <v>5.7214213063216786</v>
      </c>
      <c r="CT137" s="260">
        <f t="shared" si="269"/>
        <v>5.732606229922272</v>
      </c>
      <c r="CU137" s="260">
        <f t="shared" si="269"/>
        <v>5.7438130191589121</v>
      </c>
      <c r="CV137" s="260">
        <f t="shared" si="269"/>
        <v>5.7570440466225028</v>
      </c>
      <c r="CW137" s="260">
        <f t="shared" si="269"/>
        <v>5.7703055521130002</v>
      </c>
      <c r="CX137" s="260">
        <f t="shared" si="269"/>
        <v>5.7835976058373566</v>
      </c>
      <c r="CY137" s="260">
        <f t="shared" si="269"/>
        <v>5.796920278164249</v>
      </c>
      <c r="CZ137" s="449">
        <f t="shared" si="269"/>
        <v>5.8102736396244499</v>
      </c>
    </row>
    <row r="138" spans="1:104" ht="13" x14ac:dyDescent="0.3">
      <c r="A138" s="1478" t="s">
        <v>1087</v>
      </c>
      <c r="B138" s="260">
        <v>2016</v>
      </c>
      <c r="C138" s="874">
        <f t="shared" si="267"/>
        <v>1</v>
      </c>
      <c r="D138" s="1260" t="s">
        <v>268</v>
      </c>
      <c r="E138" s="1479" t="s">
        <v>1052</v>
      </c>
      <c r="F138" s="260">
        <v>22.7322030001394</v>
      </c>
      <c r="G138" s="260">
        <v>23.967615189707661</v>
      </c>
      <c r="H138" s="1069" t="e">
        <f t="shared" ref="H138:BS141" si="272">+H158*$C138</f>
        <v>#N/A</v>
      </c>
      <c r="I138" s="1069" t="e">
        <f t="shared" si="272"/>
        <v>#N/A</v>
      </c>
      <c r="J138" s="1069" t="e">
        <f t="shared" si="272"/>
        <v>#N/A</v>
      </c>
      <c r="K138" s="1069" t="e">
        <f t="shared" si="272"/>
        <v>#N/A</v>
      </c>
      <c r="L138" s="1069">
        <f t="shared" si="272"/>
        <v>2.2148742453355847</v>
      </c>
      <c r="M138" s="1069">
        <f t="shared" si="272"/>
        <v>2.3408877437334223</v>
      </c>
      <c r="N138" s="1069">
        <f t="shared" si="272"/>
        <v>2.3629142410275352</v>
      </c>
      <c r="O138" s="260">
        <f t="shared" si="272"/>
        <v>2.4181318326423913</v>
      </c>
      <c r="P138" s="260">
        <f t="shared" si="272"/>
        <v>2.3501923436687169</v>
      </c>
      <c r="Q138" s="260">
        <f t="shared" si="272"/>
        <v>2.2749877363600257</v>
      </c>
      <c r="R138" s="260">
        <f t="shared" si="272"/>
        <v>2.2671813119268305</v>
      </c>
      <c r="S138" s="260">
        <f t="shared" si="272"/>
        <v>2.0920368648072634</v>
      </c>
      <c r="T138" s="260">
        <f t="shared" si="272"/>
        <v>1.9706687398025258</v>
      </c>
      <c r="U138" s="260">
        <f t="shared" si="272"/>
        <v>2.067600203211962</v>
      </c>
      <c r="V138" s="260">
        <f t="shared" si="272"/>
        <v>2.1142782942327232</v>
      </c>
      <c r="W138" s="260">
        <f t="shared" si="272"/>
        <v>2.1573963846468813</v>
      </c>
      <c r="X138" s="260">
        <f t="shared" si="272"/>
        <v>2.1900363582596567</v>
      </c>
      <c r="Y138" s="260">
        <f t="shared" si="272"/>
        <v>2.1929897559939948</v>
      </c>
      <c r="Z138" s="260">
        <f t="shared" si="272"/>
        <v>2.2028650611910647</v>
      </c>
      <c r="AA138" s="260">
        <f t="shared" si="272"/>
        <v>2.2090827406317772</v>
      </c>
      <c r="AB138" s="260">
        <f t="shared" si="272"/>
        <v>2.2092997907220093</v>
      </c>
      <c r="AC138" s="260">
        <f t="shared" si="272"/>
        <v>2.2079918032786887</v>
      </c>
      <c r="AD138" s="260">
        <f t="shared" si="272"/>
        <v>2.2065492258230841</v>
      </c>
      <c r="AE138" s="260">
        <f t="shared" si="272"/>
        <v>2.1995552842692714</v>
      </c>
      <c r="AF138" s="260">
        <f t="shared" si="272"/>
        <v>2.1903510334996437</v>
      </c>
      <c r="AG138" s="260">
        <f t="shared" si="272"/>
        <v>2.1795345460335755</v>
      </c>
      <c r="AH138" s="260">
        <f t="shared" si="272"/>
        <v>2.1771697426487315</v>
      </c>
      <c r="AI138" s="260">
        <f t="shared" si="272"/>
        <v>2.177831318906295</v>
      </c>
      <c r="AJ138" s="260">
        <f t="shared" si="272"/>
        <v>2.1809505846135182</v>
      </c>
      <c r="AK138" s="260">
        <f t="shared" si="272"/>
        <v>2.1861806387528246</v>
      </c>
      <c r="AL138" s="260">
        <f t="shared" si="272"/>
        <v>2.1973402359685172</v>
      </c>
      <c r="AM138" s="260">
        <f t="shared" si="272"/>
        <v>2.2020565733003745</v>
      </c>
      <c r="AN138" s="260">
        <f t="shared" si="272"/>
        <v>2.2177912831167257</v>
      </c>
      <c r="AO138" s="260">
        <f t="shared" si="272"/>
        <v>2.2206593773221517</v>
      </c>
      <c r="AP138" s="260">
        <f t="shared" si="272"/>
        <v>2.2289385587115755</v>
      </c>
      <c r="AQ138" s="260">
        <f t="shared" si="272"/>
        <v>2.2351116907538557</v>
      </c>
      <c r="AR138" s="260">
        <f t="shared" si="272"/>
        <v>2.2481536525075447</v>
      </c>
      <c r="AS138" s="260">
        <f t="shared" si="272"/>
        <v>2.2492673374683427</v>
      </c>
      <c r="AT138" s="260">
        <f t="shared" si="272"/>
        <v>2.2496910116619402</v>
      </c>
      <c r="AU138" s="260">
        <f t="shared" si="272"/>
        <v>2.2544263053335558</v>
      </c>
      <c r="AV138" s="260">
        <f t="shared" si="272"/>
        <v>2.2540196918457411</v>
      </c>
      <c r="AW138" s="260">
        <f t="shared" si="272"/>
        <v>2.2546357728878843</v>
      </c>
      <c r="AX138" s="260">
        <f t="shared" si="272"/>
        <v>2.2490256441364247</v>
      </c>
      <c r="AY138" s="260">
        <f t="shared" si="272"/>
        <v>2.2531477002168603</v>
      </c>
      <c r="AZ138" s="260">
        <f t="shared" si="272"/>
        <v>2.2540841434009193</v>
      </c>
      <c r="BA138" s="260">
        <f t="shared" si="272"/>
        <v>2.2596705767276806</v>
      </c>
      <c r="BB138" s="260">
        <f t="shared" si="272"/>
        <v>2.2620458060993922</v>
      </c>
      <c r="BC138" s="260">
        <f t="shared" si="272"/>
        <v>2.2703711301923084</v>
      </c>
      <c r="BD138" s="260">
        <f t="shared" si="272"/>
        <v>2.2787270951418623</v>
      </c>
      <c r="BE138" s="260">
        <f t="shared" si="272"/>
        <v>2.2871138137198912</v>
      </c>
      <c r="BF138" s="260">
        <f t="shared" si="272"/>
        <v>2.2955313991132824</v>
      </c>
      <c r="BG138" s="260">
        <f t="shared" si="272"/>
        <v>2.3039799649255008</v>
      </c>
      <c r="BH138" s="260">
        <f t="shared" si="272"/>
        <v>2.3125787529279784</v>
      </c>
      <c r="BI138" s="260">
        <f t="shared" si="272"/>
        <v>2.3212096328567045</v>
      </c>
      <c r="BJ138" s="260">
        <f t="shared" si="272"/>
        <v>2.3298727244834101</v>
      </c>
      <c r="BK138" s="260">
        <f t="shared" si="272"/>
        <v>2.338568148026833</v>
      </c>
      <c r="BL138" s="260">
        <f t="shared" si="272"/>
        <v>2.3472960241543843</v>
      </c>
      <c r="BM138" s="260">
        <f t="shared" si="272"/>
        <v>2.3559838582312191</v>
      </c>
      <c r="BN138" s="260">
        <f t="shared" si="272"/>
        <v>2.3647038478010849</v>
      </c>
      <c r="BO138" s="260">
        <f t="shared" si="272"/>
        <v>2.3734561118781943</v>
      </c>
      <c r="BP138" s="260">
        <f t="shared" si="272"/>
        <v>2.3822407699172565</v>
      </c>
      <c r="BQ138" s="260">
        <f t="shared" si="272"/>
        <v>2.3910579418151077</v>
      </c>
      <c r="BR138" s="260">
        <f t="shared" si="272"/>
        <v>2.3997099382358895</v>
      </c>
      <c r="BS138" s="260">
        <f t="shared" si="272"/>
        <v>2.4083932417365861</v>
      </c>
      <c r="BT138" s="260">
        <f t="shared" si="268"/>
        <v>2.4171079656012542</v>
      </c>
      <c r="BU138" s="260">
        <f t="shared" si="269"/>
        <v>2.4258542235238663</v>
      </c>
      <c r="BV138" s="260">
        <f t="shared" si="269"/>
        <v>2.434632129609795</v>
      </c>
      <c r="BW138" s="260">
        <f t="shared" si="269"/>
        <v>2.4428635118796533</v>
      </c>
      <c r="BX138" s="260">
        <f t="shared" si="269"/>
        <v>2.4511227240845761</v>
      </c>
      <c r="BY138" s="260">
        <f t="shared" si="269"/>
        <v>2.4594098603163279</v>
      </c>
      <c r="BZ138" s="260">
        <f t="shared" si="269"/>
        <v>2.467725014984794</v>
      </c>
      <c r="CA138" s="260">
        <f t="shared" si="269"/>
        <v>2.476068282819055</v>
      </c>
      <c r="CB138" s="260">
        <f t="shared" si="269"/>
        <v>2.4831576550549128</v>
      </c>
      <c r="CC138" s="260">
        <f t="shared" si="269"/>
        <v>2.4902673252765117</v>
      </c>
      <c r="CD138" s="260">
        <f t="shared" si="269"/>
        <v>2.4973973516001715</v>
      </c>
      <c r="CE138" s="260">
        <f t="shared" si="269"/>
        <v>2.5045477923086086</v>
      </c>
      <c r="CF138" s="260">
        <f t="shared" si="269"/>
        <v>2.5117187058514112</v>
      </c>
      <c r="CG138" s="260">
        <f t="shared" si="269"/>
        <v>2.5171937058097216</v>
      </c>
      <c r="CH138" s="260">
        <f t="shared" si="269"/>
        <v>2.5226806400759916</v>
      </c>
      <c r="CI138" s="260">
        <f t="shared" si="269"/>
        <v>2.5281795346644143</v>
      </c>
      <c r="CJ138" s="260">
        <f t="shared" si="269"/>
        <v>2.5336904156458884</v>
      </c>
      <c r="CK138" s="260">
        <f t="shared" si="269"/>
        <v>2.539213309148141</v>
      </c>
      <c r="CL138" s="260">
        <f t="shared" si="269"/>
        <v>2.5429573704375228</v>
      </c>
      <c r="CM138" s="260">
        <f t="shared" si="269"/>
        <v>2.5467069523323964</v>
      </c>
      <c r="CN138" s="260">
        <f t="shared" si="269"/>
        <v>2.5504620629728754</v>
      </c>
      <c r="CO138" s="260">
        <f t="shared" si="269"/>
        <v>2.554222710511076</v>
      </c>
      <c r="CP138" s="260">
        <f t="shared" si="269"/>
        <v>2.5579889031111347</v>
      </c>
      <c r="CQ138" s="260">
        <f t="shared" si="269"/>
        <v>2.5592501421168059</v>
      </c>
      <c r="CR138" s="260">
        <f t="shared" si="269"/>
        <v>2.5605120029875006</v>
      </c>
      <c r="CS138" s="260">
        <f t="shared" si="269"/>
        <v>2.5617744860298348</v>
      </c>
      <c r="CT138" s="260">
        <f t="shared" si="269"/>
        <v>2.5630375915505756</v>
      </c>
      <c r="CU138" s="260">
        <f t="shared" si="269"/>
        <v>2.564301319856642</v>
      </c>
      <c r="CV138" s="260">
        <f t="shared" si="269"/>
        <v>2.5624850697467836</v>
      </c>
      <c r="CW138" s="260">
        <f t="shared" si="269"/>
        <v>2.5606701060553489</v>
      </c>
      <c r="CX138" s="260">
        <f t="shared" si="269"/>
        <v>2.5588564278711901</v>
      </c>
      <c r="CY138" s="260">
        <f t="shared" si="269"/>
        <v>2.5570440342838041</v>
      </c>
      <c r="CZ138" s="449">
        <f t="shared" si="269"/>
        <v>2.555232924383334</v>
      </c>
    </row>
    <row r="139" spans="1:104" ht="13" x14ac:dyDescent="0.3">
      <c r="A139" s="1477" t="s">
        <v>683</v>
      </c>
      <c r="B139" s="260">
        <v>2016</v>
      </c>
      <c r="C139" s="874">
        <f t="shared" si="267"/>
        <v>1</v>
      </c>
      <c r="D139" s="1260" t="s">
        <v>296</v>
      </c>
      <c r="E139" s="874" t="s">
        <v>1071</v>
      </c>
      <c r="F139" s="878"/>
      <c r="G139" s="874"/>
      <c r="H139" s="1069">
        <f t="shared" si="272"/>
        <v>28.373013628420669</v>
      </c>
      <c r="I139" s="1069">
        <f t="shared" si="272"/>
        <v>29.17093293229123</v>
      </c>
      <c r="J139" s="1069">
        <f t="shared" si="272"/>
        <v>30.878569780545078</v>
      </c>
      <c r="K139" s="1069">
        <f t="shared" si="272"/>
        <v>30.682595180991225</v>
      </c>
      <c r="L139" s="1069">
        <f t="shared" si="272"/>
        <v>31.992353762541459</v>
      </c>
      <c r="M139" s="1069">
        <f t="shared" si="272"/>
        <v>31.4429334181984</v>
      </c>
      <c r="N139" s="1069">
        <f t="shared" si="272"/>
        <v>31.156600892671783</v>
      </c>
      <c r="O139" s="260">
        <f t="shared" si="272"/>
        <v>30.676058322376605</v>
      </c>
      <c r="P139" s="260">
        <f t="shared" si="272"/>
        <v>29.679126186318804</v>
      </c>
      <c r="Q139" s="260">
        <f t="shared" si="272"/>
        <v>29.700131988890092</v>
      </c>
      <c r="R139" s="260">
        <f t="shared" si="272"/>
        <v>30.54196479432273</v>
      </c>
      <c r="S139" s="260">
        <f t="shared" si="272"/>
        <v>29.932211922183079</v>
      </c>
      <c r="T139" s="260">
        <f t="shared" si="272"/>
        <v>28.972214109999999</v>
      </c>
      <c r="U139" s="260">
        <f t="shared" si="272"/>
        <v>29.128232055928784</v>
      </c>
      <c r="V139" s="260">
        <f t="shared" si="272"/>
        <v>28.995688380521983</v>
      </c>
      <c r="W139" s="260">
        <f t="shared" si="272"/>
        <v>29.39475155821113</v>
      </c>
      <c r="X139" s="260">
        <f t="shared" si="272"/>
        <v>29.885964346916182</v>
      </c>
      <c r="Y139" s="260">
        <f t="shared" si="272"/>
        <v>30.089071101439163</v>
      </c>
      <c r="Z139" s="260">
        <f t="shared" si="272"/>
        <v>31.081689502737298</v>
      </c>
      <c r="AA139" s="260">
        <f t="shared" si="272"/>
        <v>31.400245105473072</v>
      </c>
      <c r="AB139" s="260">
        <f t="shared" si="272"/>
        <v>31.337976372818122</v>
      </c>
      <c r="AC139" s="260">
        <f t="shared" si="272"/>
        <v>31.854564117923594</v>
      </c>
      <c r="AD139" s="260">
        <f t="shared" si="272"/>
        <v>32.189964324168578</v>
      </c>
      <c r="AE139" s="260">
        <f t="shared" si="272"/>
        <v>32.274661250208517</v>
      </c>
      <c r="AF139" s="260">
        <f t="shared" si="272"/>
        <v>32.347049824843424</v>
      </c>
      <c r="AG139" s="260">
        <f t="shared" si="272"/>
        <v>32.398275541772193</v>
      </c>
      <c r="AH139" s="260">
        <f t="shared" si="272"/>
        <v>32.473329377777105</v>
      </c>
      <c r="AI139" s="260">
        <f t="shared" si="272"/>
        <v>32.424485524938959</v>
      </c>
      <c r="AJ139" s="260">
        <f t="shared" si="272"/>
        <v>32.33705604252286</v>
      </c>
      <c r="AK139" s="260">
        <f t="shared" si="272"/>
        <v>32.213589610409308</v>
      </c>
      <c r="AL139" s="260">
        <f t="shared" si="272"/>
        <v>32.123147965605618</v>
      </c>
      <c r="AM139" s="260">
        <f t="shared" si="272"/>
        <v>32.189031672252469</v>
      </c>
      <c r="AN139" s="260">
        <f t="shared" si="272"/>
        <v>32.20134665837643</v>
      </c>
      <c r="AO139" s="260">
        <f t="shared" si="272"/>
        <v>32.137342472816606</v>
      </c>
      <c r="AP139" s="260">
        <f t="shared" si="272"/>
        <v>32.106067355666433</v>
      </c>
      <c r="AQ139" s="260">
        <f t="shared" si="272"/>
        <v>32.055398007309563</v>
      </c>
      <c r="AR139" s="260">
        <f t="shared" si="272"/>
        <v>31.985796962436115</v>
      </c>
      <c r="AS139" s="260">
        <f t="shared" si="272"/>
        <v>31.883579639374592</v>
      </c>
      <c r="AT139" s="260">
        <f t="shared" si="272"/>
        <v>31.88043762605966</v>
      </c>
      <c r="AU139" s="260">
        <f t="shared" si="272"/>
        <v>31.921825950470875</v>
      </c>
      <c r="AV139" s="260">
        <f t="shared" si="272"/>
        <v>31.967798865652629</v>
      </c>
      <c r="AW139" s="260">
        <f t="shared" si="272"/>
        <v>32.011030694105337</v>
      </c>
      <c r="AX139" s="260">
        <f t="shared" si="272"/>
        <v>32.04019407500644</v>
      </c>
      <c r="AY139" s="260">
        <f t="shared" si="272"/>
        <v>32.084258086774547</v>
      </c>
      <c r="AZ139" s="260">
        <f t="shared" si="272"/>
        <v>32.12290532445671</v>
      </c>
      <c r="BA139" s="260">
        <f t="shared" si="272"/>
        <v>32.1438833578502</v>
      </c>
      <c r="BB139" s="260">
        <f t="shared" si="272"/>
        <v>32.210559439498944</v>
      </c>
      <c r="BC139" s="260">
        <f t="shared" si="272"/>
        <v>32.212518425109167</v>
      </c>
      <c r="BD139" s="260">
        <f t="shared" si="272"/>
        <v>32.214477529861206</v>
      </c>
      <c r="BE139" s="260">
        <f t="shared" si="272"/>
        <v>32.216436753762309</v>
      </c>
      <c r="BF139" s="260">
        <f t="shared" si="272"/>
        <v>32.218396096819724</v>
      </c>
      <c r="BG139" s="260">
        <f t="shared" si="272"/>
        <v>32.220355559040698</v>
      </c>
      <c r="BH139" s="260">
        <f t="shared" si="272"/>
        <v>32.225068562587758</v>
      </c>
      <c r="BI139" s="260">
        <f t="shared" si="272"/>
        <v>32.229782255525173</v>
      </c>
      <c r="BJ139" s="260">
        <f t="shared" si="272"/>
        <v>32.234496637953782</v>
      </c>
      <c r="BK139" s="260">
        <f t="shared" si="272"/>
        <v>32.239211709974448</v>
      </c>
      <c r="BL139" s="260">
        <f t="shared" si="272"/>
        <v>32.243927471688032</v>
      </c>
      <c r="BM139" s="260">
        <f t="shared" si="272"/>
        <v>32.234738373564198</v>
      </c>
      <c r="BN139" s="260">
        <f t="shared" si="272"/>
        <v>32.225551894213289</v>
      </c>
      <c r="BO139" s="260">
        <f t="shared" si="272"/>
        <v>32.216368032888994</v>
      </c>
      <c r="BP139" s="260">
        <f t="shared" si="272"/>
        <v>32.207186788845206</v>
      </c>
      <c r="BQ139" s="260">
        <f t="shared" si="272"/>
        <v>32.198008161336034</v>
      </c>
      <c r="BR139" s="260">
        <f t="shared" si="272"/>
        <v>32.188328675270981</v>
      </c>
      <c r="BS139" s="260">
        <f t="shared" si="272"/>
        <v>32.178652099089362</v>
      </c>
      <c r="BT139" s="260">
        <f t="shared" si="268"/>
        <v>32.168978431916393</v>
      </c>
      <c r="BU139" s="260">
        <f t="shared" si="269"/>
        <v>32.15930767287756</v>
      </c>
      <c r="BV139" s="260">
        <f t="shared" si="269"/>
        <v>32.14963982109861</v>
      </c>
      <c r="BW139" s="260">
        <f t="shared" si="269"/>
        <v>32.135484213462775</v>
      </c>
      <c r="BX139" s="260">
        <f t="shared" si="269"/>
        <v>32.121334838594358</v>
      </c>
      <c r="BY139" s="260">
        <f t="shared" si="269"/>
        <v>32.107191693749044</v>
      </c>
      <c r="BZ139" s="260">
        <f t="shared" si="269"/>
        <v>32.093054776183735</v>
      </c>
      <c r="CA139" s="260">
        <f t="shared" si="269"/>
        <v>32.078924083156537</v>
      </c>
      <c r="CB139" s="260">
        <f t="shared" si="269"/>
        <v>32.05322936592912</v>
      </c>
      <c r="CC139" s="260">
        <f t="shared" si="269"/>
        <v>32.027555229768936</v>
      </c>
      <c r="CD139" s="260">
        <f t="shared" si="269"/>
        <v>32.001901658190874</v>
      </c>
      <c r="CE139" s="260">
        <f t="shared" si="269"/>
        <v>31.976268634723027</v>
      </c>
      <c r="CF139" s="260">
        <f t="shared" si="269"/>
        <v>31.950656142906677</v>
      </c>
      <c r="CG139" s="260">
        <f t="shared" si="269"/>
        <v>31.915373500092528</v>
      </c>
      <c r="CH139" s="260">
        <f t="shared" si="269"/>
        <v>31.880129819385399</v>
      </c>
      <c r="CI139" s="260">
        <f t="shared" si="269"/>
        <v>31.844925057760001</v>
      </c>
      <c r="CJ139" s="260">
        <f t="shared" si="269"/>
        <v>31.809759172238564</v>
      </c>
      <c r="CK139" s="260">
        <f t="shared" si="269"/>
        <v>31.774632119890772</v>
      </c>
      <c r="CL139" s="260">
        <f t="shared" si="269"/>
        <v>31.736335048107414</v>
      </c>
      <c r="CM139" s="260">
        <f t="shared" si="269"/>
        <v>31.698084134709202</v>
      </c>
      <c r="CN139" s="260">
        <f t="shared" si="269"/>
        <v>31.659879324062725</v>
      </c>
      <c r="CO139" s="260">
        <f t="shared" si="269"/>
        <v>31.621720560601634</v>
      </c>
      <c r="CP139" s="260">
        <f t="shared" si="269"/>
        <v>31.583607788826551</v>
      </c>
      <c r="CQ139" s="260">
        <f t="shared" si="269"/>
        <v>31.539463246970023</v>
      </c>
      <c r="CR139" s="260">
        <f t="shared" si="269"/>
        <v>31.495380406125889</v>
      </c>
      <c r="CS139" s="260">
        <f t="shared" si="269"/>
        <v>31.451359180054389</v>
      </c>
      <c r="CT139" s="260">
        <f t="shared" si="269"/>
        <v>31.407399482636293</v>
      </c>
      <c r="CU139" s="260">
        <f t="shared" si="269"/>
        <v>31.363501227872742</v>
      </c>
      <c r="CV139" s="260">
        <f t="shared" si="269"/>
        <v>31.320648715953933</v>
      </c>
      <c r="CW139" s="260">
        <f t="shared" si="269"/>
        <v>31.277854754187555</v>
      </c>
      <c r="CX139" s="260">
        <f t="shared" si="269"/>
        <v>31.235119262575491</v>
      </c>
      <c r="CY139" s="260">
        <f t="shared" si="269"/>
        <v>31.192442161228929</v>
      </c>
      <c r="CZ139" s="449">
        <f t="shared" si="269"/>
        <v>31.1498233703682</v>
      </c>
    </row>
    <row r="140" spans="1:104" ht="13" x14ac:dyDescent="0.3">
      <c r="A140" s="1477" t="s">
        <v>698</v>
      </c>
      <c r="B140" s="260">
        <v>2016</v>
      </c>
      <c r="C140" s="874">
        <f t="shared" si="267"/>
        <v>1</v>
      </c>
      <c r="D140" s="1260" t="s">
        <v>296</v>
      </c>
      <c r="E140" s="874" t="s">
        <v>1071</v>
      </c>
      <c r="F140" s="885"/>
      <c r="G140" s="1476"/>
      <c r="H140" s="1069">
        <f t="shared" si="272"/>
        <v>18.232352698801531</v>
      </c>
      <c r="I140" s="1069">
        <f t="shared" si="272"/>
        <v>19.279059481202857</v>
      </c>
      <c r="J140" s="1069">
        <f t="shared" si="272"/>
        <v>20.106975671052609</v>
      </c>
      <c r="K140" s="1069">
        <f t="shared" si="272"/>
        <v>20.31728323383771</v>
      </c>
      <c r="L140" s="1069">
        <f t="shared" si="272"/>
        <v>21.702415417864383</v>
      </c>
      <c r="M140" s="1069">
        <f t="shared" si="272"/>
        <v>21.137326303769196</v>
      </c>
      <c r="N140" s="1069">
        <f t="shared" si="272"/>
        <v>20.699724047437488</v>
      </c>
      <c r="O140" s="260">
        <f t="shared" si="272"/>
        <v>20.430734156114106</v>
      </c>
      <c r="P140" s="260">
        <f t="shared" si="272"/>
        <v>19.619402543384187</v>
      </c>
      <c r="Q140" s="260">
        <f t="shared" si="272"/>
        <v>19.94482547791937</v>
      </c>
      <c r="R140" s="260">
        <f t="shared" si="272"/>
        <v>20.190684361237558</v>
      </c>
      <c r="S140" s="260">
        <f t="shared" si="272"/>
        <v>19.439058682545589</v>
      </c>
      <c r="T140" s="260">
        <f t="shared" si="272"/>
        <v>18.777772519999996</v>
      </c>
      <c r="U140" s="260">
        <f t="shared" si="272"/>
        <v>19.537493744407882</v>
      </c>
      <c r="V140" s="260">
        <f t="shared" si="272"/>
        <v>19.094688812726531</v>
      </c>
      <c r="W140" s="260">
        <f t="shared" si="272"/>
        <v>19.340880484069093</v>
      </c>
      <c r="X140" s="260">
        <f t="shared" si="272"/>
        <v>19.700726786066333</v>
      </c>
      <c r="Y140" s="260">
        <f t="shared" si="272"/>
        <v>19.809231927025674</v>
      </c>
      <c r="Z140" s="260">
        <f t="shared" si="272"/>
        <v>20.448628319255093</v>
      </c>
      <c r="AA140" s="260">
        <f t="shared" si="272"/>
        <v>20.513438149254636</v>
      </c>
      <c r="AB140" s="260">
        <f t="shared" si="272"/>
        <v>20.459361398826221</v>
      </c>
      <c r="AC140" s="260">
        <f t="shared" si="272"/>
        <v>20.950622526197662</v>
      </c>
      <c r="AD140" s="260">
        <f t="shared" si="272"/>
        <v>21.163384692376518</v>
      </c>
      <c r="AE140" s="260">
        <f t="shared" si="272"/>
        <v>21.285322295688569</v>
      </c>
      <c r="AF140" s="260">
        <f t="shared" si="272"/>
        <v>21.423623959296947</v>
      </c>
      <c r="AG140" s="260">
        <f t="shared" si="272"/>
        <v>21.53228264660833</v>
      </c>
      <c r="AH140" s="260">
        <f t="shared" si="272"/>
        <v>21.607771530610695</v>
      </c>
      <c r="AI140" s="260">
        <f t="shared" si="272"/>
        <v>21.635145433038627</v>
      </c>
      <c r="AJ140" s="260">
        <f t="shared" si="272"/>
        <v>21.585785019942069</v>
      </c>
      <c r="AK140" s="260">
        <f t="shared" si="272"/>
        <v>21.508628925857963</v>
      </c>
      <c r="AL140" s="260">
        <f t="shared" si="272"/>
        <v>21.446118499871098</v>
      </c>
      <c r="AM140" s="260">
        <f t="shared" si="272"/>
        <v>21.521952389257063</v>
      </c>
      <c r="AN140" s="260">
        <f t="shared" si="272"/>
        <v>21.600204159779199</v>
      </c>
      <c r="AO140" s="260">
        <f t="shared" si="272"/>
        <v>21.583872325260458</v>
      </c>
      <c r="AP140" s="260">
        <f t="shared" si="272"/>
        <v>21.588666383585327</v>
      </c>
      <c r="AQ140" s="260">
        <f t="shared" si="272"/>
        <v>21.605374501448264</v>
      </c>
      <c r="AR140" s="260">
        <f t="shared" si="272"/>
        <v>21.554715579078266</v>
      </c>
      <c r="AS140" s="260">
        <f t="shared" si="272"/>
        <v>21.491324631109631</v>
      </c>
      <c r="AT140" s="260">
        <f t="shared" si="272"/>
        <v>21.516251270074765</v>
      </c>
      <c r="AU140" s="260">
        <f t="shared" si="272"/>
        <v>21.58191413536343</v>
      </c>
      <c r="AV140" s="260">
        <f t="shared" si="272"/>
        <v>21.663232093841465</v>
      </c>
      <c r="AW140" s="260">
        <f t="shared" si="272"/>
        <v>21.742367229796333</v>
      </c>
      <c r="AX140" s="260">
        <f t="shared" si="272"/>
        <v>21.822824570449338</v>
      </c>
      <c r="AY140" s="260">
        <f t="shared" si="272"/>
        <v>21.895024529503647</v>
      </c>
      <c r="AZ140" s="260">
        <f t="shared" si="272"/>
        <v>21.976239175929997</v>
      </c>
      <c r="BA140" s="260">
        <f t="shared" si="272"/>
        <v>22.046603213478718</v>
      </c>
      <c r="BB140" s="260">
        <f t="shared" si="272"/>
        <v>22.114819497732821</v>
      </c>
      <c r="BC140" s="260">
        <f t="shared" si="272"/>
        <v>22.13487665280584</v>
      </c>
      <c r="BD140" s="260">
        <f t="shared" si="272"/>
        <v>22.15495199882406</v>
      </c>
      <c r="BE140" s="260">
        <f t="shared" si="272"/>
        <v>22.175045552285859</v>
      </c>
      <c r="BF140" s="260">
        <f t="shared" si="272"/>
        <v>22.195157329704575</v>
      </c>
      <c r="BG140" s="260">
        <f t="shared" si="272"/>
        <v>22.215287347608523</v>
      </c>
      <c r="BH140" s="260">
        <f t="shared" si="272"/>
        <v>22.237407284551185</v>
      </c>
      <c r="BI140" s="260">
        <f t="shared" si="272"/>
        <v>22.259549246489641</v>
      </c>
      <c r="BJ140" s="260">
        <f t="shared" si="272"/>
        <v>22.281713255354351</v>
      </c>
      <c r="BK140" s="260">
        <f t="shared" si="272"/>
        <v>22.303899333097611</v>
      </c>
      <c r="BL140" s="260">
        <f t="shared" si="272"/>
        <v>22.326107501693581</v>
      </c>
      <c r="BM140" s="260">
        <f t="shared" si="272"/>
        <v>22.336823207612067</v>
      </c>
      <c r="BN140" s="260">
        <f t="shared" si="272"/>
        <v>22.347544056673097</v>
      </c>
      <c r="BO140" s="260">
        <f t="shared" si="272"/>
        <v>22.358270051345187</v>
      </c>
      <c r="BP140" s="260">
        <f t="shared" si="272"/>
        <v>22.369001194098043</v>
      </c>
      <c r="BQ140" s="260">
        <f t="shared" si="272"/>
        <v>22.379737487402554</v>
      </c>
      <c r="BR140" s="260">
        <f t="shared" si="272"/>
        <v>22.390100389733625</v>
      </c>
      <c r="BS140" s="260">
        <f t="shared" si="272"/>
        <v>22.400468090590362</v>
      </c>
      <c r="BT140" s="260">
        <f t="shared" si="268"/>
        <v>22.410840592194713</v>
      </c>
      <c r="BU140" s="260">
        <f t="shared" si="269"/>
        <v>22.421217896769658</v>
      </c>
      <c r="BV140" s="260">
        <f t="shared" si="269"/>
        <v>22.431600006539206</v>
      </c>
      <c r="BW140" s="260">
        <f t="shared" si="269"/>
        <v>22.438377931004013</v>
      </c>
      <c r="BX140" s="260">
        <f t="shared" si="269"/>
        <v>22.44515790348412</v>
      </c>
      <c r="BY140" s="260">
        <f t="shared" si="269"/>
        <v>22.451939924598356</v>
      </c>
      <c r="BZ140" s="260">
        <f t="shared" si="269"/>
        <v>22.458723994965737</v>
      </c>
      <c r="CA140" s="260">
        <f t="shared" si="269"/>
        <v>22.465510115205461</v>
      </c>
      <c r="CB140" s="260">
        <f t="shared" si="269"/>
        <v>22.462969438648798</v>
      </c>
      <c r="CC140" s="260">
        <f t="shared" si="269"/>
        <v>22.46042904942313</v>
      </c>
      <c r="CD140" s="260">
        <f t="shared" si="269"/>
        <v>22.45788894749596</v>
      </c>
      <c r="CE140" s="260">
        <f t="shared" si="269"/>
        <v>22.455349132834797</v>
      </c>
      <c r="CF140" s="260">
        <f t="shared" si="269"/>
        <v>22.452809605407158</v>
      </c>
      <c r="CG140" s="260">
        <f t="shared" si="269"/>
        <v>22.442624812220661</v>
      </c>
      <c r="CH140" s="260">
        <f t="shared" si="269"/>
        <v>22.432444638946507</v>
      </c>
      <c r="CI140" s="260">
        <f t="shared" si="269"/>
        <v>22.422269083489063</v>
      </c>
      <c r="CJ140" s="260">
        <f t="shared" si="269"/>
        <v>22.412098143753649</v>
      </c>
      <c r="CK140" s="260">
        <f t="shared" si="269"/>
        <v>22.401931817646531</v>
      </c>
      <c r="CL140" s="260">
        <f t="shared" si="269"/>
        <v>22.389459823741635</v>
      </c>
      <c r="CM140" s="260">
        <f t="shared" si="269"/>
        <v>22.376994773462549</v>
      </c>
      <c r="CN140" s="260">
        <f t="shared" si="269"/>
        <v>22.364536662943497</v>
      </c>
      <c r="CO140" s="260">
        <f t="shared" si="269"/>
        <v>22.352085488320853</v>
      </c>
      <c r="CP140" s="260">
        <f t="shared" si="269"/>
        <v>22.339641245733144</v>
      </c>
      <c r="CQ140" s="260">
        <f t="shared" si="269"/>
        <v>22.322592014179389</v>
      </c>
      <c r="CR140" s="260">
        <f t="shared" si="269"/>
        <v>22.305555794307125</v>
      </c>
      <c r="CS140" s="260">
        <f t="shared" si="269"/>
        <v>22.288532576186064</v>
      </c>
      <c r="CT140" s="260">
        <f t="shared" si="269"/>
        <v>22.271522349893491</v>
      </c>
      <c r="CU140" s="260">
        <f t="shared" si="269"/>
        <v>22.254525105514261</v>
      </c>
      <c r="CV140" s="260">
        <f t="shared" si="269"/>
        <v>22.238544472899552</v>
      </c>
      <c r="CW140" s="260">
        <f t="shared" si="269"/>
        <v>22.222575315731635</v>
      </c>
      <c r="CX140" s="260">
        <f t="shared" si="269"/>
        <v>22.206617625770171</v>
      </c>
      <c r="CY140" s="260">
        <f t="shared" si="269"/>
        <v>22.190671394780733</v>
      </c>
      <c r="CZ140" s="449">
        <f t="shared" ref="CZ140" si="273">+CZ160*$C140</f>
        <v>22.174736614534808</v>
      </c>
    </row>
    <row r="141" spans="1:104" ht="13.5" thickBot="1" x14ac:dyDescent="0.35">
      <c r="A141" s="1480" t="s">
        <v>684</v>
      </c>
      <c r="B141" s="443">
        <v>2016</v>
      </c>
      <c r="C141" s="1393">
        <f t="shared" si="267"/>
        <v>1</v>
      </c>
      <c r="D141" s="1481" t="s">
        <v>296</v>
      </c>
      <c r="E141" s="1393" t="s">
        <v>1071</v>
      </c>
      <c r="F141" s="1394"/>
      <c r="G141" s="1032"/>
      <c r="H141" s="1395">
        <f t="shared" si="272"/>
        <v>31.081820315099751</v>
      </c>
      <c r="I141" s="1395">
        <f t="shared" si="272"/>
        <v>31.795307521355493</v>
      </c>
      <c r="J141" s="1395">
        <f t="shared" si="272"/>
        <v>33.946842042036877</v>
      </c>
      <c r="K141" s="1395">
        <f t="shared" si="272"/>
        <v>33.862138723062856</v>
      </c>
      <c r="L141" s="1395">
        <f t="shared" si="272"/>
        <v>35.110516897292094</v>
      </c>
      <c r="M141" s="1395">
        <f t="shared" si="272"/>
        <v>35.620882248372396</v>
      </c>
      <c r="N141" s="1395">
        <f t="shared" si="272"/>
        <v>35.284315436843215</v>
      </c>
      <c r="O141" s="443">
        <f t="shared" si="272"/>
        <v>35.109707376782602</v>
      </c>
      <c r="P141" s="443">
        <f t="shared" si="272"/>
        <v>34.944303180720262</v>
      </c>
      <c r="Q141" s="443">
        <f t="shared" si="272"/>
        <v>35.113313940081568</v>
      </c>
      <c r="R141" s="443">
        <f t="shared" si="272"/>
        <v>35.603854676435802</v>
      </c>
      <c r="S141" s="443">
        <f t="shared" si="272"/>
        <v>35.586699324775935</v>
      </c>
      <c r="T141" s="443">
        <f t="shared" si="272"/>
        <v>34.861101349999998</v>
      </c>
      <c r="U141" s="443">
        <f t="shared" si="272"/>
        <v>34.664653819323334</v>
      </c>
      <c r="V141" s="443">
        <f t="shared" si="272"/>
        <v>34.410290069910978</v>
      </c>
      <c r="W141" s="443">
        <f t="shared" si="272"/>
        <v>34.908531869398402</v>
      </c>
      <c r="X141" s="443">
        <f t="shared" si="272"/>
        <v>35.616671532127199</v>
      </c>
      <c r="Y141" s="443">
        <f t="shared" si="272"/>
        <v>35.947520321196222</v>
      </c>
      <c r="Z141" s="443">
        <f t="shared" si="272"/>
        <v>36.987705865849776</v>
      </c>
      <c r="AA141" s="443">
        <f t="shared" si="272"/>
        <v>37.546039262370911</v>
      </c>
      <c r="AB141" s="443">
        <f t="shared" si="272"/>
        <v>37.510823122184988</v>
      </c>
      <c r="AC141" s="443">
        <f t="shared" si="272"/>
        <v>38.008797637281816</v>
      </c>
      <c r="AD141" s="443">
        <f t="shared" si="272"/>
        <v>38.419808048103611</v>
      </c>
      <c r="AE141" s="443">
        <f t="shared" si="272"/>
        <v>38.480927078752217</v>
      </c>
      <c r="AF141" s="443">
        <f t="shared" si="272"/>
        <v>38.529894147798792</v>
      </c>
      <c r="AG141" s="443">
        <f t="shared" si="272"/>
        <v>38.610432052895767</v>
      </c>
      <c r="AH141" s="443">
        <f t="shared" si="272"/>
        <v>38.669048846696292</v>
      </c>
      <c r="AI141" s="443">
        <f t="shared" si="272"/>
        <v>38.631731396248163</v>
      </c>
      <c r="AJ141" s="443">
        <f t="shared" si="272"/>
        <v>38.567872226687491</v>
      </c>
      <c r="AK141" s="443">
        <f t="shared" si="272"/>
        <v>38.465126969563705</v>
      </c>
      <c r="AL141" s="443">
        <f t="shared" si="272"/>
        <v>38.413723063041203</v>
      </c>
      <c r="AM141" s="443">
        <f t="shared" si="272"/>
        <v>38.515467425425761</v>
      </c>
      <c r="AN141" s="443">
        <f t="shared" si="272"/>
        <v>38.527084818246614</v>
      </c>
      <c r="AO141" s="443">
        <f t="shared" si="272"/>
        <v>38.521472793861179</v>
      </c>
      <c r="AP141" s="443">
        <f t="shared" si="272"/>
        <v>38.546973809920992</v>
      </c>
      <c r="AQ141" s="443">
        <f t="shared" si="272"/>
        <v>38.560691565187064</v>
      </c>
      <c r="AR141" s="443">
        <f t="shared" si="272"/>
        <v>38.568356561168315</v>
      </c>
      <c r="AS141" s="443">
        <f t="shared" si="272"/>
        <v>38.569368829711408</v>
      </c>
      <c r="AT141" s="443">
        <f t="shared" si="272"/>
        <v>38.651143635977618</v>
      </c>
      <c r="AU141" s="443">
        <f t="shared" si="272"/>
        <v>38.781520601750053</v>
      </c>
      <c r="AV141" s="443">
        <f t="shared" si="272"/>
        <v>38.929117506558889</v>
      </c>
      <c r="AW141" s="443">
        <f t="shared" si="272"/>
        <v>39.08758776785308</v>
      </c>
      <c r="AX141" s="443">
        <f t="shared" si="272"/>
        <v>39.228047610742941</v>
      </c>
      <c r="AY141" s="443">
        <f t="shared" si="272"/>
        <v>39.393119417357944</v>
      </c>
      <c r="AZ141" s="443">
        <f t="shared" si="272"/>
        <v>39.595269824540118</v>
      </c>
      <c r="BA141" s="443">
        <f t="shared" si="272"/>
        <v>39.769550621009692</v>
      </c>
      <c r="BB141" s="443">
        <f t="shared" si="272"/>
        <v>39.980674011616443</v>
      </c>
      <c r="BC141" s="443">
        <f t="shared" si="272"/>
        <v>39.983105560972888</v>
      </c>
      <c r="BD141" s="443">
        <f t="shared" si="272"/>
        <v>39.985537258211586</v>
      </c>
      <c r="BE141" s="443">
        <f t="shared" si="272"/>
        <v>39.987969103341534</v>
      </c>
      <c r="BF141" s="443">
        <f t="shared" si="272"/>
        <v>39.990401096371727</v>
      </c>
      <c r="BG141" s="443">
        <f t="shared" si="272"/>
        <v>39.99283323731116</v>
      </c>
      <c r="BH141" s="443">
        <f t="shared" si="272"/>
        <v>39.998683153044055</v>
      </c>
      <c r="BI141" s="443">
        <f t="shared" si="272"/>
        <v>40.00453392446812</v>
      </c>
      <c r="BJ141" s="443">
        <f t="shared" si="272"/>
        <v>40.010385551708517</v>
      </c>
      <c r="BK141" s="443">
        <f t="shared" si="272"/>
        <v>40.016238034890421</v>
      </c>
      <c r="BL141" s="443">
        <f t="shared" si="272"/>
        <v>40.022091374139045</v>
      </c>
      <c r="BM141" s="443">
        <f t="shared" si="272"/>
        <v>40.01068560090993</v>
      </c>
      <c r="BN141" s="443">
        <f t="shared" si="272"/>
        <v>39.999283078177193</v>
      </c>
      <c r="BO141" s="443">
        <f t="shared" si="272"/>
        <v>39.987883805014484</v>
      </c>
      <c r="BP141" s="443">
        <f t="shared" si="272"/>
        <v>39.976487780495717</v>
      </c>
      <c r="BQ141" s="443">
        <f t="shared" si="272"/>
        <v>39.965095003695069</v>
      </c>
      <c r="BR141" s="443">
        <f t="shared" si="272"/>
        <v>39.953080546830584</v>
      </c>
      <c r="BS141" s="443">
        <f t="shared" ref="BS141" si="274">+BS161*$C141</f>
        <v>39.941069701797218</v>
      </c>
      <c r="BT141" s="443">
        <f t="shared" si="268"/>
        <v>39.929062467509169</v>
      </c>
      <c r="BU141" s="443">
        <f t="shared" ref="BU141:CZ141" si="275">+BU161*$C141</f>
        <v>39.917058842880955</v>
      </c>
      <c r="BV141" s="443">
        <f t="shared" si="275"/>
        <v>39.905058826827435</v>
      </c>
      <c r="BW141" s="443">
        <f t="shared" si="275"/>
        <v>39.887488478960996</v>
      </c>
      <c r="BX141" s="443">
        <f t="shared" si="275"/>
        <v>39.869925867384971</v>
      </c>
      <c r="BY141" s="443">
        <f t="shared" si="275"/>
        <v>39.852370988693046</v>
      </c>
      <c r="BZ141" s="443">
        <f t="shared" si="275"/>
        <v>39.8348238394804</v>
      </c>
      <c r="CA141" s="443">
        <f t="shared" si="275"/>
        <v>39.817284416343718</v>
      </c>
      <c r="CB141" s="443">
        <f t="shared" si="275"/>
        <v>39.785391393336162</v>
      </c>
      <c r="CC141" s="443">
        <f t="shared" si="275"/>
        <v>39.75352391614198</v>
      </c>
      <c r="CD141" s="443">
        <f t="shared" si="275"/>
        <v>39.721681964299371</v>
      </c>
      <c r="CE141" s="443">
        <f t="shared" si="275"/>
        <v>39.689865517362925</v>
      </c>
      <c r="CF141" s="443">
        <f t="shared" si="275"/>
        <v>39.658074554903607</v>
      </c>
      <c r="CG141" s="443">
        <f t="shared" si="275"/>
        <v>39.614280722534119</v>
      </c>
      <c r="CH141" s="443">
        <f t="shared" si="275"/>
        <v>39.57053525105394</v>
      </c>
      <c r="CI141" s="443">
        <f t="shared" si="275"/>
        <v>39.526838087058842</v>
      </c>
      <c r="CJ141" s="443">
        <f t="shared" si="275"/>
        <v>39.48318917720357</v>
      </c>
      <c r="CK141" s="443">
        <f t="shared" si="275"/>
        <v>39.439588468201791</v>
      </c>
      <c r="CL141" s="443">
        <f t="shared" si="275"/>
        <v>39.392053039782866</v>
      </c>
      <c r="CM141" s="443">
        <f t="shared" si="275"/>
        <v>39.344574904480901</v>
      </c>
      <c r="CN141" s="443">
        <f t="shared" si="275"/>
        <v>39.297153993242112</v>
      </c>
      <c r="CO141" s="443">
        <f t="shared" si="275"/>
        <v>39.249790237095944</v>
      </c>
      <c r="CP141" s="443">
        <f t="shared" si="275"/>
        <v>39.202483567154964</v>
      </c>
      <c r="CQ141" s="443">
        <f t="shared" si="275"/>
        <v>39.147690090479308</v>
      </c>
      <c r="CR141" s="443">
        <f t="shared" si="275"/>
        <v>39.092973198877175</v>
      </c>
      <c r="CS141" s="443">
        <f t="shared" si="275"/>
        <v>39.038332785305279</v>
      </c>
      <c r="CT141" s="443">
        <f t="shared" si="275"/>
        <v>38.983768742869955</v>
      </c>
      <c r="CU141" s="443">
        <f t="shared" si="275"/>
        <v>38.929280964826951</v>
      </c>
      <c r="CV141" s="443">
        <f t="shared" si="275"/>
        <v>38.876091192919297</v>
      </c>
      <c r="CW141" s="443">
        <f t="shared" si="275"/>
        <v>38.822974095147039</v>
      </c>
      <c r="CX141" s="443">
        <f t="shared" si="275"/>
        <v>38.769929572214203</v>
      </c>
      <c r="CY141" s="443">
        <f t="shared" si="275"/>
        <v>38.716957524960492</v>
      </c>
      <c r="CZ141" s="444">
        <f t="shared" si="275"/>
        <v>38.66405785436109</v>
      </c>
    </row>
    <row r="142" spans="1:104" x14ac:dyDescent="0.25">
      <c r="A142" t="s">
        <v>1403</v>
      </c>
    </row>
    <row r="150" spans="1:104" ht="13" x14ac:dyDescent="0.3">
      <c r="A150" s="1482" t="s">
        <v>1290</v>
      </c>
      <c r="B150" s="1483" t="s">
        <v>1402</v>
      </c>
      <c r="C150" s="1482"/>
      <c r="D150" s="1482"/>
      <c r="E150" s="1482"/>
      <c r="F150" s="1482"/>
      <c r="G150" s="1482"/>
      <c r="H150" s="1482"/>
      <c r="I150" s="1482"/>
      <c r="J150" s="1482"/>
      <c r="K150" s="1482"/>
      <c r="L150" s="1482"/>
      <c r="M150" s="1482"/>
      <c r="N150" s="1482"/>
      <c r="O150" s="1482"/>
      <c r="P150" s="1482"/>
      <c r="Q150" s="1482"/>
      <c r="R150" s="1482"/>
      <c r="S150" s="1482"/>
      <c r="T150" s="1482"/>
      <c r="U150" s="1482"/>
      <c r="V150" s="1482"/>
      <c r="W150" s="1482"/>
      <c r="X150" s="1482"/>
      <c r="Y150" s="1482"/>
      <c r="Z150" s="1482"/>
      <c r="AA150" s="1482"/>
      <c r="AB150" s="1482"/>
      <c r="AC150" s="1482"/>
      <c r="AD150" s="1482"/>
      <c r="AE150" s="1482"/>
      <c r="AF150" s="1482"/>
      <c r="AG150" s="1482"/>
      <c r="AH150" s="1482"/>
      <c r="AI150" s="1482"/>
      <c r="AJ150" s="1482"/>
      <c r="AK150" s="1482"/>
      <c r="AL150" s="1482"/>
      <c r="AM150" s="1482"/>
      <c r="AN150" s="1482"/>
      <c r="AO150" s="1482"/>
      <c r="AP150" s="1482"/>
      <c r="AQ150" s="1482"/>
      <c r="AR150" s="1482"/>
      <c r="AS150" s="1482"/>
      <c r="AT150" s="1482"/>
      <c r="AU150" s="1482"/>
      <c r="AV150" s="1482"/>
      <c r="AW150" s="1482"/>
      <c r="AX150" s="1482"/>
      <c r="AY150" s="1482"/>
      <c r="AZ150" s="1482"/>
      <c r="BA150" s="1482"/>
      <c r="BB150" s="1482" t="s">
        <v>1291</v>
      </c>
      <c r="BC150" s="1482"/>
      <c r="BD150" s="1482"/>
      <c r="BE150" s="1482"/>
      <c r="BF150" s="1482"/>
      <c r="BG150" s="1482"/>
      <c r="BH150" s="1482"/>
      <c r="BI150" s="1482"/>
      <c r="BJ150" s="1482"/>
      <c r="BK150" s="1482"/>
      <c r="BL150" s="1482"/>
      <c r="BM150" s="1482"/>
      <c r="BN150" s="1482"/>
      <c r="BO150" s="1482"/>
      <c r="BP150" s="1482"/>
      <c r="BQ150" s="1482"/>
      <c r="BR150" s="1482"/>
      <c r="BS150" s="1482"/>
      <c r="BT150" s="1482"/>
      <c r="BU150" s="1482"/>
      <c r="BV150" s="1482"/>
      <c r="BW150" s="1482"/>
      <c r="BX150" s="1482"/>
      <c r="BY150" s="1482"/>
      <c r="BZ150" s="1482"/>
      <c r="CA150" s="1482"/>
      <c r="CB150" s="1482"/>
      <c r="CC150" s="1482"/>
      <c r="CD150" s="1482"/>
      <c r="CE150" s="1482"/>
      <c r="CF150" s="1482"/>
      <c r="CG150" s="1482"/>
      <c r="CH150" s="1482"/>
      <c r="CI150" s="1482"/>
      <c r="CJ150" s="1482"/>
      <c r="CK150" s="1482"/>
      <c r="CL150" s="1482"/>
      <c r="CM150" s="1482"/>
      <c r="CN150" s="1482"/>
      <c r="CO150" s="1482"/>
      <c r="CP150" s="1482"/>
      <c r="CQ150" s="1482"/>
      <c r="CR150" s="1482"/>
      <c r="CS150" s="1482"/>
      <c r="CT150" s="1482"/>
      <c r="CU150" s="1482"/>
      <c r="CV150" s="1482"/>
      <c r="CW150" s="1482"/>
      <c r="CX150" s="1482"/>
      <c r="CY150" s="1482"/>
      <c r="CZ150" s="1482"/>
    </row>
    <row r="151" spans="1:104" x14ac:dyDescent="0.25">
      <c r="A151" s="1484" t="s">
        <v>1084</v>
      </c>
      <c r="B151" s="1485" t="s">
        <v>678</v>
      </c>
      <c r="C151" s="1485" t="s">
        <v>679</v>
      </c>
      <c r="D151" s="1485" t="s">
        <v>690</v>
      </c>
      <c r="E151" s="1485" t="s">
        <v>691</v>
      </c>
      <c r="F151" s="1485" t="s">
        <v>680</v>
      </c>
      <c r="G151" s="1485" t="s">
        <v>692</v>
      </c>
      <c r="H151" s="1485">
        <v>2004</v>
      </c>
      <c r="I151" s="1485">
        <v>2005</v>
      </c>
      <c r="J151" s="1485">
        <v>2006</v>
      </c>
      <c r="K151" s="1485">
        <v>2007</v>
      </c>
      <c r="L151" s="1485">
        <v>2008</v>
      </c>
      <c r="M151" s="1485">
        <v>2009</v>
      </c>
      <c r="N151" s="1485">
        <v>2010</v>
      </c>
      <c r="O151" s="1485">
        <v>2011</v>
      </c>
      <c r="P151" s="1485">
        <v>2012</v>
      </c>
      <c r="Q151" s="1485">
        <v>2013</v>
      </c>
      <c r="R151" s="1485">
        <v>2014</v>
      </c>
      <c r="S151" s="1485">
        <v>2015</v>
      </c>
      <c r="T151" s="1485">
        <v>2016</v>
      </c>
      <c r="U151" s="1485">
        <v>2017</v>
      </c>
      <c r="V151" s="1485">
        <v>2018</v>
      </c>
      <c r="W151" s="1485">
        <v>2019</v>
      </c>
      <c r="X151" s="1485">
        <v>2020</v>
      </c>
      <c r="Y151" s="1485">
        <v>2021</v>
      </c>
      <c r="Z151" s="1485">
        <v>2022</v>
      </c>
      <c r="AA151" s="1485">
        <v>2023</v>
      </c>
      <c r="AB151" s="1485">
        <v>2024</v>
      </c>
      <c r="AC151" s="1485">
        <v>2025</v>
      </c>
      <c r="AD151" s="1485">
        <v>2026</v>
      </c>
      <c r="AE151" s="1485">
        <v>2027</v>
      </c>
      <c r="AF151" s="1485">
        <v>2028</v>
      </c>
      <c r="AG151" s="1485">
        <v>2029</v>
      </c>
      <c r="AH151" s="1485">
        <v>2030</v>
      </c>
      <c r="AI151" s="1485">
        <v>2031</v>
      </c>
      <c r="AJ151" s="1485">
        <v>2032</v>
      </c>
      <c r="AK151" s="1485">
        <v>2033</v>
      </c>
      <c r="AL151" s="1485">
        <v>2034</v>
      </c>
      <c r="AM151" s="1485">
        <v>2035</v>
      </c>
      <c r="AN151" s="1485">
        <v>2036</v>
      </c>
      <c r="AO151" s="1485">
        <v>2037</v>
      </c>
      <c r="AP151" s="1485">
        <v>2038</v>
      </c>
      <c r="AQ151" s="1485">
        <v>2039</v>
      </c>
      <c r="AR151" s="1485">
        <v>2040</v>
      </c>
      <c r="AS151" s="1485">
        <v>2041</v>
      </c>
      <c r="AT151" s="1485">
        <v>2042</v>
      </c>
      <c r="AU151" s="1485">
        <v>2043</v>
      </c>
      <c r="AV151" s="1485">
        <v>2044</v>
      </c>
      <c r="AW151" s="1485">
        <v>2045</v>
      </c>
      <c r="AX151" s="1485">
        <v>2046</v>
      </c>
      <c r="AY151" s="1485">
        <v>2047</v>
      </c>
      <c r="AZ151" s="1485">
        <v>2048</v>
      </c>
      <c r="BA151" s="1485">
        <v>2049</v>
      </c>
      <c r="BB151" s="1485">
        <v>2050</v>
      </c>
      <c r="BC151" s="1485">
        <v>2051</v>
      </c>
      <c r="BD151" s="1485">
        <v>2052</v>
      </c>
      <c r="BE151" s="1485">
        <v>2053</v>
      </c>
      <c r="BF151" s="1485">
        <v>2054</v>
      </c>
      <c r="BG151" s="1485">
        <v>2055</v>
      </c>
      <c r="BH151" s="1485">
        <v>2056</v>
      </c>
      <c r="BI151" s="1485">
        <v>2057</v>
      </c>
      <c r="BJ151" s="1485">
        <v>2058</v>
      </c>
      <c r="BK151" s="1485">
        <v>2059</v>
      </c>
      <c r="BL151" s="1485">
        <v>2060</v>
      </c>
      <c r="BM151" s="1485">
        <v>2061</v>
      </c>
      <c r="BN151" s="1485">
        <v>2062</v>
      </c>
      <c r="BO151" s="1485">
        <v>2063</v>
      </c>
      <c r="BP151" s="1485">
        <v>2064</v>
      </c>
      <c r="BQ151" s="1485">
        <v>2065</v>
      </c>
      <c r="BR151" s="1485">
        <v>2066</v>
      </c>
      <c r="BS151" s="1485">
        <v>2067</v>
      </c>
      <c r="BT151" s="1485">
        <v>2068</v>
      </c>
      <c r="BU151" s="1485">
        <v>2069</v>
      </c>
      <c r="BV151" s="1485">
        <v>2070</v>
      </c>
      <c r="BW151" s="1485">
        <v>2071</v>
      </c>
      <c r="BX151" s="1485">
        <v>2072</v>
      </c>
      <c r="BY151" s="1485">
        <v>2073</v>
      </c>
      <c r="BZ151" s="1485">
        <v>2074</v>
      </c>
      <c r="CA151" s="1485">
        <v>2075</v>
      </c>
      <c r="CB151" s="1485">
        <v>2076</v>
      </c>
      <c r="CC151" s="1485">
        <v>2077</v>
      </c>
      <c r="CD151" s="1485">
        <v>2078</v>
      </c>
      <c r="CE151" s="1485">
        <v>2079</v>
      </c>
      <c r="CF151" s="1485">
        <v>2080</v>
      </c>
      <c r="CG151" s="1485">
        <v>2081</v>
      </c>
      <c r="CH151" s="1485">
        <v>2082</v>
      </c>
      <c r="CI151" s="1485">
        <v>2083</v>
      </c>
      <c r="CJ151" s="1485">
        <v>2084</v>
      </c>
      <c r="CK151" s="1485">
        <v>2085</v>
      </c>
      <c r="CL151" s="1485">
        <v>2086</v>
      </c>
      <c r="CM151" s="1485">
        <v>2087</v>
      </c>
      <c r="CN151" s="1485">
        <v>2088</v>
      </c>
      <c r="CO151" s="1485">
        <v>2089</v>
      </c>
      <c r="CP151" s="1485">
        <v>2090</v>
      </c>
      <c r="CQ151" s="1485">
        <v>2091</v>
      </c>
      <c r="CR151" s="1485">
        <v>2092</v>
      </c>
      <c r="CS151" s="1485">
        <v>2093</v>
      </c>
      <c r="CT151" s="1485">
        <v>2094</v>
      </c>
      <c r="CU151" s="1485">
        <v>2095</v>
      </c>
      <c r="CV151" s="1485">
        <v>2096</v>
      </c>
      <c r="CW151" s="1485">
        <v>2097</v>
      </c>
      <c r="CX151" s="1485">
        <v>2098</v>
      </c>
      <c r="CY151" s="1485">
        <v>2099</v>
      </c>
      <c r="CZ151" s="1486">
        <v>2100</v>
      </c>
    </row>
    <row r="152" spans="1:104" x14ac:dyDescent="0.25">
      <c r="A152" s="1487" t="s">
        <v>1090</v>
      </c>
      <c r="B152" s="1488"/>
      <c r="C152" s="1488"/>
      <c r="D152" s="1488"/>
      <c r="E152" s="1488"/>
      <c r="F152" s="1488"/>
      <c r="G152" s="1488"/>
      <c r="H152" s="1488"/>
      <c r="I152" s="1488"/>
      <c r="J152" s="1488"/>
      <c r="K152" s="1488"/>
      <c r="L152" s="1488"/>
      <c r="M152" s="1488"/>
      <c r="N152" s="1488"/>
      <c r="O152" s="1488"/>
      <c r="P152" s="1488"/>
      <c r="Q152" s="1488"/>
      <c r="R152" s="1488"/>
      <c r="S152" s="1488"/>
      <c r="T152" s="1488"/>
      <c r="U152" s="1488"/>
      <c r="V152" s="1488"/>
      <c r="W152" s="1488"/>
      <c r="X152" s="1488"/>
      <c r="Y152" s="1488"/>
      <c r="Z152" s="1488"/>
      <c r="AA152" s="1488"/>
      <c r="AB152" s="1488"/>
      <c r="AC152" s="1488"/>
      <c r="AD152" s="1488"/>
      <c r="AE152" s="1488"/>
      <c r="AF152" s="1488"/>
      <c r="AG152" s="1488"/>
      <c r="AH152" s="1488"/>
      <c r="AI152" s="1488"/>
      <c r="AJ152" s="1488"/>
      <c r="AK152" s="1488"/>
      <c r="AL152" s="1488"/>
      <c r="AM152" s="1488"/>
      <c r="AN152" s="1488"/>
      <c r="AO152" s="1488"/>
      <c r="AP152" s="1488"/>
      <c r="AQ152" s="1488"/>
      <c r="AR152" s="1488"/>
      <c r="AS152" s="1488"/>
      <c r="AT152" s="1488"/>
      <c r="AU152" s="1488"/>
      <c r="AV152" s="1488"/>
      <c r="AW152" s="1488"/>
      <c r="AX152" s="1488"/>
      <c r="AY152" s="1488"/>
      <c r="AZ152" s="1488"/>
      <c r="BA152" s="1488"/>
      <c r="BB152" s="1488"/>
      <c r="BC152" s="1488"/>
      <c r="BD152" s="1488"/>
      <c r="BE152" s="1488"/>
      <c r="BF152" s="1488"/>
      <c r="BG152" s="1488"/>
      <c r="BH152" s="1488"/>
      <c r="BI152" s="1488"/>
      <c r="BJ152" s="1488"/>
      <c r="BK152" s="1488"/>
      <c r="BL152" s="1488"/>
      <c r="BM152" s="1488"/>
      <c r="BN152" s="1488"/>
      <c r="BO152" s="1488"/>
      <c r="BP152" s="1488"/>
      <c r="BQ152" s="1488"/>
      <c r="BR152" s="1488"/>
      <c r="BS152" s="1488"/>
      <c r="BT152" s="1488"/>
      <c r="BU152" s="1488"/>
      <c r="BV152" s="1488"/>
      <c r="BW152" s="1488"/>
      <c r="BX152" s="1488"/>
      <c r="BY152" s="1488"/>
      <c r="BZ152" s="1488"/>
      <c r="CA152" s="1488"/>
      <c r="CB152" s="1488"/>
      <c r="CC152" s="1488"/>
      <c r="CD152" s="1488"/>
      <c r="CE152" s="1488"/>
      <c r="CF152" s="1488"/>
      <c r="CG152" s="1488"/>
      <c r="CH152" s="1488"/>
      <c r="CI152" s="1488"/>
      <c r="CJ152" s="1488"/>
      <c r="CK152" s="1488"/>
      <c r="CL152" s="1488"/>
      <c r="CM152" s="1488"/>
      <c r="CN152" s="1488"/>
      <c r="CO152" s="1488"/>
      <c r="CP152" s="1488"/>
      <c r="CQ152" s="1488"/>
      <c r="CR152" s="1488"/>
      <c r="CS152" s="1488"/>
      <c r="CT152" s="1488"/>
      <c r="CU152" s="1488"/>
      <c r="CV152" s="1488"/>
      <c r="CW152" s="1488"/>
      <c r="CX152" s="1488"/>
      <c r="CY152" s="1488"/>
      <c r="CZ152" s="1489"/>
    </row>
    <row r="153" spans="1:104" x14ac:dyDescent="0.25">
      <c r="A153" s="1487" t="s">
        <v>681</v>
      </c>
      <c r="B153" s="1488"/>
      <c r="C153" s="1488"/>
      <c r="D153" s="1488"/>
      <c r="E153" s="1488"/>
      <c r="F153" s="1488"/>
      <c r="G153" s="1488"/>
      <c r="H153" s="1488">
        <v>13.604875014867702</v>
      </c>
      <c r="I153" s="1488">
        <v>15.571757228276402</v>
      </c>
      <c r="J153" s="1488">
        <v>16.331995797204218</v>
      </c>
      <c r="K153" s="1488">
        <v>15.155672177020728</v>
      </c>
      <c r="L153" s="1488">
        <v>15.783516201764996</v>
      </c>
      <c r="M153" s="1488">
        <v>13.69149010361817</v>
      </c>
      <c r="N153" s="1488">
        <v>12.691188457250465</v>
      </c>
      <c r="O153" s="1488">
        <v>12.04142243701838</v>
      </c>
      <c r="P153" s="1488">
        <v>11.415954621928984</v>
      </c>
      <c r="Q153" s="1488">
        <v>10.886628367710442</v>
      </c>
      <c r="R153" s="1488">
        <v>11.368469484946878</v>
      </c>
      <c r="S153" s="1488">
        <v>9.7183315387998359</v>
      </c>
      <c r="T153" s="1488">
        <v>9.390001099467705</v>
      </c>
      <c r="U153" s="1488">
        <v>10.023002570479671</v>
      </c>
      <c r="V153" s="1488">
        <v>10.033707215541167</v>
      </c>
      <c r="W153" s="1488">
        <v>10.158951752324048</v>
      </c>
      <c r="X153" s="1488">
        <v>10.289627280447673</v>
      </c>
      <c r="Y153" s="1488">
        <v>10.38663350570965</v>
      </c>
      <c r="Z153" s="1488">
        <v>10.458822090960101</v>
      </c>
      <c r="AA153" s="1488">
        <v>10.541361785535555</v>
      </c>
      <c r="AB153" s="1488">
        <v>10.671303703310535</v>
      </c>
      <c r="AC153" s="1488">
        <v>10.821196220864106</v>
      </c>
      <c r="AD153" s="1488">
        <v>10.961130973142659</v>
      </c>
      <c r="AE153" s="1488">
        <v>11.387951919139837</v>
      </c>
      <c r="AF153" s="1488">
        <v>11.524366479125279</v>
      </c>
      <c r="AG153" s="1488">
        <v>11.653679994237272</v>
      </c>
      <c r="AH153" s="1488">
        <v>11.727599293307653</v>
      </c>
      <c r="AI153" s="1488">
        <v>11.827238554162054</v>
      </c>
      <c r="AJ153" s="1488">
        <v>11.877874728924342</v>
      </c>
      <c r="AK153" s="1488">
        <v>11.891573527850655</v>
      </c>
      <c r="AL153" s="1488">
        <v>11.9827791131466</v>
      </c>
      <c r="AM153" s="1488">
        <v>12.163475682807357</v>
      </c>
      <c r="AN153" s="1488">
        <v>12.259449735369497</v>
      </c>
      <c r="AO153" s="1488">
        <v>12.356256919064013</v>
      </c>
      <c r="AP153" s="1488">
        <v>12.41256198723101</v>
      </c>
      <c r="AQ153" s="1488">
        <v>12.490714236969412</v>
      </c>
      <c r="AR153" s="1488">
        <v>12.496378391289182</v>
      </c>
      <c r="AS153" s="1488">
        <v>12.55376491863939</v>
      </c>
      <c r="AT153" s="1488">
        <v>12.651412816002184</v>
      </c>
      <c r="AU153" s="1488">
        <v>12.770777096192051</v>
      </c>
      <c r="AV153" s="1488">
        <v>12.886454368298935</v>
      </c>
      <c r="AW153" s="1488">
        <v>13.010888521557151</v>
      </c>
      <c r="AX153" s="1488">
        <v>13.118997475015544</v>
      </c>
      <c r="AY153" s="1488">
        <v>13.217679440712152</v>
      </c>
      <c r="AZ153" s="1488">
        <v>13.363983523149482</v>
      </c>
      <c r="BA153" s="1488">
        <v>13.453606254075613</v>
      </c>
      <c r="BB153" s="1488">
        <v>13.593337225701765</v>
      </c>
      <c r="BC153" s="1488">
        <v>13.668907227280409</v>
      </c>
      <c r="BD153" s="1488">
        <v>13.744897348292845</v>
      </c>
      <c r="BE153" s="1488">
        <v>13.821309924326409</v>
      </c>
      <c r="BF153" s="1488">
        <v>13.898147303952761</v>
      </c>
      <c r="BG153" s="1488">
        <v>13.975411848800078</v>
      </c>
      <c r="BH153" s="1488">
        <v>14.050424531225174</v>
      </c>
      <c r="BI153" s="1488">
        <v>14.12583984239463</v>
      </c>
      <c r="BJ153" s="1488">
        <v>14.201659943408417</v>
      </c>
      <c r="BK153" s="1488">
        <v>14.277887006966159</v>
      </c>
      <c r="BL153" s="1488">
        <v>14.354523217429389</v>
      </c>
      <c r="BM153" s="1488">
        <v>14.422221698840277</v>
      </c>
      <c r="BN153" s="1488">
        <v>14.490239458315362</v>
      </c>
      <c r="BO153" s="1488">
        <v>14.558578001626712</v>
      </c>
      <c r="BP153" s="1488">
        <v>14.627238841647882</v>
      </c>
      <c r="BQ153" s="1488">
        <v>14.696223498387408</v>
      </c>
      <c r="BR153" s="1488">
        <v>14.75529333521281</v>
      </c>
      <c r="BS153" s="1488">
        <v>14.814600596681556</v>
      </c>
      <c r="BT153" s="1488">
        <v>14.874146237095607</v>
      </c>
      <c r="BU153" s="1488">
        <v>14.933931214592636</v>
      </c>
      <c r="BV153" s="1488">
        <v>14.993956491161448</v>
      </c>
      <c r="BW153" s="1488">
        <v>15.043740835540882</v>
      </c>
      <c r="BX153" s="1488">
        <v>15.093690478582264</v>
      </c>
      <c r="BY153" s="1488">
        <v>15.143805969125756</v>
      </c>
      <c r="BZ153" s="1488">
        <v>15.19408785783383</v>
      </c>
      <c r="CA153" s="1488">
        <v>15.244536697197322</v>
      </c>
      <c r="CB153" s="1488">
        <v>15.277067444573643</v>
      </c>
      <c r="CC153" s="1488">
        <v>15.309667610230484</v>
      </c>
      <c r="CD153" s="1488">
        <v>15.342337342301477</v>
      </c>
      <c r="CE153" s="1488">
        <v>15.375076789236356</v>
      </c>
      <c r="CF153" s="1488">
        <v>15.407886099801638</v>
      </c>
      <c r="CG153" s="1488">
        <v>15.41853907481957</v>
      </c>
      <c r="CH153" s="1488">
        <v>15.42919941527855</v>
      </c>
      <c r="CI153" s="1488">
        <v>15.439867126271025</v>
      </c>
      <c r="CJ153" s="1488">
        <v>15.450542212892964</v>
      </c>
      <c r="CK153" s="1488">
        <v>15.461224680243861</v>
      </c>
      <c r="CL153" s="1488">
        <v>15.464845562477739</v>
      </c>
      <c r="CM153" s="1488">
        <v>15.468467292690251</v>
      </c>
      <c r="CN153" s="1488">
        <v>15.472089871079984</v>
      </c>
      <c r="CO153" s="1488">
        <v>15.475713297845573</v>
      </c>
      <c r="CP153" s="1488">
        <v>15.479337573185701</v>
      </c>
      <c r="CQ153" s="1488">
        <v>15.484830510437597</v>
      </c>
      <c r="CR153" s="1488">
        <v>15.490325396891745</v>
      </c>
      <c r="CS153" s="1488">
        <v>15.49582223323983</v>
      </c>
      <c r="CT153" s="1488">
        <v>15.501321020173785</v>
      </c>
      <c r="CU153" s="1488">
        <v>15.506821758385787</v>
      </c>
      <c r="CV153" s="1488">
        <v>15.515287417782641</v>
      </c>
      <c r="CW153" s="1488">
        <v>15.523757698847955</v>
      </c>
      <c r="CX153" s="1488">
        <v>15.532232604104841</v>
      </c>
      <c r="CY153" s="1488">
        <v>15.540712136077792</v>
      </c>
      <c r="CZ153" s="1489">
        <v>15.549196297292674</v>
      </c>
    </row>
    <row r="154" spans="1:104" x14ac:dyDescent="0.25">
      <c r="A154" s="1487" t="s">
        <v>1085</v>
      </c>
      <c r="B154" s="1488"/>
      <c r="C154" s="1488"/>
      <c r="D154" s="1488"/>
      <c r="E154" s="1488"/>
      <c r="F154" s="1488"/>
      <c r="G154" s="1488"/>
      <c r="H154" s="1488">
        <v>11.934322920018829</v>
      </c>
      <c r="I154" s="1488">
        <v>13.90423046997279</v>
      </c>
      <c r="J154" s="1488">
        <v>14.274140536522257</v>
      </c>
      <c r="K154" s="1488">
        <v>13.139550648884942</v>
      </c>
      <c r="L154" s="1488">
        <v>13.897221248926272</v>
      </c>
      <c r="M154" s="1488">
        <v>11.345666428533674</v>
      </c>
      <c r="N154" s="1488">
        <v>10.551848524158197</v>
      </c>
      <c r="O154" s="1488">
        <v>9.7270239269114924</v>
      </c>
      <c r="P154" s="1488">
        <v>8.6825570363966911</v>
      </c>
      <c r="Q154" s="1488">
        <v>8.5236392646415098</v>
      </c>
      <c r="R154" s="1488">
        <v>9.2232797097563566</v>
      </c>
      <c r="S154" s="1488">
        <v>7.6085885488542795</v>
      </c>
      <c r="T154" s="1488">
        <v>6.813801352724405</v>
      </c>
      <c r="U154" s="1488">
        <v>7.4731047451509687</v>
      </c>
      <c r="V154" s="1488">
        <v>7.9843107853990691</v>
      </c>
      <c r="W154" s="1488">
        <v>8.5650780622071245</v>
      </c>
      <c r="X154" s="1488">
        <v>9.1477570858798014</v>
      </c>
      <c r="Y154" s="1488">
        <v>9.2514909161219876</v>
      </c>
      <c r="Z154" s="1488">
        <v>9.3094669856386769</v>
      </c>
      <c r="AA154" s="1488">
        <v>9.3761326413005577</v>
      </c>
      <c r="AB154" s="1488">
        <v>9.4891655040111615</v>
      </c>
      <c r="AC154" s="1488">
        <v>9.6143446414218783</v>
      </c>
      <c r="AD154" s="1488">
        <v>9.7258827967425425</v>
      </c>
      <c r="AE154" s="1488">
        <v>10.087086372666475</v>
      </c>
      <c r="AF154" s="1488">
        <v>10.198695614261233</v>
      </c>
      <c r="AG154" s="1488">
        <v>10.304737378868989</v>
      </c>
      <c r="AH154" s="1488">
        <v>10.357640731866367</v>
      </c>
      <c r="AI154" s="1488">
        <v>10.427655972763532</v>
      </c>
      <c r="AJ154" s="1488">
        <v>10.453569289213085</v>
      </c>
      <c r="AK154" s="1488">
        <v>10.441948105124277</v>
      </c>
      <c r="AL154" s="1488">
        <v>10.506270757192036</v>
      </c>
      <c r="AM154" s="1488">
        <v>10.658282593530579</v>
      </c>
      <c r="AN154" s="1488">
        <v>10.722901912315555</v>
      </c>
      <c r="AO154" s="1488">
        <v>10.786351624937444</v>
      </c>
      <c r="AP154" s="1488">
        <v>10.817805879498341</v>
      </c>
      <c r="AQ154" s="1488">
        <v>10.86596540847121</v>
      </c>
      <c r="AR154" s="1488">
        <v>10.838793391061706</v>
      </c>
      <c r="AS154" s="1488">
        <v>10.868085675073171</v>
      </c>
      <c r="AT154" s="1488">
        <v>10.937640276914211</v>
      </c>
      <c r="AU154" s="1488">
        <v>11.027299024885883</v>
      </c>
      <c r="AV154" s="1488">
        <v>11.114692490256441</v>
      </c>
      <c r="AW154" s="1488">
        <v>11.212257927541287</v>
      </c>
      <c r="AX154" s="1488">
        <v>11.293368314098968</v>
      </c>
      <c r="AY154" s="1488">
        <v>11.35816487466068</v>
      </c>
      <c r="AZ154" s="1488">
        <v>11.46581792814789</v>
      </c>
      <c r="BA154" s="1488">
        <v>11.521194135666732</v>
      </c>
      <c r="BB154" s="1488">
        <v>11.628119265707223</v>
      </c>
      <c r="BC154" s="1488">
        <v>11.692763949840026</v>
      </c>
      <c r="BD154" s="1488">
        <v>11.757768015837698</v>
      </c>
      <c r="BE154" s="1488">
        <v>11.823133461626696</v>
      </c>
      <c r="BF154" s="1488">
        <v>11.888862296240635</v>
      </c>
      <c r="BG154" s="1488">
        <v>11.954956539882032</v>
      </c>
      <c r="BH154" s="1488">
        <v>12.019124477688386</v>
      </c>
      <c r="BI154" s="1488">
        <v>12.083636835336717</v>
      </c>
      <c r="BJ154" s="1488">
        <v>12.148495461492134</v>
      </c>
      <c r="BK154" s="1488">
        <v>12.213702214742405</v>
      </c>
      <c r="BL154" s="1488">
        <v>12.279258963651227</v>
      </c>
      <c r="BM154" s="1488">
        <v>12.337170130194249</v>
      </c>
      <c r="BN154" s="1488">
        <v>12.395354416085945</v>
      </c>
      <c r="BO154" s="1488">
        <v>12.453813109405683</v>
      </c>
      <c r="BP154" s="1488">
        <v>12.512547504307637</v>
      </c>
      <c r="BQ154" s="1488">
        <v>12.571558901049444</v>
      </c>
      <c r="BR154" s="1488">
        <v>12.622088884688262</v>
      </c>
      <c r="BS154" s="1488">
        <v>12.672821967979766</v>
      </c>
      <c r="BT154" s="1488">
        <v>12.723758967260437</v>
      </c>
      <c r="BU154" s="1488">
        <v>12.774900702147928</v>
      </c>
      <c r="BV154" s="1488">
        <v>12.826247995554251</v>
      </c>
      <c r="BW154" s="1488">
        <v>12.868834910334423</v>
      </c>
      <c r="BX154" s="1488">
        <v>12.911563226193937</v>
      </c>
      <c r="BY154" s="1488">
        <v>12.954433412625956</v>
      </c>
      <c r="BZ154" s="1488">
        <v>12.997445940682496</v>
      </c>
      <c r="CA154" s="1488">
        <v>13.040601282979605</v>
      </c>
      <c r="CB154" s="1488">
        <v>13.06842899033459</v>
      </c>
      <c r="CC154" s="1488">
        <v>13.096316080020177</v>
      </c>
      <c r="CD154" s="1488">
        <v>13.124262678753999</v>
      </c>
      <c r="CE154" s="1488">
        <v>13.152268913524093</v>
      </c>
      <c r="CF154" s="1488">
        <v>13.180334911589481</v>
      </c>
      <c r="CG154" s="1488">
        <v>13.189447763127433</v>
      </c>
      <c r="CH154" s="1488">
        <v>13.198566915268799</v>
      </c>
      <c r="CI154" s="1488">
        <v>13.207692372369801</v>
      </c>
      <c r="CJ154" s="1488">
        <v>13.216824138789674</v>
      </c>
      <c r="CK154" s="1488">
        <v>13.225962218890665</v>
      </c>
      <c r="CL154" s="1488">
        <v>13.22905962240266</v>
      </c>
      <c r="CM154" s="1488">
        <v>13.232157751299196</v>
      </c>
      <c r="CN154" s="1488">
        <v>13.23525660575015</v>
      </c>
      <c r="CO154" s="1488">
        <v>13.23835618592544</v>
      </c>
      <c r="CP154" s="1488">
        <v>13.241456491995026</v>
      </c>
      <c r="CQ154" s="1488">
        <v>13.246155303510076</v>
      </c>
      <c r="CR154" s="1488">
        <v>13.250855782427021</v>
      </c>
      <c r="CS154" s="1488">
        <v>13.255557929337549</v>
      </c>
      <c r="CT154" s="1488">
        <v>13.260261744833558</v>
      </c>
      <c r="CU154" s="1488">
        <v>13.264967229507157</v>
      </c>
      <c r="CV154" s="1488">
        <v>13.272208990341527</v>
      </c>
      <c r="CW154" s="1488">
        <v>13.279454704679821</v>
      </c>
      <c r="CX154" s="1488">
        <v>13.286704374680379</v>
      </c>
      <c r="CY154" s="1488">
        <v>13.293958002502723</v>
      </c>
      <c r="CZ154" s="1489">
        <v>13.30121559030755</v>
      </c>
    </row>
    <row r="155" spans="1:104" x14ac:dyDescent="0.25">
      <c r="A155" s="1487" t="s">
        <v>283</v>
      </c>
      <c r="B155" s="1488"/>
      <c r="C155" s="1488"/>
      <c r="D155" s="1488"/>
      <c r="E155" s="1488"/>
      <c r="F155" s="1488"/>
      <c r="G155" s="1488"/>
      <c r="H155" s="1488">
        <v>8.2641705904266125</v>
      </c>
      <c r="I155" s="1488">
        <v>10.495609596381577</v>
      </c>
      <c r="J155" s="1488">
        <v>9.3614571685358463</v>
      </c>
      <c r="K155" s="1488">
        <v>8.8987432965993278</v>
      </c>
      <c r="L155" s="1488">
        <v>10.965509816201024</v>
      </c>
      <c r="M155" s="1488">
        <v>6.0111731674040234</v>
      </c>
      <c r="N155" s="1488">
        <v>6.1171751211856922</v>
      </c>
      <c r="O155" s="1488">
        <v>5.6004077154944953</v>
      </c>
      <c r="P155" s="1488">
        <v>4.1590520124961925</v>
      </c>
      <c r="Q155" s="1488">
        <v>4.894763142071362</v>
      </c>
      <c r="R155" s="1488">
        <v>5.8241384234641265</v>
      </c>
      <c r="S155" s="1488">
        <v>3.5390282601113117</v>
      </c>
      <c r="T155" s="1488">
        <v>3.3168400539876552</v>
      </c>
      <c r="U155" s="1488">
        <v>3.8686572087168831</v>
      </c>
      <c r="V155" s="1488">
        <v>4.230424735748624</v>
      </c>
      <c r="W155" s="1488">
        <v>4.6374903322667231</v>
      </c>
      <c r="X155" s="1488">
        <v>5.0398775041324821</v>
      </c>
      <c r="Y155" s="1488">
        <v>5.0452222441273262</v>
      </c>
      <c r="Z155" s="1488">
        <v>4.9894479534735598</v>
      </c>
      <c r="AA155" s="1488">
        <v>5.0008757828968315</v>
      </c>
      <c r="AB155" s="1488">
        <v>5.0866427943161305</v>
      </c>
      <c r="AC155" s="1488">
        <v>5.1985543895300337</v>
      </c>
      <c r="AD155" s="1488">
        <v>5.3142743134013735</v>
      </c>
      <c r="AE155" s="1488">
        <v>5.4069765017212355</v>
      </c>
      <c r="AF155" s="1488">
        <v>5.498883471588238</v>
      </c>
      <c r="AG155" s="1488">
        <v>5.5761078084954727</v>
      </c>
      <c r="AH155" s="1488">
        <v>5.5953977798334869</v>
      </c>
      <c r="AI155" s="1488">
        <v>5.6194116710392619</v>
      </c>
      <c r="AJ155" s="1488">
        <v>5.6053299540498323</v>
      </c>
      <c r="AK155" s="1488">
        <v>5.5496627667157004</v>
      </c>
      <c r="AL155" s="1488">
        <v>5.5482476759527453</v>
      </c>
      <c r="AM155" s="1488">
        <v>5.6344516310034729</v>
      </c>
      <c r="AN155" s="1488">
        <v>5.6381945602887429</v>
      </c>
      <c r="AO155" s="1488">
        <v>5.6485162872871211</v>
      </c>
      <c r="AP155" s="1488">
        <v>5.6430123140383071</v>
      </c>
      <c r="AQ155" s="1488">
        <v>5.6644386648670784</v>
      </c>
      <c r="AR155" s="1488">
        <v>5.6215300420072483</v>
      </c>
      <c r="AS155" s="1488">
        <v>5.6260767200982693</v>
      </c>
      <c r="AT155" s="1488">
        <v>5.6802473044084865</v>
      </c>
      <c r="AU155" s="1488">
        <v>5.7631623345111542</v>
      </c>
      <c r="AV155" s="1488">
        <v>5.819991545472468</v>
      </c>
      <c r="AW155" s="1488">
        <v>5.8947240715184783</v>
      </c>
      <c r="AX155" s="1488">
        <v>5.9518546882819487</v>
      </c>
      <c r="AY155" s="1488">
        <v>6.0145186606208574</v>
      </c>
      <c r="AZ155" s="1488">
        <v>6.1247620979360331</v>
      </c>
      <c r="BA155" s="1488">
        <v>6.1606322318436177</v>
      </c>
      <c r="BB155" s="1488">
        <v>6.238633778680942</v>
      </c>
      <c r="BC155" s="1488">
        <v>6.2733164733478626</v>
      </c>
      <c r="BD155" s="1488">
        <v>6.3081919809530058</v>
      </c>
      <c r="BE155" s="1488">
        <v>6.3432613734093088</v>
      </c>
      <c r="BF155" s="1488">
        <v>6.3785257285888406</v>
      </c>
      <c r="BG155" s="1488">
        <v>6.4139861303559274</v>
      </c>
      <c r="BH155" s="1488">
        <v>6.4484130445592944</v>
      </c>
      <c r="BI155" s="1488">
        <v>6.4830247443854354</v>
      </c>
      <c r="BJ155" s="1488">
        <v>6.5178222216666768</v>
      </c>
      <c r="BK155" s="1488">
        <v>6.5528064735589808</v>
      </c>
      <c r="BL155" s="1488">
        <v>6.5879785025705191</v>
      </c>
      <c r="BM155" s="1488">
        <v>6.6190485794679574</v>
      </c>
      <c r="BN155" s="1488">
        <v>6.6502651883672899</v>
      </c>
      <c r="BO155" s="1488">
        <v>6.6816290203394662</v>
      </c>
      <c r="BP155" s="1488">
        <v>6.7131407697146503</v>
      </c>
      <c r="BQ155" s="1488">
        <v>6.7448011340975915</v>
      </c>
      <c r="BR155" s="1488">
        <v>6.7719111125525773</v>
      </c>
      <c r="BS155" s="1488">
        <v>6.7991300565526132</v>
      </c>
      <c r="BT155" s="1488">
        <v>6.8264584040725946</v>
      </c>
      <c r="BU155" s="1488">
        <v>6.8538965948478108</v>
      </c>
      <c r="BV155" s="1488">
        <v>6.8814450703810159</v>
      </c>
      <c r="BW155" s="1488">
        <v>6.904293491437457</v>
      </c>
      <c r="BX155" s="1488">
        <v>6.9272177759701634</v>
      </c>
      <c r="BY155" s="1488">
        <v>6.9502181758681845</v>
      </c>
      <c r="BZ155" s="1488">
        <v>6.9732949438569127</v>
      </c>
      <c r="CA155" s="1488">
        <v>6.996448333500866</v>
      </c>
      <c r="CB155" s="1488">
        <v>7.0113782521851409</v>
      </c>
      <c r="CC155" s="1488">
        <v>7.0263400302445289</v>
      </c>
      <c r="CD155" s="1488">
        <v>7.0413337356646508</v>
      </c>
      <c r="CE155" s="1488">
        <v>7.0563594365762032</v>
      </c>
      <c r="CF155" s="1488">
        <v>7.0714172012552687</v>
      </c>
      <c r="CG155" s="1488">
        <v>7.0763063619291211</v>
      </c>
      <c r="CH155" s="1488">
        <v>7.0811989029567863</v>
      </c>
      <c r="CI155" s="1488">
        <v>7.0860948266754322</v>
      </c>
      <c r="CJ155" s="1488">
        <v>7.090994135423843</v>
      </c>
      <c r="CK155" s="1488">
        <v>7.0958968315424205</v>
      </c>
      <c r="CL155" s="1488">
        <v>7.0975586278944007</v>
      </c>
      <c r="CM155" s="1488">
        <v>7.0992208134244059</v>
      </c>
      <c r="CN155" s="1488">
        <v>7.1008833882235782</v>
      </c>
      <c r="CO155" s="1488">
        <v>7.1025463523830812</v>
      </c>
      <c r="CP155" s="1488">
        <v>7.1042097059940996</v>
      </c>
      <c r="CQ155" s="1488">
        <v>7.1067306780935082</v>
      </c>
      <c r="CR155" s="1488">
        <v>7.1092525447752264</v>
      </c>
      <c r="CS155" s="1488">
        <v>7.1117753063567024</v>
      </c>
      <c r="CT155" s="1488">
        <v>7.1142989631554965</v>
      </c>
      <c r="CU155" s="1488">
        <v>7.1168235154892816</v>
      </c>
      <c r="CV155" s="1488">
        <v>7.1207088122192239</v>
      </c>
      <c r="CW155" s="1488">
        <v>7.1245962300542702</v>
      </c>
      <c r="CX155" s="1488">
        <v>7.1284857701523974</v>
      </c>
      <c r="CY155" s="1488">
        <v>7.1323774336722154</v>
      </c>
      <c r="CZ155" s="1489">
        <v>7.1362712217729669</v>
      </c>
    </row>
    <row r="156" spans="1:104" x14ac:dyDescent="0.25">
      <c r="A156" s="1487" t="s">
        <v>1086</v>
      </c>
      <c r="B156" s="1488"/>
      <c r="C156" s="1488"/>
      <c r="D156" s="1488"/>
      <c r="E156" s="1488"/>
      <c r="F156" s="1488"/>
      <c r="G156" s="1488"/>
      <c r="H156" s="1488">
        <v>8.4160389626855991</v>
      </c>
      <c r="I156" s="1488">
        <v>10.630483084185546</v>
      </c>
      <c r="J156" s="1488">
        <v>10.241695834954719</v>
      </c>
      <c r="K156" s="1488">
        <v>9.4549147526367854</v>
      </c>
      <c r="L156" s="1488">
        <v>10.431438353650302</v>
      </c>
      <c r="M156" s="1488">
        <v>7.3081429877632402</v>
      </c>
      <c r="N156" s="1488">
        <v>6.8860004096407268</v>
      </c>
      <c r="O156" s="1488">
        <v>6.1462564207083838</v>
      </c>
      <c r="P156" s="1488">
        <v>5.0701845410069568</v>
      </c>
      <c r="Q156" s="1488">
        <v>5.147940545971605</v>
      </c>
      <c r="R156" s="1488">
        <v>5.9174075441245835</v>
      </c>
      <c r="S156" s="1488">
        <v>4.3672641892083037</v>
      </c>
      <c r="T156" s="1488">
        <v>3.755553639162041</v>
      </c>
      <c r="U156" s="1488">
        <v>3.3468214009493336</v>
      </c>
      <c r="V156" s="1488">
        <v>3.6078009129373227</v>
      </c>
      <c r="W156" s="1488">
        <v>3.9595869792693468</v>
      </c>
      <c r="X156" s="1488">
        <v>4.2992239274502966</v>
      </c>
      <c r="Y156" s="1488">
        <v>4.3362295461094007</v>
      </c>
      <c r="Z156" s="1488">
        <v>4.2972619462853157</v>
      </c>
      <c r="AA156" s="1488">
        <v>4.3209431537283329</v>
      </c>
      <c r="AB156" s="1488">
        <v>4.4388231525151278</v>
      </c>
      <c r="AC156" s="1488">
        <v>4.5598555906037213</v>
      </c>
      <c r="AD156" s="1488">
        <v>4.6705511366221319</v>
      </c>
      <c r="AE156" s="1488">
        <v>4.7905826799714895</v>
      </c>
      <c r="AF156" s="1488">
        <v>4.8909868291351355</v>
      </c>
      <c r="AG156" s="1488">
        <v>4.9795195705251665</v>
      </c>
      <c r="AH156" s="1488">
        <v>5.0140428564929254</v>
      </c>
      <c r="AI156" s="1488">
        <v>5.034241784322349</v>
      </c>
      <c r="AJ156" s="1488">
        <v>5.0303794300966009</v>
      </c>
      <c r="AK156" s="1488">
        <v>4.9817061843162831</v>
      </c>
      <c r="AL156" s="1488">
        <v>5.005816752854825</v>
      </c>
      <c r="AM156" s="1488">
        <v>5.1117353012541518</v>
      </c>
      <c r="AN156" s="1488">
        <v>5.1218001698488047</v>
      </c>
      <c r="AO156" s="1488">
        <v>5.1563490468752367</v>
      </c>
      <c r="AP156" s="1488">
        <v>5.1654177598155924</v>
      </c>
      <c r="AQ156" s="1488">
        <v>5.1952502995101684</v>
      </c>
      <c r="AR156" s="1488">
        <v>5.1548078964528896</v>
      </c>
      <c r="AS156" s="1488">
        <v>5.1691436283950809</v>
      </c>
      <c r="AT156" s="1488">
        <v>5.2239208155775625</v>
      </c>
      <c r="AU156" s="1488">
        <v>5.3036701369405987</v>
      </c>
      <c r="AV156" s="1488">
        <v>5.3698761013633396</v>
      </c>
      <c r="AW156" s="1488">
        <v>5.4477553798092231</v>
      </c>
      <c r="AX156" s="1488">
        <v>5.5105548899774046</v>
      </c>
      <c r="AY156" s="1488">
        <v>5.5735610242489493</v>
      </c>
      <c r="AZ156" s="1488">
        <v>5.6745566112130543</v>
      </c>
      <c r="BA156" s="1488">
        <v>5.7069198222653581</v>
      </c>
      <c r="BB156" s="1488">
        <v>5.8107835034348891</v>
      </c>
      <c r="BC156" s="1488">
        <v>5.8430876323795795</v>
      </c>
      <c r="BD156" s="1488">
        <v>5.8755713510037442</v>
      </c>
      <c r="BE156" s="1488">
        <v>5.9082356577077126</v>
      </c>
      <c r="BF156" s="1488">
        <v>5.9410815564422617</v>
      </c>
      <c r="BG156" s="1488">
        <v>5.974110056739474</v>
      </c>
      <c r="BH156" s="1488">
        <v>6.006175946840397</v>
      </c>
      <c r="BI156" s="1488">
        <v>6.0384139498247791</v>
      </c>
      <c r="BJ156" s="1488">
        <v>6.0708249895043265</v>
      </c>
      <c r="BK156" s="1488">
        <v>6.1034099946492821</v>
      </c>
      <c r="BL156" s="1488">
        <v>6.1361698990150408</v>
      </c>
      <c r="BM156" s="1488">
        <v>6.1651091662794615</v>
      </c>
      <c r="BN156" s="1488">
        <v>6.1941849162690321</v>
      </c>
      <c r="BO156" s="1488">
        <v>6.2233977926605295</v>
      </c>
      <c r="BP156" s="1488">
        <v>6.2527484421664239</v>
      </c>
      <c r="BQ156" s="1488">
        <v>6.2822375145491964</v>
      </c>
      <c r="BR156" s="1488">
        <v>6.3074882699506478</v>
      </c>
      <c r="BS156" s="1488">
        <v>6.3328405179567433</v>
      </c>
      <c r="BT156" s="1488">
        <v>6.3582946665057261</v>
      </c>
      <c r="BU156" s="1488">
        <v>6.3838511251755019</v>
      </c>
      <c r="BV156" s="1488">
        <v>6.4095103051902287</v>
      </c>
      <c r="BW156" s="1488">
        <v>6.4307917640583545</v>
      </c>
      <c r="BX156" s="1488">
        <v>6.4521438836275307</v>
      </c>
      <c r="BY156" s="1488">
        <v>6.473566898512062</v>
      </c>
      <c r="BZ156" s="1488">
        <v>6.4950610441052419</v>
      </c>
      <c r="CA156" s="1488">
        <v>6.5166265565819383</v>
      </c>
      <c r="CB156" s="1488">
        <v>6.5305325700258869</v>
      </c>
      <c r="CC156" s="1488">
        <v>6.5444682579046409</v>
      </c>
      <c r="CD156" s="1488">
        <v>6.5584336835413142</v>
      </c>
      <c r="CE156" s="1488">
        <v>6.5724289103941489</v>
      </c>
      <c r="CF156" s="1488">
        <v>6.5864540020568016</v>
      </c>
      <c r="CG156" s="1488">
        <v>6.5910078603528843</v>
      </c>
      <c r="CH156" s="1488">
        <v>6.5955648671755291</v>
      </c>
      <c r="CI156" s="1488">
        <v>6.6001250247016205</v>
      </c>
      <c r="CJ156" s="1488">
        <v>6.6046883351095476</v>
      </c>
      <c r="CK156" s="1488">
        <v>6.6092548005792047</v>
      </c>
      <c r="CL156" s="1488">
        <v>6.6108026296665843</v>
      </c>
      <c r="CM156" s="1488">
        <v>6.6123508212418631</v>
      </c>
      <c r="CN156" s="1488">
        <v>6.6138993753899316</v>
      </c>
      <c r="CO156" s="1488">
        <v>6.6154482921957012</v>
      </c>
      <c r="CP156" s="1488">
        <v>6.6169975717441041</v>
      </c>
      <c r="CQ156" s="1488">
        <v>6.6193456536491393</v>
      </c>
      <c r="CR156" s="1488">
        <v>6.6216945687853457</v>
      </c>
      <c r="CS156" s="1488">
        <v>6.6240443174483996</v>
      </c>
      <c r="CT156" s="1488">
        <v>6.6263948999340831</v>
      </c>
      <c r="CU156" s="1488">
        <v>6.6287463165382841</v>
      </c>
      <c r="CV156" s="1488">
        <v>6.6323651566473876</v>
      </c>
      <c r="CW156" s="1488">
        <v>6.6359859723945851</v>
      </c>
      <c r="CX156" s="1488">
        <v>6.6396087648584388</v>
      </c>
      <c r="CY156" s="1488">
        <v>6.6432335351180996</v>
      </c>
      <c r="CZ156" s="1489">
        <v>6.6468602842533091</v>
      </c>
    </row>
    <row r="157" spans="1:104" x14ac:dyDescent="0.25">
      <c r="A157" s="1487" t="s">
        <v>1081</v>
      </c>
      <c r="B157" s="1488"/>
      <c r="C157" s="1488"/>
      <c r="D157" s="1488"/>
      <c r="E157" s="1488"/>
      <c r="F157" s="1488"/>
      <c r="G157" s="1488"/>
      <c r="H157" s="1488">
        <v>5.0967849132778742</v>
      </c>
      <c r="I157" s="1488">
        <v>5.0967849132778742</v>
      </c>
      <c r="J157" s="1488">
        <v>5.0967849132778742</v>
      </c>
      <c r="K157" s="1488">
        <v>5.0967849132778742</v>
      </c>
      <c r="L157" s="1488">
        <v>5.0967849132778742</v>
      </c>
      <c r="M157" s="1488">
        <v>5.0967849132778742</v>
      </c>
      <c r="N157" s="1488">
        <v>5.0967849132778742</v>
      </c>
      <c r="O157" s="1488">
        <v>5.0967849132778742</v>
      </c>
      <c r="P157" s="1488">
        <v>5.0967849132778742</v>
      </c>
      <c r="Q157" s="1488">
        <v>5.0967849132778742</v>
      </c>
      <c r="R157" s="1488">
        <v>5.0967849132778742</v>
      </c>
      <c r="S157" s="1488">
        <v>5.0967849132778742</v>
      </c>
      <c r="T157" s="1488">
        <v>5.0967849132778742</v>
      </c>
      <c r="U157" s="1488">
        <v>5.0967849132778742</v>
      </c>
      <c r="V157" s="1488">
        <v>5.0967849132778742</v>
      </c>
      <c r="W157" s="1488">
        <v>5.0967849132778742</v>
      </c>
      <c r="X157" s="1488">
        <v>5.0967849132778742</v>
      </c>
      <c r="Y157" s="1488">
        <v>5.0967849132778742</v>
      </c>
      <c r="Z157" s="1488">
        <v>5.0967849132778742</v>
      </c>
      <c r="AA157" s="1488">
        <v>5.0967849132778742</v>
      </c>
      <c r="AB157" s="1488">
        <v>5.0967849132778742</v>
      </c>
      <c r="AC157" s="1488">
        <v>5.0967849132778742</v>
      </c>
      <c r="AD157" s="1488">
        <v>5.0967849132778742</v>
      </c>
      <c r="AE157" s="1488">
        <v>5.0967849132778742</v>
      </c>
      <c r="AF157" s="1488">
        <v>5.0967849132778742</v>
      </c>
      <c r="AG157" s="1488">
        <v>5.0967849132778742</v>
      </c>
      <c r="AH157" s="1488">
        <v>5.0967849132778742</v>
      </c>
      <c r="AI157" s="1488">
        <v>5.0967849132778742</v>
      </c>
      <c r="AJ157" s="1488">
        <v>5.0967849132778742</v>
      </c>
      <c r="AK157" s="1488">
        <v>5.0967849132778742</v>
      </c>
      <c r="AL157" s="1488">
        <v>5.0967849132778742</v>
      </c>
      <c r="AM157" s="1488">
        <v>5.0967849132778742</v>
      </c>
      <c r="AN157" s="1488">
        <v>5.0967849132778742</v>
      </c>
      <c r="AO157" s="1488">
        <v>5.0967849132778742</v>
      </c>
      <c r="AP157" s="1488">
        <v>5.0967849132778742</v>
      </c>
      <c r="AQ157" s="1488">
        <v>5.0967849132778742</v>
      </c>
      <c r="AR157" s="1488">
        <v>5.0967849132778742</v>
      </c>
      <c r="AS157" s="1488">
        <v>5.0967849132778742</v>
      </c>
      <c r="AT157" s="1488">
        <v>5.0967849132778742</v>
      </c>
      <c r="AU157" s="1488">
        <v>5.0967849132778742</v>
      </c>
      <c r="AV157" s="1488">
        <v>5.0967849132778742</v>
      </c>
      <c r="AW157" s="1488">
        <v>5.0967849132778742</v>
      </c>
      <c r="AX157" s="1488">
        <v>5.0967849132778742</v>
      </c>
      <c r="AY157" s="1488">
        <v>5.0967849132778742</v>
      </c>
      <c r="AZ157" s="1488">
        <v>5.0967849132778742</v>
      </c>
      <c r="BA157" s="1488">
        <v>5.0967849132778742</v>
      </c>
      <c r="BB157" s="1488">
        <v>5.0967849132778742</v>
      </c>
      <c r="BC157" s="1488">
        <v>5.1179587571540939</v>
      </c>
      <c r="BD157" s="1488">
        <v>5.1392205646528959</v>
      </c>
      <c r="BE157" s="1488">
        <v>5.1605707012062227</v>
      </c>
      <c r="BF157" s="1488">
        <v>5.1820095337641501</v>
      </c>
      <c r="BG157" s="1488">
        <v>5.2035374308011946</v>
      </c>
      <c r="BH157" s="1488">
        <v>5.2223240063357927</v>
      </c>
      <c r="BI157" s="1488">
        <v>5.2411784079262249</v>
      </c>
      <c r="BJ157" s="1488">
        <v>5.2601008804480855</v>
      </c>
      <c r="BK157" s="1488">
        <v>5.2790916696610548</v>
      </c>
      <c r="BL157" s="1488">
        <v>5.2981510222120916</v>
      </c>
      <c r="BM157" s="1488">
        <v>5.3113630812048802</v>
      </c>
      <c r="BN157" s="1488">
        <v>5.3246080872582748</v>
      </c>
      <c r="BO157" s="1488">
        <v>5.3378861225327325</v>
      </c>
      <c r="BP157" s="1488">
        <v>5.3511972693935945</v>
      </c>
      <c r="BQ157" s="1488">
        <v>5.3645416104115968</v>
      </c>
      <c r="BR157" s="1488">
        <v>5.3779717491778074</v>
      </c>
      <c r="BS157" s="1488">
        <v>5.3914355103185612</v>
      </c>
      <c r="BT157" s="1488">
        <v>5.4049329780075288</v>
      </c>
      <c r="BU157" s="1488">
        <v>5.4184642366291094</v>
      </c>
      <c r="BV157" s="1488">
        <v>5.4320293707789578</v>
      </c>
      <c r="BW157" s="1488">
        <v>5.4450858323773135</v>
      </c>
      <c r="BX157" s="1488">
        <v>5.458173676572823</v>
      </c>
      <c r="BY157" s="1488">
        <v>5.471292978796904</v>
      </c>
      <c r="BZ157" s="1488">
        <v>5.4844438146622805</v>
      </c>
      <c r="CA157" s="1488">
        <v>5.4976262599634209</v>
      </c>
      <c r="CB157" s="1488">
        <v>5.509165721372697</v>
      </c>
      <c r="CC157" s="1488">
        <v>5.5207294039936956</v>
      </c>
      <c r="CD157" s="1488">
        <v>5.5323173586664938</v>
      </c>
      <c r="CE157" s="1488">
        <v>5.5439296363378796</v>
      </c>
      <c r="CF157" s="1488">
        <v>5.5555662880615797</v>
      </c>
      <c r="CG157" s="1488">
        <v>5.5698816197819898</v>
      </c>
      <c r="CH157" s="1488">
        <v>5.5842338386011479</v>
      </c>
      <c r="CI157" s="1488">
        <v>5.598623039568059</v>
      </c>
      <c r="CJ157" s="1488">
        <v>5.6130493179766479</v>
      </c>
      <c r="CK157" s="1488">
        <v>5.6275127693663878</v>
      </c>
      <c r="CL157" s="1488">
        <v>5.6395580019552014</v>
      </c>
      <c r="CM157" s="1488">
        <v>5.6516290163830023</v>
      </c>
      <c r="CN157" s="1488">
        <v>5.6637258678337163</v>
      </c>
      <c r="CO157" s="1488">
        <v>5.6758486116093856</v>
      </c>
      <c r="CP157" s="1488">
        <v>5.6879973031304223</v>
      </c>
      <c r="CQ157" s="1488">
        <v>5.6991168854631553</v>
      </c>
      <c r="CR157" s="1488">
        <v>5.7102582056949531</v>
      </c>
      <c r="CS157" s="1488">
        <v>5.7214213063216786</v>
      </c>
      <c r="CT157" s="1488">
        <v>5.732606229922272</v>
      </c>
      <c r="CU157" s="1488">
        <v>5.7438130191589121</v>
      </c>
      <c r="CV157" s="1488">
        <v>5.7570440466225028</v>
      </c>
      <c r="CW157" s="1488">
        <v>5.7703055521130002</v>
      </c>
      <c r="CX157" s="1488">
        <v>5.7835976058373566</v>
      </c>
      <c r="CY157" s="1488">
        <v>5.796920278164249</v>
      </c>
      <c r="CZ157" s="1489">
        <v>5.8102736396244499</v>
      </c>
    </row>
    <row r="158" spans="1:104" x14ac:dyDescent="0.25">
      <c r="A158" s="1487" t="s">
        <v>1087</v>
      </c>
      <c r="B158" s="1488"/>
      <c r="C158" s="1488"/>
      <c r="D158" s="1488"/>
      <c r="E158" s="1488"/>
      <c r="F158" s="1488"/>
      <c r="G158" s="1488"/>
      <c r="H158" s="1488" t="e">
        <v>#N/A</v>
      </c>
      <c r="I158" s="1488" t="e">
        <v>#N/A</v>
      </c>
      <c r="J158" s="1488" t="e">
        <v>#N/A</v>
      </c>
      <c r="K158" s="1488" t="e">
        <v>#N/A</v>
      </c>
      <c r="L158" s="1488">
        <v>2.2148742453355847</v>
      </c>
      <c r="M158" s="1488">
        <v>2.3408877437334223</v>
      </c>
      <c r="N158" s="1488">
        <v>2.3629142410275352</v>
      </c>
      <c r="O158" s="1488">
        <v>2.4181318326423913</v>
      </c>
      <c r="P158" s="1488">
        <v>2.3501923436687169</v>
      </c>
      <c r="Q158" s="1488">
        <v>2.2749877363600257</v>
      </c>
      <c r="R158" s="1488">
        <v>2.2671813119268305</v>
      </c>
      <c r="S158" s="1488">
        <v>2.0920368648072634</v>
      </c>
      <c r="T158" s="1488">
        <v>1.9706687398025258</v>
      </c>
      <c r="U158" s="1488">
        <v>2.067600203211962</v>
      </c>
      <c r="V158" s="1488">
        <v>2.1142782942327232</v>
      </c>
      <c r="W158" s="1488">
        <v>2.1573963846468813</v>
      </c>
      <c r="X158" s="1488">
        <v>2.1900363582596567</v>
      </c>
      <c r="Y158" s="1488">
        <v>2.1929897559939948</v>
      </c>
      <c r="Z158" s="1488">
        <v>2.2028650611910647</v>
      </c>
      <c r="AA158" s="1488">
        <v>2.2090827406317772</v>
      </c>
      <c r="AB158" s="1488">
        <v>2.2092997907220093</v>
      </c>
      <c r="AC158" s="1488">
        <v>2.2079918032786887</v>
      </c>
      <c r="AD158" s="1488">
        <v>2.2065492258230841</v>
      </c>
      <c r="AE158" s="1488">
        <v>2.1995552842692714</v>
      </c>
      <c r="AF158" s="1488">
        <v>2.1903510334996437</v>
      </c>
      <c r="AG158" s="1488">
        <v>2.1795345460335755</v>
      </c>
      <c r="AH158" s="1488">
        <v>2.1771697426487315</v>
      </c>
      <c r="AI158" s="1488">
        <v>2.177831318906295</v>
      </c>
      <c r="AJ158" s="1488">
        <v>2.1809505846135182</v>
      </c>
      <c r="AK158" s="1488">
        <v>2.1861806387528246</v>
      </c>
      <c r="AL158" s="1488">
        <v>2.1973402359685172</v>
      </c>
      <c r="AM158" s="1488">
        <v>2.2020565733003745</v>
      </c>
      <c r="AN158" s="1488">
        <v>2.2177912831167257</v>
      </c>
      <c r="AO158" s="1488">
        <v>2.2206593773221517</v>
      </c>
      <c r="AP158" s="1488">
        <v>2.2289385587115755</v>
      </c>
      <c r="AQ158" s="1488">
        <v>2.2351116907538557</v>
      </c>
      <c r="AR158" s="1488">
        <v>2.2481536525075447</v>
      </c>
      <c r="AS158" s="1488">
        <v>2.2492673374683427</v>
      </c>
      <c r="AT158" s="1488">
        <v>2.2496910116619402</v>
      </c>
      <c r="AU158" s="1488">
        <v>2.2544263053335558</v>
      </c>
      <c r="AV158" s="1488">
        <v>2.2540196918457411</v>
      </c>
      <c r="AW158" s="1488">
        <v>2.2546357728878843</v>
      </c>
      <c r="AX158" s="1488">
        <v>2.2490256441364247</v>
      </c>
      <c r="AY158" s="1488">
        <v>2.2531477002168603</v>
      </c>
      <c r="AZ158" s="1488">
        <v>2.2540841434009193</v>
      </c>
      <c r="BA158" s="1488">
        <v>2.2596705767276806</v>
      </c>
      <c r="BB158" s="1488">
        <v>2.2620458060993922</v>
      </c>
      <c r="BC158" s="1488">
        <v>2.2703711301923084</v>
      </c>
      <c r="BD158" s="1488">
        <v>2.2787270951418623</v>
      </c>
      <c r="BE158" s="1488">
        <v>2.2871138137198912</v>
      </c>
      <c r="BF158" s="1488">
        <v>2.2955313991132824</v>
      </c>
      <c r="BG158" s="1488">
        <v>2.3039799649255008</v>
      </c>
      <c r="BH158" s="1488">
        <v>2.3125787529279784</v>
      </c>
      <c r="BI158" s="1488">
        <v>2.3212096328567045</v>
      </c>
      <c r="BJ158" s="1488">
        <v>2.3298727244834101</v>
      </c>
      <c r="BK158" s="1488">
        <v>2.338568148026833</v>
      </c>
      <c r="BL158" s="1488">
        <v>2.3472960241543843</v>
      </c>
      <c r="BM158" s="1488">
        <v>2.3559838582312191</v>
      </c>
      <c r="BN158" s="1488">
        <v>2.3647038478010849</v>
      </c>
      <c r="BO158" s="1488">
        <v>2.3734561118781943</v>
      </c>
      <c r="BP158" s="1488">
        <v>2.3822407699172565</v>
      </c>
      <c r="BQ158" s="1488">
        <v>2.3910579418151077</v>
      </c>
      <c r="BR158" s="1488">
        <v>2.3997099382358895</v>
      </c>
      <c r="BS158" s="1488">
        <v>2.4083932417365861</v>
      </c>
      <c r="BT158" s="1488">
        <v>2.4171079656012542</v>
      </c>
      <c r="BU158" s="1488">
        <v>2.4258542235238663</v>
      </c>
      <c r="BV158" s="1488">
        <v>2.434632129609795</v>
      </c>
      <c r="BW158" s="1488">
        <v>2.4428635118796533</v>
      </c>
      <c r="BX158" s="1488">
        <v>2.4511227240845761</v>
      </c>
      <c r="BY158" s="1488">
        <v>2.4594098603163279</v>
      </c>
      <c r="BZ158" s="1488">
        <v>2.467725014984794</v>
      </c>
      <c r="CA158" s="1488">
        <v>2.476068282819055</v>
      </c>
      <c r="CB158" s="1488">
        <v>2.4831576550549128</v>
      </c>
      <c r="CC158" s="1488">
        <v>2.4902673252765117</v>
      </c>
      <c r="CD158" s="1488">
        <v>2.4973973516001715</v>
      </c>
      <c r="CE158" s="1488">
        <v>2.5045477923086086</v>
      </c>
      <c r="CF158" s="1488">
        <v>2.5117187058514112</v>
      </c>
      <c r="CG158" s="1488">
        <v>2.5171937058097216</v>
      </c>
      <c r="CH158" s="1488">
        <v>2.5226806400759916</v>
      </c>
      <c r="CI158" s="1488">
        <v>2.5281795346644143</v>
      </c>
      <c r="CJ158" s="1488">
        <v>2.5336904156458884</v>
      </c>
      <c r="CK158" s="1488">
        <v>2.539213309148141</v>
      </c>
      <c r="CL158" s="1488">
        <v>2.5429573704375228</v>
      </c>
      <c r="CM158" s="1488">
        <v>2.5467069523323964</v>
      </c>
      <c r="CN158" s="1488">
        <v>2.5504620629728754</v>
      </c>
      <c r="CO158" s="1488">
        <v>2.554222710511076</v>
      </c>
      <c r="CP158" s="1488">
        <v>2.5579889031111347</v>
      </c>
      <c r="CQ158" s="1488">
        <v>2.5592501421168059</v>
      </c>
      <c r="CR158" s="1488">
        <v>2.5605120029875006</v>
      </c>
      <c r="CS158" s="1488">
        <v>2.5617744860298348</v>
      </c>
      <c r="CT158" s="1488">
        <v>2.5630375915505756</v>
      </c>
      <c r="CU158" s="1488">
        <v>2.564301319856642</v>
      </c>
      <c r="CV158" s="1488">
        <v>2.5624850697467836</v>
      </c>
      <c r="CW158" s="1488">
        <v>2.5606701060553489</v>
      </c>
      <c r="CX158" s="1488">
        <v>2.5588564278711901</v>
      </c>
      <c r="CY158" s="1488">
        <v>2.5570440342838041</v>
      </c>
      <c r="CZ158" s="1489">
        <v>2.555232924383334</v>
      </c>
    </row>
    <row r="159" spans="1:104" x14ac:dyDescent="0.25">
      <c r="A159" s="1487" t="s">
        <v>683</v>
      </c>
      <c r="B159" s="1488"/>
      <c r="C159" s="1488"/>
      <c r="D159" s="1488"/>
      <c r="E159" s="1488"/>
      <c r="F159" s="1488"/>
      <c r="G159" s="1488"/>
      <c r="H159" s="1488">
        <v>28.373013628420669</v>
      </c>
      <c r="I159" s="1488">
        <v>29.17093293229123</v>
      </c>
      <c r="J159" s="1488">
        <v>30.878569780545078</v>
      </c>
      <c r="K159" s="1488">
        <v>30.682595180991225</v>
      </c>
      <c r="L159" s="1488">
        <v>31.992353762541459</v>
      </c>
      <c r="M159" s="1488">
        <v>31.4429334181984</v>
      </c>
      <c r="N159" s="1488">
        <v>31.156600892671783</v>
      </c>
      <c r="O159" s="1488">
        <v>30.676058322376605</v>
      </c>
      <c r="P159" s="1488">
        <v>29.679126186318804</v>
      </c>
      <c r="Q159" s="1488">
        <v>29.700131988890092</v>
      </c>
      <c r="R159" s="1488">
        <v>30.54196479432273</v>
      </c>
      <c r="S159" s="1488">
        <v>29.932211922183079</v>
      </c>
      <c r="T159" s="1488">
        <v>28.972214109999999</v>
      </c>
      <c r="U159" s="1488">
        <v>29.128232055928784</v>
      </c>
      <c r="V159" s="1488">
        <v>28.995688380521983</v>
      </c>
      <c r="W159" s="1488">
        <v>29.39475155821113</v>
      </c>
      <c r="X159" s="1488">
        <v>29.885964346916182</v>
      </c>
      <c r="Y159" s="1488">
        <v>30.089071101439163</v>
      </c>
      <c r="Z159" s="1488">
        <v>31.081689502737298</v>
      </c>
      <c r="AA159" s="1488">
        <v>31.400245105473072</v>
      </c>
      <c r="AB159" s="1488">
        <v>31.337976372818122</v>
      </c>
      <c r="AC159" s="1488">
        <v>31.854564117923594</v>
      </c>
      <c r="AD159" s="1488">
        <v>32.189964324168578</v>
      </c>
      <c r="AE159" s="1488">
        <v>32.274661250208517</v>
      </c>
      <c r="AF159" s="1488">
        <v>32.347049824843424</v>
      </c>
      <c r="AG159" s="1488">
        <v>32.398275541772193</v>
      </c>
      <c r="AH159" s="1488">
        <v>32.473329377777105</v>
      </c>
      <c r="AI159" s="1488">
        <v>32.424485524938959</v>
      </c>
      <c r="AJ159" s="1488">
        <v>32.33705604252286</v>
      </c>
      <c r="AK159" s="1488">
        <v>32.213589610409308</v>
      </c>
      <c r="AL159" s="1488">
        <v>32.123147965605618</v>
      </c>
      <c r="AM159" s="1488">
        <v>32.189031672252469</v>
      </c>
      <c r="AN159" s="1488">
        <v>32.20134665837643</v>
      </c>
      <c r="AO159" s="1488">
        <v>32.137342472816606</v>
      </c>
      <c r="AP159" s="1488">
        <v>32.106067355666433</v>
      </c>
      <c r="AQ159" s="1488">
        <v>32.055398007309563</v>
      </c>
      <c r="AR159" s="1488">
        <v>31.985796962436115</v>
      </c>
      <c r="AS159" s="1488">
        <v>31.883579639374592</v>
      </c>
      <c r="AT159" s="1488">
        <v>31.88043762605966</v>
      </c>
      <c r="AU159" s="1488">
        <v>31.921825950470875</v>
      </c>
      <c r="AV159" s="1488">
        <v>31.967798865652629</v>
      </c>
      <c r="AW159" s="1488">
        <v>32.011030694105337</v>
      </c>
      <c r="AX159" s="1488">
        <v>32.04019407500644</v>
      </c>
      <c r="AY159" s="1488">
        <v>32.084258086774547</v>
      </c>
      <c r="AZ159" s="1488">
        <v>32.12290532445671</v>
      </c>
      <c r="BA159" s="1488">
        <v>32.1438833578502</v>
      </c>
      <c r="BB159" s="1488">
        <v>32.210559439498944</v>
      </c>
      <c r="BC159" s="1488">
        <v>32.212518425109167</v>
      </c>
      <c r="BD159" s="1488">
        <v>32.214477529861206</v>
      </c>
      <c r="BE159" s="1488">
        <v>32.216436753762309</v>
      </c>
      <c r="BF159" s="1488">
        <v>32.218396096819724</v>
      </c>
      <c r="BG159" s="1488">
        <v>32.220355559040698</v>
      </c>
      <c r="BH159" s="1488">
        <v>32.225068562587758</v>
      </c>
      <c r="BI159" s="1488">
        <v>32.229782255525173</v>
      </c>
      <c r="BJ159" s="1488">
        <v>32.234496637953782</v>
      </c>
      <c r="BK159" s="1488">
        <v>32.239211709974448</v>
      </c>
      <c r="BL159" s="1488">
        <v>32.243927471688032</v>
      </c>
      <c r="BM159" s="1488">
        <v>32.234738373564198</v>
      </c>
      <c r="BN159" s="1488">
        <v>32.225551894213289</v>
      </c>
      <c r="BO159" s="1488">
        <v>32.216368032888994</v>
      </c>
      <c r="BP159" s="1488">
        <v>32.207186788845206</v>
      </c>
      <c r="BQ159" s="1488">
        <v>32.198008161336034</v>
      </c>
      <c r="BR159" s="1488">
        <v>32.188328675270981</v>
      </c>
      <c r="BS159" s="1488">
        <v>32.178652099089362</v>
      </c>
      <c r="BT159" s="1488">
        <v>32.168978431916393</v>
      </c>
      <c r="BU159" s="1488">
        <v>32.15930767287756</v>
      </c>
      <c r="BV159" s="1488">
        <v>32.14963982109861</v>
      </c>
      <c r="BW159" s="1488">
        <v>32.135484213462775</v>
      </c>
      <c r="BX159" s="1488">
        <v>32.121334838594358</v>
      </c>
      <c r="BY159" s="1488">
        <v>32.107191693749044</v>
      </c>
      <c r="BZ159" s="1488">
        <v>32.093054776183735</v>
      </c>
      <c r="CA159" s="1488">
        <v>32.078924083156537</v>
      </c>
      <c r="CB159" s="1488">
        <v>32.05322936592912</v>
      </c>
      <c r="CC159" s="1488">
        <v>32.027555229768936</v>
      </c>
      <c r="CD159" s="1488">
        <v>32.001901658190874</v>
      </c>
      <c r="CE159" s="1488">
        <v>31.976268634723027</v>
      </c>
      <c r="CF159" s="1488">
        <v>31.950656142906677</v>
      </c>
      <c r="CG159" s="1488">
        <v>31.915373500092528</v>
      </c>
      <c r="CH159" s="1488">
        <v>31.880129819385399</v>
      </c>
      <c r="CI159" s="1488">
        <v>31.844925057760001</v>
      </c>
      <c r="CJ159" s="1488">
        <v>31.809759172238564</v>
      </c>
      <c r="CK159" s="1488">
        <v>31.774632119890772</v>
      </c>
      <c r="CL159" s="1488">
        <v>31.736335048107414</v>
      </c>
      <c r="CM159" s="1488">
        <v>31.698084134709202</v>
      </c>
      <c r="CN159" s="1488">
        <v>31.659879324062725</v>
      </c>
      <c r="CO159" s="1488">
        <v>31.621720560601634</v>
      </c>
      <c r="CP159" s="1488">
        <v>31.583607788826551</v>
      </c>
      <c r="CQ159" s="1488">
        <v>31.539463246970023</v>
      </c>
      <c r="CR159" s="1488">
        <v>31.495380406125889</v>
      </c>
      <c r="CS159" s="1488">
        <v>31.451359180054389</v>
      </c>
      <c r="CT159" s="1488">
        <v>31.407399482636293</v>
      </c>
      <c r="CU159" s="1488">
        <v>31.363501227872742</v>
      </c>
      <c r="CV159" s="1488">
        <v>31.320648715953933</v>
      </c>
      <c r="CW159" s="1488">
        <v>31.277854754187555</v>
      </c>
      <c r="CX159" s="1488">
        <v>31.235119262575491</v>
      </c>
      <c r="CY159" s="1488">
        <v>31.192442161228929</v>
      </c>
      <c r="CZ159" s="1489">
        <v>31.1498233703682</v>
      </c>
    </row>
    <row r="160" spans="1:104" x14ac:dyDescent="0.25">
      <c r="A160" s="1487" t="s">
        <v>698</v>
      </c>
      <c r="B160" s="1488"/>
      <c r="C160" s="1488"/>
      <c r="D160" s="1488"/>
      <c r="E160" s="1488"/>
      <c r="F160" s="1488"/>
      <c r="G160" s="1488"/>
      <c r="H160" s="1488">
        <v>18.232352698801531</v>
      </c>
      <c r="I160" s="1488">
        <v>19.279059481202857</v>
      </c>
      <c r="J160" s="1488">
        <v>20.106975671052609</v>
      </c>
      <c r="K160" s="1488">
        <v>20.31728323383771</v>
      </c>
      <c r="L160" s="1488">
        <v>21.702415417864383</v>
      </c>
      <c r="M160" s="1488">
        <v>21.137326303769196</v>
      </c>
      <c r="N160" s="1488">
        <v>20.699724047437488</v>
      </c>
      <c r="O160" s="1488">
        <v>20.430734156114106</v>
      </c>
      <c r="P160" s="1488">
        <v>19.619402543384187</v>
      </c>
      <c r="Q160" s="1488">
        <v>19.94482547791937</v>
      </c>
      <c r="R160" s="1488">
        <v>20.190684361237558</v>
      </c>
      <c r="S160" s="1488">
        <v>19.439058682545589</v>
      </c>
      <c r="T160" s="1488">
        <v>18.777772519999996</v>
      </c>
      <c r="U160" s="1488">
        <v>19.537493744407882</v>
      </c>
      <c r="V160" s="1488">
        <v>19.094688812726531</v>
      </c>
      <c r="W160" s="1488">
        <v>19.340880484069093</v>
      </c>
      <c r="X160" s="1488">
        <v>19.700726786066333</v>
      </c>
      <c r="Y160" s="1488">
        <v>19.809231927025674</v>
      </c>
      <c r="Z160" s="1488">
        <v>20.448628319255093</v>
      </c>
      <c r="AA160" s="1488">
        <v>20.513438149254636</v>
      </c>
      <c r="AB160" s="1488">
        <v>20.459361398826221</v>
      </c>
      <c r="AC160" s="1488">
        <v>20.950622526197662</v>
      </c>
      <c r="AD160" s="1488">
        <v>21.163384692376518</v>
      </c>
      <c r="AE160" s="1488">
        <v>21.285322295688569</v>
      </c>
      <c r="AF160" s="1488">
        <v>21.423623959296947</v>
      </c>
      <c r="AG160" s="1488">
        <v>21.53228264660833</v>
      </c>
      <c r="AH160" s="1488">
        <v>21.607771530610695</v>
      </c>
      <c r="AI160" s="1488">
        <v>21.635145433038627</v>
      </c>
      <c r="AJ160" s="1488">
        <v>21.585785019942069</v>
      </c>
      <c r="AK160" s="1488">
        <v>21.508628925857963</v>
      </c>
      <c r="AL160" s="1488">
        <v>21.446118499871098</v>
      </c>
      <c r="AM160" s="1488">
        <v>21.521952389257063</v>
      </c>
      <c r="AN160" s="1488">
        <v>21.600204159779199</v>
      </c>
      <c r="AO160" s="1488">
        <v>21.583872325260458</v>
      </c>
      <c r="AP160" s="1488">
        <v>21.588666383585327</v>
      </c>
      <c r="AQ160" s="1488">
        <v>21.605374501448264</v>
      </c>
      <c r="AR160" s="1488">
        <v>21.554715579078266</v>
      </c>
      <c r="AS160" s="1488">
        <v>21.491324631109631</v>
      </c>
      <c r="AT160" s="1488">
        <v>21.516251270074765</v>
      </c>
      <c r="AU160" s="1488">
        <v>21.58191413536343</v>
      </c>
      <c r="AV160" s="1488">
        <v>21.663232093841465</v>
      </c>
      <c r="AW160" s="1488">
        <v>21.742367229796333</v>
      </c>
      <c r="AX160" s="1488">
        <v>21.822824570449338</v>
      </c>
      <c r="AY160" s="1488">
        <v>21.895024529503647</v>
      </c>
      <c r="AZ160" s="1488">
        <v>21.976239175929997</v>
      </c>
      <c r="BA160" s="1488">
        <v>22.046603213478718</v>
      </c>
      <c r="BB160" s="1488">
        <v>22.114819497732821</v>
      </c>
      <c r="BC160" s="1488">
        <v>22.13487665280584</v>
      </c>
      <c r="BD160" s="1488">
        <v>22.15495199882406</v>
      </c>
      <c r="BE160" s="1488">
        <v>22.175045552285859</v>
      </c>
      <c r="BF160" s="1488">
        <v>22.195157329704575</v>
      </c>
      <c r="BG160" s="1488">
        <v>22.215287347608523</v>
      </c>
      <c r="BH160" s="1488">
        <v>22.237407284551185</v>
      </c>
      <c r="BI160" s="1488">
        <v>22.259549246489641</v>
      </c>
      <c r="BJ160" s="1488">
        <v>22.281713255354351</v>
      </c>
      <c r="BK160" s="1488">
        <v>22.303899333097611</v>
      </c>
      <c r="BL160" s="1488">
        <v>22.326107501693581</v>
      </c>
      <c r="BM160" s="1488">
        <v>22.336823207612067</v>
      </c>
      <c r="BN160" s="1488">
        <v>22.347544056673097</v>
      </c>
      <c r="BO160" s="1488">
        <v>22.358270051345187</v>
      </c>
      <c r="BP160" s="1488">
        <v>22.369001194098043</v>
      </c>
      <c r="BQ160" s="1488">
        <v>22.379737487402554</v>
      </c>
      <c r="BR160" s="1488">
        <v>22.390100389733625</v>
      </c>
      <c r="BS160" s="1488">
        <v>22.400468090590362</v>
      </c>
      <c r="BT160" s="1488">
        <v>22.410840592194713</v>
      </c>
      <c r="BU160" s="1488">
        <v>22.421217896769658</v>
      </c>
      <c r="BV160" s="1488">
        <v>22.431600006539206</v>
      </c>
      <c r="BW160" s="1488">
        <v>22.438377931004013</v>
      </c>
      <c r="BX160" s="1488">
        <v>22.44515790348412</v>
      </c>
      <c r="BY160" s="1488">
        <v>22.451939924598356</v>
      </c>
      <c r="BZ160" s="1488">
        <v>22.458723994965737</v>
      </c>
      <c r="CA160" s="1488">
        <v>22.465510115205461</v>
      </c>
      <c r="CB160" s="1488">
        <v>22.462969438648798</v>
      </c>
      <c r="CC160" s="1488">
        <v>22.46042904942313</v>
      </c>
      <c r="CD160" s="1488">
        <v>22.45788894749596</v>
      </c>
      <c r="CE160" s="1488">
        <v>22.455349132834797</v>
      </c>
      <c r="CF160" s="1488">
        <v>22.452809605407158</v>
      </c>
      <c r="CG160" s="1488">
        <v>22.442624812220661</v>
      </c>
      <c r="CH160" s="1488">
        <v>22.432444638946507</v>
      </c>
      <c r="CI160" s="1488">
        <v>22.422269083489063</v>
      </c>
      <c r="CJ160" s="1488">
        <v>22.412098143753649</v>
      </c>
      <c r="CK160" s="1488">
        <v>22.401931817646531</v>
      </c>
      <c r="CL160" s="1488">
        <v>22.389459823741635</v>
      </c>
      <c r="CM160" s="1488">
        <v>22.376994773462549</v>
      </c>
      <c r="CN160" s="1488">
        <v>22.364536662943497</v>
      </c>
      <c r="CO160" s="1488">
        <v>22.352085488320853</v>
      </c>
      <c r="CP160" s="1488">
        <v>22.339641245733144</v>
      </c>
      <c r="CQ160" s="1488">
        <v>22.322592014179389</v>
      </c>
      <c r="CR160" s="1488">
        <v>22.305555794307125</v>
      </c>
      <c r="CS160" s="1488">
        <v>22.288532576186064</v>
      </c>
      <c r="CT160" s="1488">
        <v>22.271522349893491</v>
      </c>
      <c r="CU160" s="1488">
        <v>22.254525105514261</v>
      </c>
      <c r="CV160" s="1488">
        <v>22.238544472899552</v>
      </c>
      <c r="CW160" s="1488">
        <v>22.222575315731635</v>
      </c>
      <c r="CX160" s="1488">
        <v>22.206617625770171</v>
      </c>
      <c r="CY160" s="1488">
        <v>22.190671394780733</v>
      </c>
      <c r="CZ160" s="1489">
        <v>22.174736614534808</v>
      </c>
    </row>
    <row r="161" spans="1:104" x14ac:dyDescent="0.25">
      <c r="A161" s="1490" t="s">
        <v>684</v>
      </c>
      <c r="B161" s="1491"/>
      <c r="C161" s="1491"/>
      <c r="D161" s="1491"/>
      <c r="E161" s="1491"/>
      <c r="F161" s="1491"/>
      <c r="G161" s="1491"/>
      <c r="H161" s="1491">
        <v>31.081820315099751</v>
      </c>
      <c r="I161" s="1491">
        <v>31.795307521355493</v>
      </c>
      <c r="J161" s="1491">
        <v>33.946842042036877</v>
      </c>
      <c r="K161" s="1491">
        <v>33.862138723062856</v>
      </c>
      <c r="L161" s="1491">
        <v>35.110516897292094</v>
      </c>
      <c r="M161" s="1491">
        <v>35.620882248372396</v>
      </c>
      <c r="N161" s="1491">
        <v>35.284315436843215</v>
      </c>
      <c r="O161" s="1491">
        <v>35.109707376782602</v>
      </c>
      <c r="P161" s="1491">
        <v>34.944303180720262</v>
      </c>
      <c r="Q161" s="1491">
        <v>35.113313940081568</v>
      </c>
      <c r="R161" s="1491">
        <v>35.603854676435802</v>
      </c>
      <c r="S161" s="1491">
        <v>35.586699324775935</v>
      </c>
      <c r="T161" s="1491">
        <v>34.861101349999998</v>
      </c>
      <c r="U161" s="1491">
        <v>34.664653819323334</v>
      </c>
      <c r="V161" s="1491">
        <v>34.410290069910978</v>
      </c>
      <c r="W161" s="1491">
        <v>34.908531869398402</v>
      </c>
      <c r="X161" s="1491">
        <v>35.616671532127199</v>
      </c>
      <c r="Y161" s="1491">
        <v>35.947520321196222</v>
      </c>
      <c r="Z161" s="1491">
        <v>36.987705865849776</v>
      </c>
      <c r="AA161" s="1491">
        <v>37.546039262370911</v>
      </c>
      <c r="AB161" s="1491">
        <v>37.510823122184988</v>
      </c>
      <c r="AC161" s="1491">
        <v>38.008797637281816</v>
      </c>
      <c r="AD161" s="1491">
        <v>38.419808048103611</v>
      </c>
      <c r="AE161" s="1491">
        <v>38.480927078752217</v>
      </c>
      <c r="AF161" s="1491">
        <v>38.529894147798792</v>
      </c>
      <c r="AG161" s="1491">
        <v>38.610432052895767</v>
      </c>
      <c r="AH161" s="1491">
        <v>38.669048846696292</v>
      </c>
      <c r="AI161" s="1491">
        <v>38.631731396248163</v>
      </c>
      <c r="AJ161" s="1491">
        <v>38.567872226687491</v>
      </c>
      <c r="AK161" s="1491">
        <v>38.465126969563705</v>
      </c>
      <c r="AL161" s="1491">
        <v>38.413723063041203</v>
      </c>
      <c r="AM161" s="1491">
        <v>38.515467425425761</v>
      </c>
      <c r="AN161" s="1491">
        <v>38.527084818246614</v>
      </c>
      <c r="AO161" s="1491">
        <v>38.521472793861179</v>
      </c>
      <c r="AP161" s="1491">
        <v>38.546973809920992</v>
      </c>
      <c r="AQ161" s="1491">
        <v>38.560691565187064</v>
      </c>
      <c r="AR161" s="1491">
        <v>38.568356561168315</v>
      </c>
      <c r="AS161" s="1491">
        <v>38.569368829711408</v>
      </c>
      <c r="AT161" s="1491">
        <v>38.651143635977618</v>
      </c>
      <c r="AU161" s="1491">
        <v>38.781520601750053</v>
      </c>
      <c r="AV161" s="1491">
        <v>38.929117506558889</v>
      </c>
      <c r="AW161" s="1491">
        <v>39.08758776785308</v>
      </c>
      <c r="AX161" s="1491">
        <v>39.228047610742941</v>
      </c>
      <c r="AY161" s="1491">
        <v>39.393119417357944</v>
      </c>
      <c r="AZ161" s="1491">
        <v>39.595269824540118</v>
      </c>
      <c r="BA161" s="1491">
        <v>39.769550621009692</v>
      </c>
      <c r="BB161" s="1491">
        <v>39.980674011616443</v>
      </c>
      <c r="BC161" s="1491">
        <v>39.983105560972888</v>
      </c>
      <c r="BD161" s="1491">
        <v>39.985537258211586</v>
      </c>
      <c r="BE161" s="1491">
        <v>39.987969103341534</v>
      </c>
      <c r="BF161" s="1491">
        <v>39.990401096371727</v>
      </c>
      <c r="BG161" s="1491">
        <v>39.99283323731116</v>
      </c>
      <c r="BH161" s="1491">
        <v>39.998683153044055</v>
      </c>
      <c r="BI161" s="1491">
        <v>40.00453392446812</v>
      </c>
      <c r="BJ161" s="1491">
        <v>40.010385551708517</v>
      </c>
      <c r="BK161" s="1491">
        <v>40.016238034890421</v>
      </c>
      <c r="BL161" s="1491">
        <v>40.022091374139045</v>
      </c>
      <c r="BM161" s="1491">
        <v>40.01068560090993</v>
      </c>
      <c r="BN161" s="1491">
        <v>39.999283078177193</v>
      </c>
      <c r="BO161" s="1491">
        <v>39.987883805014484</v>
      </c>
      <c r="BP161" s="1491">
        <v>39.976487780495717</v>
      </c>
      <c r="BQ161" s="1491">
        <v>39.965095003695069</v>
      </c>
      <c r="BR161" s="1491">
        <v>39.953080546830584</v>
      </c>
      <c r="BS161" s="1491">
        <v>39.941069701797218</v>
      </c>
      <c r="BT161" s="1491">
        <v>39.929062467509169</v>
      </c>
      <c r="BU161" s="1491">
        <v>39.917058842880955</v>
      </c>
      <c r="BV161" s="1491">
        <v>39.905058826827435</v>
      </c>
      <c r="BW161" s="1491">
        <v>39.887488478960996</v>
      </c>
      <c r="BX161" s="1491">
        <v>39.869925867384971</v>
      </c>
      <c r="BY161" s="1491">
        <v>39.852370988693046</v>
      </c>
      <c r="BZ161" s="1491">
        <v>39.8348238394804</v>
      </c>
      <c r="CA161" s="1491">
        <v>39.817284416343718</v>
      </c>
      <c r="CB161" s="1491">
        <v>39.785391393336162</v>
      </c>
      <c r="CC161" s="1491">
        <v>39.75352391614198</v>
      </c>
      <c r="CD161" s="1491">
        <v>39.721681964299371</v>
      </c>
      <c r="CE161" s="1491">
        <v>39.689865517362925</v>
      </c>
      <c r="CF161" s="1491">
        <v>39.658074554903607</v>
      </c>
      <c r="CG161" s="1491">
        <v>39.614280722534119</v>
      </c>
      <c r="CH161" s="1491">
        <v>39.57053525105394</v>
      </c>
      <c r="CI161" s="1491">
        <v>39.526838087058842</v>
      </c>
      <c r="CJ161" s="1491">
        <v>39.48318917720357</v>
      </c>
      <c r="CK161" s="1491">
        <v>39.439588468201791</v>
      </c>
      <c r="CL161" s="1491">
        <v>39.392053039782866</v>
      </c>
      <c r="CM161" s="1491">
        <v>39.344574904480901</v>
      </c>
      <c r="CN161" s="1491">
        <v>39.297153993242112</v>
      </c>
      <c r="CO161" s="1491">
        <v>39.249790237095944</v>
      </c>
      <c r="CP161" s="1491">
        <v>39.202483567154964</v>
      </c>
      <c r="CQ161" s="1491">
        <v>39.147690090479308</v>
      </c>
      <c r="CR161" s="1491">
        <v>39.092973198877175</v>
      </c>
      <c r="CS161" s="1491">
        <v>39.038332785305279</v>
      </c>
      <c r="CT161" s="1491">
        <v>38.983768742869955</v>
      </c>
      <c r="CU161" s="1491">
        <v>38.929280964826951</v>
      </c>
      <c r="CV161" s="1491">
        <v>38.876091192919297</v>
      </c>
      <c r="CW161" s="1491">
        <v>38.822974095147039</v>
      </c>
      <c r="CX161" s="1491">
        <v>38.769929572214203</v>
      </c>
      <c r="CY161" s="1491">
        <v>38.716957524960492</v>
      </c>
      <c r="CZ161" s="1492">
        <v>38.66405785436109</v>
      </c>
    </row>
    <row r="202" spans="1:2" ht="14" x14ac:dyDescent="0.3">
      <c r="A202" s="2"/>
      <c r="B202" s="2"/>
    </row>
    <row r="203" spans="1:2" ht="14" x14ac:dyDescent="0.3">
      <c r="A203" s="2"/>
      <c r="B203" s="2"/>
    </row>
    <row r="249" spans="1:29" x14ac:dyDescent="0.25">
      <c r="A249" s="33"/>
    </row>
    <row r="251" spans="1:29" x14ac:dyDescent="0.25">
      <c r="AC251" s="28"/>
    </row>
    <row r="252" spans="1:29" x14ac:dyDescent="0.25">
      <c r="AC252" s="28"/>
    </row>
    <row r="253" spans="1:29" x14ac:dyDescent="0.25">
      <c r="AC253" s="28"/>
    </row>
    <row r="254" spans="1:29" x14ac:dyDescent="0.25">
      <c r="AC254" s="28"/>
    </row>
    <row r="257" spans="29:29" x14ac:dyDescent="0.25">
      <c r="AC257" s="28"/>
    </row>
    <row r="258" spans="29:29" x14ac:dyDescent="0.25">
      <c r="AC258" s="28"/>
    </row>
    <row r="259" spans="29:29" x14ac:dyDescent="0.25">
      <c r="AC259" s="28"/>
    </row>
    <row r="260" spans="29:29" x14ac:dyDescent="0.25">
      <c r="AC260" s="28"/>
    </row>
    <row r="263" spans="29:29" x14ac:dyDescent="0.25">
      <c r="AC263"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70" spans="29:29" x14ac:dyDescent="0.25">
      <c r="AC270" s="28"/>
    </row>
    <row r="273" spans="29:29" x14ac:dyDescent="0.25">
      <c r="AC273"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3" spans="29:29" x14ac:dyDescent="0.25">
      <c r="AC283" s="28"/>
    </row>
    <row r="284" spans="29:29" x14ac:dyDescent="0.25">
      <c r="AC284" s="28"/>
    </row>
    <row r="285" spans="29:29" x14ac:dyDescent="0.25">
      <c r="AC285" s="28"/>
    </row>
    <row r="286" spans="29:29" x14ac:dyDescent="0.25">
      <c r="AC286" s="28"/>
    </row>
    <row r="289" spans="29:29" x14ac:dyDescent="0.25">
      <c r="AC289"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9" spans="29:29" x14ac:dyDescent="0.25">
      <c r="AC299" s="28"/>
    </row>
    <row r="303" spans="29:29" x14ac:dyDescent="0.25">
      <c r="AC303"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sheetData>
  <phoneticPr fontId="2"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topLeftCell="E1" workbookViewId="0"/>
  </sheetViews>
  <sheetFormatPr defaultRowHeight="12.5" x14ac:dyDescent="0.25"/>
  <cols>
    <col min="1" max="1" width="27.81640625" customWidth="1"/>
    <col min="2" max="2" width="12.7265625" customWidth="1"/>
    <col min="3" max="3" width="19.81640625" customWidth="1"/>
    <col min="4" max="4" width="28.26953125" customWidth="1"/>
    <col min="5" max="5" width="16.54296875" customWidth="1"/>
    <col min="6" max="6" width="11.453125" customWidth="1"/>
    <col min="7" max="7" width="9.7265625" customWidth="1"/>
    <col min="8" max="8" width="10.26953125" customWidth="1"/>
    <col min="9" max="9" width="10.453125" customWidth="1"/>
    <col min="10" max="10" width="9.54296875" customWidth="1"/>
    <col min="11" max="12" width="10" customWidth="1"/>
    <col min="13" max="13" width="10.7265625" customWidth="1"/>
    <col min="14" max="14" width="9.54296875" customWidth="1"/>
    <col min="15" max="15" width="10.7265625" customWidth="1"/>
    <col min="16" max="16" width="10.26953125" customWidth="1"/>
    <col min="17" max="17" width="9.54296875" customWidth="1"/>
    <col min="18" max="18" width="9.7265625" customWidth="1"/>
    <col min="19" max="19" width="10" customWidth="1"/>
    <col min="20" max="21" width="9.7265625" customWidth="1"/>
    <col min="22" max="22" width="10" customWidth="1"/>
    <col min="23" max="24" width="9.7265625" customWidth="1"/>
    <col min="25" max="25" width="10" customWidth="1"/>
    <col min="26" max="26" width="9.7265625" customWidth="1"/>
    <col min="27" max="27" width="10.7265625" customWidth="1"/>
    <col min="28" max="28" width="10.26953125" customWidth="1"/>
    <col min="29" max="29" width="10" customWidth="1"/>
    <col min="30" max="30" width="9.7265625" customWidth="1"/>
    <col min="31" max="31" width="10.26953125" customWidth="1"/>
    <col min="32" max="32" width="10.453125" customWidth="1"/>
    <col min="33" max="33" width="9.54296875" customWidth="1"/>
    <col min="34" max="34" width="10" customWidth="1"/>
    <col min="35" max="35" width="9.26953125" customWidth="1"/>
    <col min="36" max="36" width="10" customWidth="1"/>
    <col min="37" max="37" width="10.26953125" customWidth="1"/>
    <col min="38" max="38" width="9.7265625" customWidth="1"/>
    <col min="39" max="39" width="9.54296875" customWidth="1"/>
    <col min="40" max="40" width="9.7265625" customWidth="1"/>
    <col min="41" max="41" width="10.26953125" customWidth="1"/>
    <col min="42" max="44" width="9.7265625" customWidth="1"/>
    <col min="45" max="45" width="9.26953125" customWidth="1"/>
    <col min="46" max="46" width="9.54296875" customWidth="1"/>
    <col min="47" max="47" width="9.7265625" customWidth="1"/>
    <col min="48" max="48" width="10.26953125" customWidth="1"/>
    <col min="49" max="49" width="10.453125" customWidth="1"/>
    <col min="50" max="50" width="9.54296875" customWidth="1"/>
    <col min="51" max="52" width="9.7265625" customWidth="1"/>
    <col min="53" max="54" width="9.54296875" customWidth="1"/>
    <col min="55" max="55" width="9.7265625" customWidth="1"/>
    <col min="56" max="56" width="9.54296875" customWidth="1"/>
    <col min="57" max="59" width="9.7265625" customWidth="1"/>
    <col min="60" max="60" width="9.54296875" customWidth="1"/>
    <col min="61" max="61" width="9.7265625" customWidth="1"/>
    <col min="62" max="62" width="9.54296875" customWidth="1"/>
    <col min="63" max="63" width="9.7265625" customWidth="1"/>
    <col min="64" max="64" width="10.26953125" customWidth="1"/>
    <col min="65" max="65" width="9.7265625" customWidth="1"/>
    <col min="66" max="66" width="10.26953125" customWidth="1"/>
    <col min="67" max="67" width="9.54296875" customWidth="1"/>
    <col min="68" max="68" width="9.7265625" customWidth="1"/>
    <col min="69" max="69" width="9.54296875" customWidth="1"/>
    <col min="70" max="70" width="9.7265625" customWidth="1"/>
    <col min="71" max="71" width="10.26953125" customWidth="1"/>
    <col min="72" max="72" width="9.7265625" customWidth="1"/>
    <col min="73" max="74" width="9.54296875" customWidth="1"/>
  </cols>
  <sheetData>
    <row r="1" spans="1:104" ht="53" thickTop="1" thickBot="1" x14ac:dyDescent="0.35">
      <c r="A1" s="223" t="s">
        <v>1050</v>
      </c>
      <c r="B1" s="224" t="s">
        <v>1049</v>
      </c>
      <c r="C1" s="902" t="s">
        <v>678</v>
      </c>
      <c r="D1" s="902" t="s">
        <v>823</v>
      </c>
      <c r="E1" s="225">
        <v>2001</v>
      </c>
      <c r="F1" s="226">
        <v>2002</v>
      </c>
      <c r="G1" s="226">
        <v>2003</v>
      </c>
      <c r="H1" s="226">
        <v>2004</v>
      </c>
      <c r="I1" s="226">
        <v>2005</v>
      </c>
      <c r="J1" s="226">
        <v>2006</v>
      </c>
      <c r="K1" s="226">
        <v>2007</v>
      </c>
      <c r="L1" s="226">
        <v>2008</v>
      </c>
      <c r="M1" s="226">
        <v>2009</v>
      </c>
      <c r="N1" s="226">
        <v>2010</v>
      </c>
      <c r="O1" s="226">
        <v>2011</v>
      </c>
      <c r="P1" s="226">
        <v>2012</v>
      </c>
      <c r="Q1" s="226">
        <v>2013</v>
      </c>
      <c r="R1" s="226">
        <v>2014</v>
      </c>
      <c r="S1" s="226">
        <v>2015</v>
      </c>
      <c r="T1" s="226">
        <v>2016</v>
      </c>
      <c r="U1" s="226">
        <v>2017</v>
      </c>
      <c r="V1" s="226">
        <v>2018</v>
      </c>
      <c r="W1" s="226">
        <v>2019</v>
      </c>
      <c r="X1" s="226">
        <v>2020</v>
      </c>
      <c r="Y1" s="226">
        <v>2021</v>
      </c>
      <c r="Z1" s="226">
        <v>2022</v>
      </c>
      <c r="AA1" s="226">
        <v>2023</v>
      </c>
      <c r="AB1" s="226">
        <v>2024</v>
      </c>
      <c r="AC1" s="226">
        <v>2025</v>
      </c>
      <c r="AD1" s="226">
        <v>2026</v>
      </c>
      <c r="AE1" s="226">
        <v>2027</v>
      </c>
      <c r="AF1" s="226">
        <v>2028</v>
      </c>
      <c r="AG1" s="226">
        <v>2029</v>
      </c>
      <c r="AH1" s="226">
        <v>2030</v>
      </c>
      <c r="AI1" s="226">
        <v>2031</v>
      </c>
      <c r="AJ1" s="226">
        <v>2032</v>
      </c>
      <c r="AK1" s="226">
        <v>2033</v>
      </c>
      <c r="AL1" s="226">
        <v>2034</v>
      </c>
      <c r="AM1" s="226">
        <v>2035</v>
      </c>
      <c r="AN1" s="226">
        <v>2036</v>
      </c>
      <c r="AO1" s="226">
        <v>2037</v>
      </c>
      <c r="AP1" s="226">
        <v>2038</v>
      </c>
      <c r="AQ1" s="226">
        <v>2039</v>
      </c>
      <c r="AR1" s="226">
        <v>2040</v>
      </c>
      <c r="AS1" s="226">
        <v>2041</v>
      </c>
      <c r="AT1" s="226">
        <v>2042</v>
      </c>
      <c r="AU1" s="226">
        <v>2043</v>
      </c>
      <c r="AV1" s="226">
        <v>2044</v>
      </c>
      <c r="AW1" s="226">
        <v>2045</v>
      </c>
      <c r="AX1" s="226">
        <v>2046</v>
      </c>
      <c r="AY1" s="226">
        <v>2047</v>
      </c>
      <c r="AZ1" s="226">
        <v>2048</v>
      </c>
      <c r="BA1" s="226">
        <v>2049</v>
      </c>
      <c r="BB1" s="226">
        <v>2050</v>
      </c>
      <c r="BC1" s="226">
        <v>2051</v>
      </c>
      <c r="BD1" s="226">
        <v>2052</v>
      </c>
      <c r="BE1" s="226">
        <v>2053</v>
      </c>
      <c r="BF1" s="226">
        <v>2054</v>
      </c>
      <c r="BG1" s="226">
        <v>2055</v>
      </c>
      <c r="BH1" s="226">
        <v>2056</v>
      </c>
      <c r="BI1" s="226">
        <v>2057</v>
      </c>
      <c r="BJ1" s="226">
        <v>2058</v>
      </c>
      <c r="BK1" s="226">
        <v>2059</v>
      </c>
      <c r="BL1" s="226">
        <v>2060</v>
      </c>
      <c r="BM1" s="226">
        <v>2061</v>
      </c>
      <c r="BN1" s="226">
        <v>2062</v>
      </c>
      <c r="BO1" s="226">
        <v>2063</v>
      </c>
      <c r="BP1" s="226">
        <v>2064</v>
      </c>
      <c r="BQ1" s="226">
        <v>2065</v>
      </c>
      <c r="BR1" s="226">
        <v>2066</v>
      </c>
      <c r="BS1" s="226">
        <v>2067</v>
      </c>
      <c r="BT1" s="226">
        <v>2068</v>
      </c>
      <c r="BU1" s="226">
        <v>2069</v>
      </c>
      <c r="BV1" s="227">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 thickTop="1" x14ac:dyDescent="0.25">
      <c r="A2" t="s">
        <v>1045</v>
      </c>
      <c r="B2" s="463" t="s">
        <v>707</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1046</v>
      </c>
      <c r="B3" s="463" t="s">
        <v>707</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1047</v>
      </c>
      <c r="B4" s="463" t="s">
        <v>707</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1048</v>
      </c>
      <c r="B5" s="463" t="s">
        <v>268</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674</v>
      </c>
      <c r="B6" s="463" t="s">
        <v>268</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63" t="s">
        <v>1088</v>
      </c>
      <c r="B7" s="463" t="s">
        <v>268</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63" t="s">
        <v>822</v>
      </c>
      <c r="B8" s="463" t="s">
        <v>268</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2.5" x14ac:dyDescent="0.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2" ht="15.5" x14ac:dyDescent="0.35">
      <c r="A1" s="1628" t="s">
        <v>743</v>
      </c>
      <c r="B1" s="1628"/>
      <c r="C1" s="1628"/>
      <c r="D1" s="1628"/>
      <c r="E1" s="1628"/>
      <c r="F1" s="1628"/>
      <c r="G1" s="1628"/>
      <c r="H1" s="1628"/>
      <c r="I1" s="1628"/>
      <c r="J1" s="1628"/>
      <c r="K1" s="1628"/>
      <c r="L1" s="1628"/>
      <c r="M1" s="1628"/>
      <c r="N1" s="1628"/>
      <c r="O1" s="1628"/>
      <c r="P1" s="1628"/>
      <c r="Q1" s="1628"/>
      <c r="R1" s="1628"/>
      <c r="S1" s="1628"/>
      <c r="T1" s="1628"/>
      <c r="U1" s="1628"/>
      <c r="V1" s="1628"/>
      <c r="W1" s="1628"/>
      <c r="X1" s="1628"/>
      <c r="Y1" s="1628"/>
      <c r="Z1" s="1628"/>
      <c r="AA1" s="1628"/>
      <c r="AB1" s="1628"/>
      <c r="AC1" s="1628"/>
      <c r="AD1" s="1628"/>
      <c r="AE1" s="1628"/>
      <c r="AF1" s="1628"/>
      <c r="AG1" s="1628"/>
      <c r="AH1" s="1628"/>
      <c r="AI1" s="1628"/>
      <c r="AJ1" s="1628"/>
      <c r="AK1" s="1628"/>
      <c r="AL1" s="1628"/>
      <c r="AM1" s="1628"/>
      <c r="AN1" s="1628"/>
      <c r="AO1" s="1628"/>
      <c r="AP1" s="1628"/>
      <c r="AQ1" s="1628"/>
      <c r="AR1" s="1628"/>
      <c r="AS1" s="1628"/>
      <c r="AT1" s="1628"/>
      <c r="AU1" s="1628"/>
      <c r="AV1" s="1628"/>
      <c r="AW1" s="1628"/>
      <c r="AX1" s="1628"/>
      <c r="AY1" s="1628"/>
      <c r="AZ1" s="1628"/>
      <c r="BA1" s="1628"/>
      <c r="BB1" s="1628"/>
      <c r="BC1" s="1628"/>
      <c r="BD1" s="1628"/>
      <c r="BE1" s="1628"/>
      <c r="BF1" s="1628"/>
      <c r="BG1" s="1628"/>
      <c r="BH1" s="1628"/>
      <c r="BI1" s="1628"/>
      <c r="BJ1" s="1628"/>
      <c r="BK1" s="1628"/>
      <c r="BL1" s="1628"/>
      <c r="BM1" s="1628"/>
      <c r="BN1" s="1628"/>
      <c r="BO1" s="1628"/>
      <c r="BP1" s="1628"/>
      <c r="BQ1" s="1628"/>
      <c r="BR1" s="1628"/>
      <c r="BS1" s="1628"/>
      <c r="BT1" s="1628"/>
    </row>
    <row r="2" spans="1:72" x14ac:dyDescent="0.25">
      <c r="A2" s="1629" t="s">
        <v>744</v>
      </c>
      <c r="B2" s="1629"/>
      <c r="C2" s="1629"/>
      <c r="D2" s="1629"/>
      <c r="E2" s="1629"/>
      <c r="F2" s="1629"/>
      <c r="G2" s="1629"/>
      <c r="H2" s="1629"/>
      <c r="I2" s="1629"/>
      <c r="J2" s="1629"/>
      <c r="K2" s="1629"/>
      <c r="L2" s="1629"/>
      <c r="M2" s="1629"/>
      <c r="N2" s="1629"/>
      <c r="O2" s="1629"/>
      <c r="P2" s="1629"/>
      <c r="Q2" s="1629"/>
      <c r="R2" s="1629"/>
      <c r="S2" s="1629"/>
      <c r="T2" s="1629"/>
      <c r="U2" s="1629"/>
      <c r="V2" s="1629"/>
      <c r="W2" s="1629"/>
      <c r="X2" s="1629"/>
      <c r="Y2" s="1629"/>
      <c r="Z2" s="1629"/>
      <c r="AA2" s="1629"/>
      <c r="AB2" s="1629"/>
      <c r="AC2" s="1629"/>
      <c r="AD2" s="1629"/>
      <c r="AE2" s="1629"/>
      <c r="AF2" s="1629"/>
      <c r="AG2" s="1629"/>
      <c r="AH2" s="1629"/>
      <c r="AI2" s="1629"/>
      <c r="AJ2" s="1629"/>
      <c r="AK2" s="1629"/>
      <c r="AL2" s="1629"/>
      <c r="AM2" s="1629"/>
      <c r="AN2" s="1629"/>
      <c r="AO2" s="1629"/>
      <c r="AP2" s="1629"/>
      <c r="AQ2" s="1629"/>
      <c r="AR2" s="1629"/>
      <c r="AS2" s="1629"/>
      <c r="AT2" s="1629"/>
      <c r="AU2" s="1629"/>
      <c r="AV2" s="1629"/>
      <c r="AW2" s="1629"/>
      <c r="AX2" s="1629"/>
      <c r="AY2" s="1629"/>
      <c r="AZ2" s="1629"/>
      <c r="BA2" s="1629"/>
      <c r="BB2" s="1629"/>
      <c r="BC2" s="1629"/>
      <c r="BD2" s="1629"/>
      <c r="BE2" s="1629"/>
      <c r="BF2" s="1629"/>
      <c r="BG2" s="1629"/>
      <c r="BH2" s="1629"/>
      <c r="BI2" s="1629"/>
      <c r="BJ2" s="1629"/>
      <c r="BK2" s="1629"/>
      <c r="BL2" s="1629"/>
      <c r="BM2" s="1629"/>
      <c r="BN2" s="1629"/>
      <c r="BO2" s="1629"/>
      <c r="BP2" s="1629"/>
      <c r="BQ2" s="1629"/>
      <c r="BR2" s="1629"/>
      <c r="BS2" s="1629"/>
      <c r="BT2" s="1629"/>
    </row>
    <row r="3" spans="1:72" ht="13" thickBot="1" x14ac:dyDescent="0.3">
      <c r="A3" s="1630"/>
      <c r="B3" s="1630"/>
      <c r="C3" s="1630"/>
      <c r="D3" s="1630"/>
      <c r="E3" s="1630"/>
      <c r="F3" s="1630"/>
      <c r="G3" s="1630"/>
      <c r="H3" s="1630"/>
      <c r="I3" s="1630"/>
      <c r="J3" s="1630"/>
      <c r="K3" s="1630"/>
      <c r="L3" s="1630"/>
      <c r="M3" s="1630"/>
      <c r="N3" s="1630"/>
      <c r="O3" s="1630"/>
      <c r="P3" s="1630"/>
      <c r="Q3" s="1630"/>
      <c r="R3" s="1630"/>
      <c r="S3" s="1630"/>
      <c r="T3" s="1630"/>
      <c r="U3" s="1630"/>
      <c r="V3" s="1630"/>
      <c r="W3" s="1630"/>
      <c r="X3" s="1630"/>
      <c r="Y3" s="1630"/>
      <c r="Z3" s="1630"/>
      <c r="AA3" s="1630"/>
      <c r="AB3" s="1630"/>
      <c r="AC3" s="1630"/>
      <c r="AD3" s="1630"/>
      <c r="AE3" s="1630"/>
      <c r="AF3" s="1630"/>
      <c r="AG3" s="1630"/>
      <c r="AH3" s="1630"/>
      <c r="AI3" s="1630"/>
      <c r="AJ3" s="1630"/>
      <c r="AK3" s="1630"/>
      <c r="AL3" s="1630"/>
      <c r="AM3" s="1630"/>
      <c r="AN3" s="1630"/>
      <c r="AO3" s="1630"/>
      <c r="AP3" s="1630"/>
      <c r="AQ3" s="1630"/>
      <c r="AR3" s="1630"/>
      <c r="AS3" s="1630"/>
      <c r="AT3" s="1630"/>
      <c r="AU3" s="1630"/>
      <c r="AV3" s="1630"/>
      <c r="AW3" s="1630"/>
      <c r="AX3" s="1630"/>
      <c r="AY3" s="1630"/>
      <c r="AZ3" s="1630"/>
      <c r="BA3" s="1630"/>
      <c r="BB3" s="1630"/>
      <c r="BC3" s="1630"/>
      <c r="BD3" s="1630"/>
      <c r="BE3" s="1630"/>
      <c r="BF3" s="1630"/>
      <c r="BG3" s="1630"/>
      <c r="BH3" s="1630"/>
      <c r="BI3" s="1630"/>
      <c r="BJ3" s="1630"/>
      <c r="BK3" s="1630"/>
      <c r="BL3" s="1630"/>
      <c r="BM3" s="1630"/>
      <c r="BN3" s="1630"/>
      <c r="BO3" s="1630"/>
      <c r="BP3" s="1630"/>
      <c r="BQ3" s="1630"/>
      <c r="BR3" s="1630"/>
      <c r="BS3" s="1630"/>
      <c r="BT3" s="1630"/>
    </row>
    <row r="4" spans="1:72" x14ac:dyDescent="0.25">
      <c r="A4" s="915"/>
      <c r="B4" s="916" t="s">
        <v>1049</v>
      </c>
      <c r="C4" s="917">
        <v>2001</v>
      </c>
      <c r="D4" s="917">
        <v>2002</v>
      </c>
      <c r="E4" s="917">
        <v>2003</v>
      </c>
      <c r="F4" s="917">
        <v>2004</v>
      </c>
      <c r="G4" s="917">
        <v>2005</v>
      </c>
      <c r="H4" s="917">
        <v>2006</v>
      </c>
      <c r="I4" s="917">
        <v>2007</v>
      </c>
      <c r="J4" s="917">
        <v>2008</v>
      </c>
      <c r="K4" s="917">
        <v>2009</v>
      </c>
      <c r="L4" s="917">
        <v>2010</v>
      </c>
      <c r="M4" s="917">
        <v>2011</v>
      </c>
      <c r="N4" s="917">
        <v>2012</v>
      </c>
      <c r="O4" s="917">
        <v>2013</v>
      </c>
      <c r="P4" s="917">
        <v>2014</v>
      </c>
      <c r="Q4" s="917">
        <v>2015</v>
      </c>
      <c r="R4" s="917">
        <v>2016</v>
      </c>
      <c r="S4" s="917">
        <v>2017</v>
      </c>
      <c r="T4" s="917">
        <v>2018</v>
      </c>
      <c r="U4" s="917">
        <v>2019</v>
      </c>
      <c r="V4" s="917">
        <v>2020</v>
      </c>
      <c r="W4" s="917">
        <v>2021</v>
      </c>
      <c r="X4" s="917">
        <v>2022</v>
      </c>
      <c r="Y4" s="917">
        <v>2023</v>
      </c>
      <c r="Z4" s="917">
        <v>2024</v>
      </c>
      <c r="AA4" s="917">
        <v>2025</v>
      </c>
      <c r="AB4" s="917">
        <v>2026</v>
      </c>
      <c r="AC4" s="917">
        <v>2027</v>
      </c>
      <c r="AD4" s="917">
        <v>2028</v>
      </c>
      <c r="AE4" s="917">
        <v>2029</v>
      </c>
      <c r="AF4" s="917">
        <v>2030</v>
      </c>
      <c r="AG4" s="917">
        <v>2031</v>
      </c>
      <c r="AH4" s="917">
        <v>2032</v>
      </c>
      <c r="AI4" s="917">
        <v>2033</v>
      </c>
      <c r="AJ4" s="917">
        <v>2034</v>
      </c>
      <c r="AK4" s="917">
        <v>2035</v>
      </c>
      <c r="AL4" s="917">
        <v>2036</v>
      </c>
      <c r="AM4" s="917">
        <v>2037</v>
      </c>
      <c r="AN4" s="917">
        <v>2038</v>
      </c>
      <c r="AO4" s="917">
        <v>2039</v>
      </c>
      <c r="AP4" s="917">
        <v>2040</v>
      </c>
      <c r="AQ4" s="917">
        <v>2041</v>
      </c>
      <c r="AR4" s="917">
        <v>2042</v>
      </c>
      <c r="AS4" s="917">
        <v>2043</v>
      </c>
      <c r="AT4" s="917">
        <v>2044</v>
      </c>
      <c r="AU4" s="917">
        <v>2045</v>
      </c>
      <c r="AV4" s="917">
        <v>2046</v>
      </c>
      <c r="AW4" s="917">
        <v>2047</v>
      </c>
      <c r="AX4" s="917">
        <v>2048</v>
      </c>
      <c r="AY4" s="917">
        <v>2049</v>
      </c>
      <c r="AZ4" s="917">
        <v>2050</v>
      </c>
      <c r="BA4" s="917">
        <v>2051</v>
      </c>
      <c r="BB4" s="917">
        <v>2052</v>
      </c>
      <c r="BC4" s="917">
        <v>2053</v>
      </c>
      <c r="BD4" s="917">
        <v>2054</v>
      </c>
      <c r="BE4" s="917">
        <v>2056</v>
      </c>
      <c r="BF4" s="917">
        <v>2056</v>
      </c>
      <c r="BG4" s="917">
        <v>2057</v>
      </c>
      <c r="BH4" s="917">
        <v>2058</v>
      </c>
      <c r="BI4" s="917">
        <v>2059</v>
      </c>
      <c r="BJ4" s="917">
        <v>2060</v>
      </c>
      <c r="BK4" s="917">
        <v>2061</v>
      </c>
      <c r="BL4" s="917">
        <v>2062</v>
      </c>
      <c r="BM4" s="917">
        <v>2063</v>
      </c>
      <c r="BN4" s="917">
        <v>2064</v>
      </c>
      <c r="BO4" s="917">
        <v>2065</v>
      </c>
      <c r="BP4" s="917">
        <v>2066</v>
      </c>
      <c r="BQ4" s="917">
        <v>2067</v>
      </c>
      <c r="BR4" s="917">
        <v>2068</v>
      </c>
      <c r="BS4" s="917">
        <v>2069</v>
      </c>
      <c r="BT4" s="918">
        <v>2070</v>
      </c>
    </row>
    <row r="5" spans="1:72" x14ac:dyDescent="0.25">
      <c r="A5" s="1631" t="s">
        <v>745</v>
      </c>
      <c r="B5" s="1632"/>
      <c r="C5" s="1632"/>
      <c r="D5" s="1632"/>
      <c r="E5" s="1632"/>
      <c r="F5" s="1632"/>
      <c r="G5" s="1632"/>
      <c r="H5" s="1632"/>
      <c r="I5" s="1632"/>
      <c r="J5" s="1632"/>
      <c r="K5" s="1632"/>
      <c r="L5" s="1632"/>
      <c r="M5" s="1632"/>
      <c r="N5" s="1632"/>
      <c r="O5" s="1632"/>
      <c r="P5" s="1632"/>
      <c r="Q5" s="1632"/>
      <c r="R5" s="1632"/>
      <c r="S5" s="1632"/>
      <c r="T5" s="1632"/>
      <c r="U5" s="1632"/>
      <c r="V5" s="1632"/>
      <c r="W5" s="1632"/>
      <c r="X5" s="1632"/>
      <c r="Y5" s="1632"/>
      <c r="Z5" s="1632"/>
      <c r="AA5" s="1632"/>
      <c r="AB5" s="1632"/>
      <c r="AC5" s="1632"/>
      <c r="AD5" s="1632"/>
      <c r="AE5" s="1632"/>
      <c r="AF5" s="1632"/>
      <c r="AG5" s="1632"/>
      <c r="AH5" s="1632"/>
      <c r="AI5" s="1632"/>
      <c r="AJ5" s="1632"/>
      <c r="AK5" s="1632"/>
      <c r="AL5" s="1632"/>
      <c r="AM5" s="1632"/>
      <c r="AN5" s="1632"/>
      <c r="AO5" s="1632"/>
      <c r="AP5" s="1632"/>
      <c r="AQ5" s="1632"/>
      <c r="AR5" s="1632"/>
      <c r="AS5" s="1632"/>
      <c r="AT5" s="1632"/>
      <c r="AU5" s="1632"/>
      <c r="AV5" s="1632"/>
      <c r="AW5" s="1632"/>
      <c r="AX5" s="1632"/>
      <c r="AY5" s="1632"/>
      <c r="AZ5" s="1632"/>
      <c r="BA5" s="1632"/>
      <c r="BB5" s="1632"/>
      <c r="BC5" s="1632"/>
      <c r="BD5" s="1632"/>
      <c r="BE5" s="1632"/>
      <c r="BF5" s="1632"/>
      <c r="BG5" s="1632"/>
      <c r="BH5" s="1632"/>
      <c r="BI5" s="1632"/>
      <c r="BJ5" s="1632"/>
      <c r="BK5" s="1632"/>
      <c r="BL5" s="1632"/>
      <c r="BM5" s="1632"/>
      <c r="BN5" s="1632"/>
      <c r="BO5" s="1632"/>
      <c r="BP5" s="1632"/>
      <c r="BQ5" s="1632"/>
      <c r="BR5" s="1632"/>
      <c r="BS5" s="1632"/>
      <c r="BT5" s="1633"/>
    </row>
    <row r="6" spans="1:72" x14ac:dyDescent="0.25">
      <c r="A6" s="919" t="s">
        <v>746</v>
      </c>
      <c r="B6" s="920" t="s">
        <v>747</v>
      </c>
      <c r="C6" s="921">
        <v>8.9541000728991982</v>
      </c>
      <c r="D6" s="921">
        <v>6.8979457774252282</v>
      </c>
      <c r="E6" s="921">
        <v>8.4197996967243682</v>
      </c>
      <c r="F6" s="921">
        <v>8.8059982398770913</v>
      </c>
      <c r="G6" s="921">
        <v>8.8656468751295598</v>
      </c>
      <c r="H6" s="921">
        <v>8.2234977371287847</v>
      </c>
      <c r="I6" s="921">
        <v>7.8073426530046319</v>
      </c>
      <c r="J6" s="921">
        <v>7.4325694992857168</v>
      </c>
      <c r="K6" s="921">
        <v>7.297531685739191</v>
      </c>
      <c r="L6" s="921">
        <v>7.1966502441550162</v>
      </c>
      <c r="M6" s="921">
        <v>7.2405429268783017</v>
      </c>
      <c r="N6" s="921">
        <v>7.2944294079294778</v>
      </c>
      <c r="O6" s="921">
        <v>7.4037989917791105</v>
      </c>
      <c r="P6" s="921">
        <v>7.5440859727139706</v>
      </c>
      <c r="Q6" s="921">
        <v>7.6385998163583153</v>
      </c>
      <c r="R6" s="921">
        <v>7.6698249061152577</v>
      </c>
      <c r="S6" s="921">
        <v>7.596507558282819</v>
      </c>
      <c r="T6" s="921">
        <v>7.644327174942454</v>
      </c>
      <c r="U6" s="921">
        <v>7.7875295315148705</v>
      </c>
      <c r="V6" s="921">
        <v>8.0180296178133954</v>
      </c>
      <c r="W6" s="921">
        <v>8.1425457338117244</v>
      </c>
      <c r="X6" s="921">
        <v>8.1602542175436898</v>
      </c>
      <c r="Y6" s="921">
        <v>8.1927349319997838</v>
      </c>
      <c r="Z6" s="921">
        <v>8.2544961582939571</v>
      </c>
      <c r="AA6" s="921">
        <v>8.3511330316651513</v>
      </c>
      <c r="AB6" s="922">
        <v>8.4290329061652454</v>
      </c>
      <c r="AC6" s="922">
        <v>8.5069327806653394</v>
      </c>
      <c r="AD6" s="922">
        <v>8.5848326551654335</v>
      </c>
      <c r="AE6" s="922">
        <v>8.6627325296655275</v>
      </c>
      <c r="AF6" s="922">
        <v>8.7406324041656216</v>
      </c>
      <c r="AG6" s="922">
        <v>8.8185322786657157</v>
      </c>
      <c r="AH6" s="922">
        <v>8.8964321531658097</v>
      </c>
      <c r="AI6" s="922">
        <v>8.9743320276659038</v>
      </c>
      <c r="AJ6" s="922">
        <v>9.0522319021659978</v>
      </c>
      <c r="AK6" s="922">
        <v>9.1301317766660848</v>
      </c>
      <c r="AL6" s="922">
        <v>9.2578200706648097</v>
      </c>
      <c r="AM6" s="922">
        <v>9.3855083646635347</v>
      </c>
      <c r="AN6" s="922">
        <v>9.5131966586622596</v>
      </c>
      <c r="AO6" s="922">
        <v>9.6408849526609846</v>
      </c>
      <c r="AP6" s="922">
        <v>9.7685732466597095</v>
      </c>
      <c r="AQ6" s="922">
        <v>9.8962615406584344</v>
      </c>
      <c r="AR6" s="922">
        <v>10.023949834657159</v>
      </c>
      <c r="AS6" s="922">
        <v>10.151638128655884</v>
      </c>
      <c r="AT6" s="922">
        <v>10.279326422654609</v>
      </c>
      <c r="AU6" s="922">
        <v>10.407014716653334</v>
      </c>
      <c r="AV6" s="922">
        <v>10.534703010652059</v>
      </c>
      <c r="AW6" s="922">
        <v>10.662391304650784</v>
      </c>
      <c r="AX6" s="922">
        <v>10.790079598649509</v>
      </c>
      <c r="AY6" s="922">
        <v>10.917767892648234</v>
      </c>
      <c r="AZ6" s="923">
        <v>11.045456186646948</v>
      </c>
      <c r="BA6" s="922">
        <v>11.066404719719236</v>
      </c>
      <c r="BB6" s="922">
        <v>11.087353252791523</v>
      </c>
      <c r="BC6" s="922">
        <v>11.10830178586381</v>
      </c>
      <c r="BD6" s="922">
        <v>11.129250318936098</v>
      </c>
      <c r="BE6" s="922">
        <v>11.150198852008385</v>
      </c>
      <c r="BF6" s="922">
        <v>11.171147385080673</v>
      </c>
      <c r="BG6" s="922">
        <v>11.19209591815296</v>
      </c>
      <c r="BH6" s="922">
        <v>11.213044451225247</v>
      </c>
      <c r="BI6" s="922">
        <v>11.233992984297535</v>
      </c>
      <c r="BJ6" s="922">
        <v>11.254941517369822</v>
      </c>
      <c r="BK6" s="922">
        <v>11.27589005044211</v>
      </c>
      <c r="BL6" s="922">
        <v>11.296838583514397</v>
      </c>
      <c r="BM6" s="922">
        <v>11.317787116586684</v>
      </c>
      <c r="BN6" s="922">
        <v>11.338735649658972</v>
      </c>
      <c r="BO6" s="923">
        <v>11.359684182731248</v>
      </c>
      <c r="BP6" s="922">
        <v>11.381228672680008</v>
      </c>
      <c r="BQ6" s="922">
        <v>11.402773162628767</v>
      </c>
      <c r="BR6" s="922">
        <v>11.424317652577527</v>
      </c>
      <c r="BS6" s="922">
        <v>11.445862142526286</v>
      </c>
      <c r="BT6" s="924">
        <v>11.467406632475045</v>
      </c>
    </row>
    <row r="7" spans="1:72" x14ac:dyDescent="0.25">
      <c r="A7" s="925" t="s">
        <v>748</v>
      </c>
      <c r="B7" s="920" t="s">
        <v>747</v>
      </c>
      <c r="C7" s="921">
        <v>5.2088497969877503</v>
      </c>
      <c r="D7" s="921">
        <v>4.0515519538015683</v>
      </c>
      <c r="E7" s="921">
        <v>5.7953765594734321</v>
      </c>
      <c r="F7" s="921">
        <v>6.3059286733843276</v>
      </c>
      <c r="G7" s="921">
        <v>6.3351569917966728</v>
      </c>
      <c r="H7" s="921">
        <v>5.6603640970194089</v>
      </c>
      <c r="I7" s="921">
        <v>5.2154936812958672</v>
      </c>
      <c r="J7" s="921">
        <v>4.824472465605103</v>
      </c>
      <c r="K7" s="921">
        <v>4.7214620293311338</v>
      </c>
      <c r="L7" s="921">
        <v>4.5987567766657387</v>
      </c>
      <c r="M7" s="921">
        <v>4.6224680014376371</v>
      </c>
      <c r="N7" s="921">
        <v>4.6768878495918127</v>
      </c>
      <c r="O7" s="921">
        <v>4.7861952984108127</v>
      </c>
      <c r="P7" s="921">
        <v>4.922351045428587</v>
      </c>
      <c r="Q7" s="921">
        <v>5.0173813554475863</v>
      </c>
      <c r="R7" s="921">
        <v>5.0686005039035118</v>
      </c>
      <c r="S7" s="921">
        <v>5.0229759936062797</v>
      </c>
      <c r="T7" s="921">
        <v>5.0914502886106439</v>
      </c>
      <c r="U7" s="921">
        <v>5.2365480121576597</v>
      </c>
      <c r="V7" s="921">
        <v>5.4816269649649545</v>
      </c>
      <c r="W7" s="921">
        <v>5.5841408180740668</v>
      </c>
      <c r="X7" s="921">
        <v>5.5850370537559959</v>
      </c>
      <c r="Y7" s="921">
        <v>5.6052826350589937</v>
      </c>
      <c r="Z7" s="921">
        <v>5.6612136071582997</v>
      </c>
      <c r="AA7" s="921">
        <v>5.7676752715740598</v>
      </c>
      <c r="AB7" s="922">
        <v>5.8539244792759346</v>
      </c>
      <c r="AC7" s="922">
        <v>5.9401736869778095</v>
      </c>
      <c r="AD7" s="922">
        <v>6.0264228946796843</v>
      </c>
      <c r="AE7" s="922">
        <v>6.1126721023815591</v>
      </c>
      <c r="AF7" s="922">
        <v>6.1989213100834339</v>
      </c>
      <c r="AG7" s="922">
        <v>6.2851705177853088</v>
      </c>
      <c r="AH7" s="922">
        <v>6.3714197254871836</v>
      </c>
      <c r="AI7" s="922">
        <v>6.4576689331890584</v>
      </c>
      <c r="AJ7" s="922">
        <v>6.5439181408909333</v>
      </c>
      <c r="AK7" s="922">
        <v>6.6301673485928063</v>
      </c>
      <c r="AL7" s="922">
        <v>6.7228927087931387</v>
      </c>
      <c r="AM7" s="922">
        <v>6.8156180689934711</v>
      </c>
      <c r="AN7" s="922">
        <v>6.9083434291938035</v>
      </c>
      <c r="AO7" s="922">
        <v>7.0010687893941359</v>
      </c>
      <c r="AP7" s="922">
        <v>7.0937941495944683</v>
      </c>
      <c r="AQ7" s="922">
        <v>7.1865195097948007</v>
      </c>
      <c r="AR7" s="922">
        <v>7.2792448699951331</v>
      </c>
      <c r="AS7" s="922">
        <v>7.3719702301954655</v>
      </c>
      <c r="AT7" s="922">
        <v>7.4646955903957979</v>
      </c>
      <c r="AU7" s="922">
        <v>7.5574209505961303</v>
      </c>
      <c r="AV7" s="922">
        <v>7.6501463107964627</v>
      </c>
      <c r="AW7" s="922">
        <v>7.7428716709967951</v>
      </c>
      <c r="AX7" s="922">
        <v>7.8355970311971275</v>
      </c>
      <c r="AY7" s="922">
        <v>7.9283223913974599</v>
      </c>
      <c r="AZ7" s="923">
        <v>8.021047751597786</v>
      </c>
      <c r="BA7" s="922">
        <v>8.0362602680624171</v>
      </c>
      <c r="BB7" s="922">
        <v>8.0514727845270482</v>
      </c>
      <c r="BC7" s="922">
        <v>8.0666853009916792</v>
      </c>
      <c r="BD7" s="922">
        <v>8.0818978174563103</v>
      </c>
      <c r="BE7" s="922">
        <v>8.0971103339209414</v>
      </c>
      <c r="BF7" s="922">
        <v>8.1123228503855724</v>
      </c>
      <c r="BG7" s="922">
        <v>8.1275353668502035</v>
      </c>
      <c r="BH7" s="922">
        <v>8.1427478833148346</v>
      </c>
      <c r="BI7" s="922">
        <v>8.1579603997794656</v>
      </c>
      <c r="BJ7" s="922">
        <v>8.1731729162440967</v>
      </c>
      <c r="BK7" s="922">
        <v>8.1883854327087278</v>
      </c>
      <c r="BL7" s="922">
        <v>8.2035979491733588</v>
      </c>
      <c r="BM7" s="922">
        <v>8.2188104656379899</v>
      </c>
      <c r="BN7" s="922">
        <v>8.234022982102621</v>
      </c>
      <c r="BO7" s="923">
        <v>8.2492354985672645</v>
      </c>
      <c r="BP7" s="922">
        <v>8.2648807901462327</v>
      </c>
      <c r="BQ7" s="922">
        <v>8.2805260817252009</v>
      </c>
      <c r="BR7" s="922">
        <v>8.2961713733041691</v>
      </c>
      <c r="BS7" s="922">
        <v>8.3118166648831373</v>
      </c>
      <c r="BT7" s="924">
        <v>8.3274619564621091</v>
      </c>
    </row>
    <row r="8" spans="1:72" x14ac:dyDescent="0.25">
      <c r="A8" s="925" t="s">
        <v>749</v>
      </c>
      <c r="B8" s="920" t="s">
        <v>747</v>
      </c>
      <c r="C8" s="921">
        <v>5.6269638934579786</v>
      </c>
      <c r="D8" s="921">
        <v>3.8422456293735823</v>
      </c>
      <c r="E8" s="921">
        <v>5.691139826234779</v>
      </c>
      <c r="F8" s="921">
        <v>6.2376343214286925</v>
      </c>
      <c r="G8" s="921">
        <v>6.1731978092553481</v>
      </c>
      <c r="H8" s="921">
        <v>5.4998161252939477</v>
      </c>
      <c r="I8" s="921">
        <v>5.0667498741509744</v>
      </c>
      <c r="J8" s="921">
        <v>4.6999946247856554</v>
      </c>
      <c r="K8" s="921">
        <v>4.5877827360944901</v>
      </c>
      <c r="L8" s="921">
        <v>4.4974766767249967</v>
      </c>
      <c r="M8" s="921">
        <v>4.5471429464952013</v>
      </c>
      <c r="N8" s="921">
        <v>4.6470168064225401</v>
      </c>
      <c r="O8" s="921">
        <v>4.7885290901615907</v>
      </c>
      <c r="P8" s="921">
        <v>4.9298490038457894</v>
      </c>
      <c r="Q8" s="921">
        <v>5.0143193411377212</v>
      </c>
      <c r="R8" s="921">
        <v>5.0431599369588911</v>
      </c>
      <c r="S8" s="921">
        <v>4.9958503246307417</v>
      </c>
      <c r="T8" s="921">
        <v>5.071809156885692</v>
      </c>
      <c r="U8" s="921">
        <v>5.2209958625289659</v>
      </c>
      <c r="V8" s="921">
        <v>5.4542850660827948</v>
      </c>
      <c r="W8" s="921">
        <v>5.5514960671370845</v>
      </c>
      <c r="X8" s="921">
        <v>5.5489887943807661</v>
      </c>
      <c r="Y8" s="921">
        <v>5.5622220646660265</v>
      </c>
      <c r="Z8" s="921">
        <v>5.6263508841676488</v>
      </c>
      <c r="AA8" s="921">
        <v>5.730461856104295</v>
      </c>
      <c r="AB8" s="922">
        <v>5.8123040182474703</v>
      </c>
      <c r="AC8" s="922">
        <v>5.8941461803906456</v>
      </c>
      <c r="AD8" s="922">
        <v>5.9759883425338209</v>
      </c>
      <c r="AE8" s="922">
        <v>6.0578305046769962</v>
      </c>
      <c r="AF8" s="922">
        <v>6.1396726668201715</v>
      </c>
      <c r="AG8" s="922">
        <v>6.2215148289633468</v>
      </c>
      <c r="AH8" s="922">
        <v>6.3033569911065221</v>
      </c>
      <c r="AI8" s="922">
        <v>6.3851991532496974</v>
      </c>
      <c r="AJ8" s="922">
        <v>6.4670413153928727</v>
      </c>
      <c r="AK8" s="922">
        <v>6.5488834775360516</v>
      </c>
      <c r="AL8" s="922">
        <v>6.6404720525202734</v>
      </c>
      <c r="AM8" s="922">
        <v>6.7320606275044952</v>
      </c>
      <c r="AN8" s="922">
        <v>6.823649202488717</v>
      </c>
      <c r="AO8" s="922">
        <v>6.9152377774729388</v>
      </c>
      <c r="AP8" s="922">
        <v>7.0068263524571606</v>
      </c>
      <c r="AQ8" s="922">
        <v>7.0984149274413824</v>
      </c>
      <c r="AR8" s="922">
        <v>7.1900035024256042</v>
      </c>
      <c r="AS8" s="922">
        <v>7.2815920774098259</v>
      </c>
      <c r="AT8" s="922">
        <v>7.3731806523940477</v>
      </c>
      <c r="AU8" s="922">
        <v>7.4647692273782695</v>
      </c>
      <c r="AV8" s="922">
        <v>7.5563578023624913</v>
      </c>
      <c r="AW8" s="922">
        <v>7.6479463773467131</v>
      </c>
      <c r="AX8" s="922">
        <v>7.7395349523309349</v>
      </c>
      <c r="AY8" s="922">
        <v>7.8311235273151567</v>
      </c>
      <c r="AZ8" s="923">
        <v>7.9227121022993829</v>
      </c>
      <c r="BA8" s="922">
        <v>7.9377381178566102</v>
      </c>
      <c r="BB8" s="922">
        <v>7.9527641334138375</v>
      </c>
      <c r="BC8" s="922">
        <v>7.9677901489710647</v>
      </c>
      <c r="BD8" s="922">
        <v>7.982816164528292</v>
      </c>
      <c r="BE8" s="922">
        <v>7.9978421800855193</v>
      </c>
      <c r="BF8" s="922">
        <v>8.0128681956427457</v>
      </c>
      <c r="BG8" s="922">
        <v>8.0278942111999729</v>
      </c>
      <c r="BH8" s="922">
        <v>8.0429202267572002</v>
      </c>
      <c r="BI8" s="922">
        <v>8.0579462423144275</v>
      </c>
      <c r="BJ8" s="922">
        <v>8.0729722578716547</v>
      </c>
      <c r="BK8" s="922">
        <v>8.087998273428882</v>
      </c>
      <c r="BL8" s="922">
        <v>8.1030242889861093</v>
      </c>
      <c r="BM8" s="922">
        <v>8.1180503045433365</v>
      </c>
      <c r="BN8" s="922">
        <v>8.1330763201005638</v>
      </c>
      <c r="BO8" s="923">
        <v>8.1481023356577857</v>
      </c>
      <c r="BP8" s="922">
        <v>8.1635558206357306</v>
      </c>
      <c r="BQ8" s="922">
        <v>8.1790093056136755</v>
      </c>
      <c r="BR8" s="922">
        <v>8.1944627905916203</v>
      </c>
      <c r="BS8" s="922">
        <v>8.2099162755695652</v>
      </c>
      <c r="BT8" s="924">
        <v>8.2253697605475136</v>
      </c>
    </row>
    <row r="9" spans="1:72" x14ac:dyDescent="0.25">
      <c r="A9" s="1631" t="s">
        <v>750</v>
      </c>
      <c r="B9" s="1632"/>
      <c r="C9" s="1632"/>
      <c r="D9" s="1632"/>
      <c r="E9" s="1632"/>
      <c r="F9" s="1632"/>
      <c r="G9" s="1632"/>
      <c r="H9" s="1632"/>
      <c r="I9" s="1632"/>
      <c r="J9" s="1632"/>
      <c r="K9" s="1632"/>
      <c r="L9" s="1632"/>
      <c r="M9" s="1632"/>
      <c r="N9" s="1632"/>
      <c r="O9" s="1632"/>
      <c r="P9" s="1632"/>
      <c r="Q9" s="1632"/>
      <c r="R9" s="1632"/>
      <c r="S9" s="1632"/>
      <c r="T9" s="1632"/>
      <c r="U9" s="1632"/>
      <c r="V9" s="1632"/>
      <c r="W9" s="1632"/>
      <c r="X9" s="1632"/>
      <c r="Y9" s="1632"/>
      <c r="Z9" s="1632"/>
      <c r="AA9" s="1632"/>
      <c r="AB9" s="1632"/>
      <c r="AC9" s="1632"/>
      <c r="AD9" s="1632"/>
      <c r="AE9" s="1632"/>
      <c r="AF9" s="1632"/>
      <c r="AG9" s="1632"/>
      <c r="AH9" s="1632"/>
      <c r="AI9" s="1632"/>
      <c r="AJ9" s="1632"/>
      <c r="AK9" s="1632"/>
      <c r="AL9" s="1632"/>
      <c r="AM9" s="1632"/>
      <c r="AN9" s="1632"/>
      <c r="AO9" s="1632"/>
      <c r="AP9" s="1632"/>
      <c r="AQ9" s="1632"/>
      <c r="AR9" s="1632"/>
      <c r="AS9" s="1632"/>
      <c r="AT9" s="1632"/>
      <c r="AU9" s="1632"/>
      <c r="AV9" s="1632"/>
      <c r="AW9" s="1632"/>
      <c r="AX9" s="1632"/>
      <c r="AY9" s="1632"/>
      <c r="AZ9" s="1632"/>
      <c r="BA9" s="1632"/>
      <c r="BB9" s="1632"/>
      <c r="BC9" s="1632"/>
      <c r="BD9" s="1632"/>
      <c r="BE9" s="1632"/>
      <c r="BF9" s="1632"/>
      <c r="BG9" s="1632"/>
      <c r="BH9" s="1632"/>
      <c r="BI9" s="1632"/>
      <c r="BJ9" s="1632"/>
      <c r="BK9" s="1632"/>
      <c r="BL9" s="1632"/>
      <c r="BM9" s="1632"/>
      <c r="BN9" s="1632"/>
      <c r="BO9" s="1632"/>
      <c r="BP9" s="1632"/>
      <c r="BQ9" s="1632"/>
      <c r="BR9" s="1632"/>
      <c r="BS9" s="1632"/>
      <c r="BT9" s="1633"/>
    </row>
    <row r="10" spans="1:72" x14ac:dyDescent="0.25">
      <c r="A10" s="925" t="s">
        <v>683</v>
      </c>
      <c r="B10" s="920" t="s">
        <v>747</v>
      </c>
      <c r="C10" s="921">
        <v>24.866788774356646</v>
      </c>
      <c r="D10" s="921">
        <v>24.345010037692106</v>
      </c>
      <c r="E10" s="921">
        <v>24.223933219909672</v>
      </c>
      <c r="F10" s="921">
        <v>24.020635352944481</v>
      </c>
      <c r="G10" s="921">
        <v>23.91295186528621</v>
      </c>
      <c r="H10" s="921">
        <v>22.837542614846832</v>
      </c>
      <c r="I10" s="921">
        <v>21.69091966017233</v>
      </c>
      <c r="J10" s="921">
        <v>21.090846376599046</v>
      </c>
      <c r="K10" s="921">
        <v>21.058556043876806</v>
      </c>
      <c r="L10" s="921">
        <v>20.987678365887316</v>
      </c>
      <c r="M10" s="921">
        <v>20.983490961902529</v>
      </c>
      <c r="N10" s="921">
        <v>21.313707333690761</v>
      </c>
      <c r="O10" s="921">
        <v>21.638938984780914</v>
      </c>
      <c r="P10" s="921">
        <v>22.13258341123478</v>
      </c>
      <c r="Q10" s="921">
        <v>22.313049388381657</v>
      </c>
      <c r="R10" s="921">
        <v>22.486876361774936</v>
      </c>
      <c r="S10" s="921">
        <v>22.494946956634521</v>
      </c>
      <c r="T10" s="921">
        <v>22.662665807975912</v>
      </c>
      <c r="U10" s="921">
        <v>22.922821701697636</v>
      </c>
      <c r="V10" s="921">
        <v>23.270139622238439</v>
      </c>
      <c r="W10" s="921">
        <v>23.509686568997985</v>
      </c>
      <c r="X10" s="921">
        <v>23.493712398241108</v>
      </c>
      <c r="Y10" s="921">
        <v>23.423848763951703</v>
      </c>
      <c r="Z10" s="921">
        <v>23.513217827059155</v>
      </c>
      <c r="AA10" s="921">
        <v>23.645542576627872</v>
      </c>
      <c r="AB10" s="922">
        <v>23.786749293232678</v>
      </c>
      <c r="AC10" s="922">
        <v>23.927956009837484</v>
      </c>
      <c r="AD10" s="922">
        <v>24.06916272644229</v>
      </c>
      <c r="AE10" s="922">
        <v>24.210369443047096</v>
      </c>
      <c r="AF10" s="922">
        <v>24.351576159651902</v>
      </c>
      <c r="AG10" s="922">
        <v>24.492782876256708</v>
      </c>
      <c r="AH10" s="922">
        <v>24.633989592861514</v>
      </c>
      <c r="AI10" s="922">
        <v>24.77519630946632</v>
      </c>
      <c r="AJ10" s="922">
        <v>24.916403026071126</v>
      </c>
      <c r="AK10" s="922">
        <v>25.057609742675933</v>
      </c>
      <c r="AL10" s="922">
        <v>25.047759076850095</v>
      </c>
      <c r="AM10" s="922">
        <v>25.037908411024258</v>
      </c>
      <c r="AN10" s="922">
        <v>25.028057745198421</v>
      </c>
      <c r="AO10" s="922">
        <v>25.018207079372583</v>
      </c>
      <c r="AP10" s="922">
        <v>25.008356413546746</v>
      </c>
      <c r="AQ10" s="922">
        <v>24.998505747720909</v>
      </c>
      <c r="AR10" s="922">
        <v>24.988655081895072</v>
      </c>
      <c r="AS10" s="922">
        <v>24.978804416069234</v>
      </c>
      <c r="AT10" s="922">
        <v>24.968953750243397</v>
      </c>
      <c r="AU10" s="922">
        <v>24.95910308441756</v>
      </c>
      <c r="AV10" s="922">
        <v>24.949252418591723</v>
      </c>
      <c r="AW10" s="922">
        <v>24.939401752765885</v>
      </c>
      <c r="AX10" s="922">
        <v>24.929551086940048</v>
      </c>
      <c r="AY10" s="922">
        <v>24.919700421114211</v>
      </c>
      <c r="AZ10" s="923">
        <v>24.90984975528837</v>
      </c>
      <c r="BA10" s="922">
        <v>24.925673674379027</v>
      </c>
      <c r="BB10" s="922">
        <v>24.941497593469684</v>
      </c>
      <c r="BC10" s="922">
        <v>24.957321512560341</v>
      </c>
      <c r="BD10" s="922">
        <v>24.973145431650998</v>
      </c>
      <c r="BE10" s="922">
        <v>24.988969350741655</v>
      </c>
      <c r="BF10" s="922">
        <v>25.004793269832312</v>
      </c>
      <c r="BG10" s="922">
        <v>25.020617188922969</v>
      </c>
      <c r="BH10" s="922">
        <v>25.036441108013626</v>
      </c>
      <c r="BI10" s="922">
        <v>25.052265027104283</v>
      </c>
      <c r="BJ10" s="922">
        <v>25.068088946194941</v>
      </c>
      <c r="BK10" s="922">
        <v>25.083912865285598</v>
      </c>
      <c r="BL10" s="922">
        <v>25.099736784376255</v>
      </c>
      <c r="BM10" s="922">
        <v>25.115560703466912</v>
      </c>
      <c r="BN10" s="922">
        <v>25.131384622557569</v>
      </c>
      <c r="BO10" s="923">
        <v>25.147208541648205</v>
      </c>
      <c r="BP10" s="922">
        <v>25.163183242307905</v>
      </c>
      <c r="BQ10" s="922">
        <v>25.179157942967606</v>
      </c>
      <c r="BR10" s="922">
        <v>25.195132643627307</v>
      </c>
      <c r="BS10" s="922">
        <v>25.211107344287008</v>
      </c>
      <c r="BT10" s="924">
        <v>25.227082044946716</v>
      </c>
    </row>
    <row r="11" spans="1:72" x14ac:dyDescent="0.25">
      <c r="A11" s="925" t="s">
        <v>698</v>
      </c>
      <c r="B11" s="920" t="s">
        <v>747</v>
      </c>
      <c r="C11" s="921">
        <v>16.038863482553147</v>
      </c>
      <c r="D11" s="921">
        <v>15.36037109932807</v>
      </c>
      <c r="E11" s="921">
        <v>15.664056310113844</v>
      </c>
      <c r="F11" s="921">
        <v>16.390134465019642</v>
      </c>
      <c r="G11" s="921">
        <v>16.26049394877451</v>
      </c>
      <c r="H11" s="921">
        <v>15.718549229064077</v>
      </c>
      <c r="I11" s="921">
        <v>15.083546116666987</v>
      </c>
      <c r="J11" s="921">
        <v>14.764544869368896</v>
      </c>
      <c r="K11" s="921">
        <v>14.679648534306921</v>
      </c>
      <c r="L11" s="921">
        <v>14.510741661179726</v>
      </c>
      <c r="M11" s="921">
        <v>14.370329416023063</v>
      </c>
      <c r="N11" s="921">
        <v>14.522587083420669</v>
      </c>
      <c r="O11" s="921">
        <v>14.791267903345901</v>
      </c>
      <c r="P11" s="921">
        <v>15.142176731577413</v>
      </c>
      <c r="Q11" s="921">
        <v>15.304996360023072</v>
      </c>
      <c r="R11" s="921">
        <v>15.443286072533045</v>
      </c>
      <c r="S11" s="921">
        <v>15.485992224711291</v>
      </c>
      <c r="T11" s="921">
        <v>15.663456831338236</v>
      </c>
      <c r="U11" s="921">
        <v>15.910829809476709</v>
      </c>
      <c r="V11" s="921">
        <v>16.241389166634008</v>
      </c>
      <c r="W11" s="921">
        <v>16.419768400912066</v>
      </c>
      <c r="X11" s="921">
        <v>16.405212897174714</v>
      </c>
      <c r="Y11" s="921">
        <v>16.372526888577397</v>
      </c>
      <c r="Z11" s="921">
        <v>16.449089176249931</v>
      </c>
      <c r="AA11" s="921">
        <v>16.568027554817903</v>
      </c>
      <c r="AB11" s="922">
        <v>16.704753726753587</v>
      </c>
      <c r="AC11" s="922">
        <v>16.841479898689272</v>
      </c>
      <c r="AD11" s="922">
        <v>16.978206070624957</v>
      </c>
      <c r="AE11" s="922">
        <v>17.114932242560641</v>
      </c>
      <c r="AF11" s="922">
        <v>17.251658414496326</v>
      </c>
      <c r="AG11" s="922">
        <v>17.388384586432011</v>
      </c>
      <c r="AH11" s="922">
        <v>17.525110758367695</v>
      </c>
      <c r="AI11" s="922">
        <v>17.66183693030338</v>
      </c>
      <c r="AJ11" s="922">
        <v>17.798563102239065</v>
      </c>
      <c r="AK11" s="922">
        <v>17.935289274174743</v>
      </c>
      <c r="AL11" s="922">
        <v>17.928238540168429</v>
      </c>
      <c r="AM11" s="922">
        <v>17.921187806162116</v>
      </c>
      <c r="AN11" s="922">
        <v>17.914137072155803</v>
      </c>
      <c r="AO11" s="922">
        <v>17.90708633814949</v>
      </c>
      <c r="AP11" s="922">
        <v>17.900035604143177</v>
      </c>
      <c r="AQ11" s="922">
        <v>17.892984870136864</v>
      </c>
      <c r="AR11" s="922">
        <v>17.885934136130551</v>
      </c>
      <c r="AS11" s="922">
        <v>17.878883402124238</v>
      </c>
      <c r="AT11" s="922">
        <v>17.871832668117925</v>
      </c>
      <c r="AU11" s="922">
        <v>17.864781934111612</v>
      </c>
      <c r="AV11" s="922">
        <v>17.857731200105299</v>
      </c>
      <c r="AW11" s="922">
        <v>17.850680466098986</v>
      </c>
      <c r="AX11" s="922">
        <v>17.843629732092673</v>
      </c>
      <c r="AY11" s="922">
        <v>17.83657899808636</v>
      </c>
      <c r="AZ11" s="923">
        <v>17.829528264080036</v>
      </c>
      <c r="BA11" s="922">
        <v>17.840854426840831</v>
      </c>
      <c r="BB11" s="922">
        <v>17.852180589601627</v>
      </c>
      <c r="BC11" s="922">
        <v>17.863506752362422</v>
      </c>
      <c r="BD11" s="922">
        <v>17.874832915123218</v>
      </c>
      <c r="BE11" s="922">
        <v>17.886159077884013</v>
      </c>
      <c r="BF11" s="922">
        <v>17.897485240644809</v>
      </c>
      <c r="BG11" s="922">
        <v>17.908811403405604</v>
      </c>
      <c r="BH11" s="922">
        <v>17.9201375661664</v>
      </c>
      <c r="BI11" s="922">
        <v>17.931463728927195</v>
      </c>
      <c r="BJ11" s="922">
        <v>17.94278989168799</v>
      </c>
      <c r="BK11" s="922">
        <v>17.954116054448786</v>
      </c>
      <c r="BL11" s="922">
        <v>17.965442217209581</v>
      </c>
      <c r="BM11" s="922">
        <v>17.976768379970377</v>
      </c>
      <c r="BN11" s="922">
        <v>17.988094542731172</v>
      </c>
      <c r="BO11" s="923">
        <v>17.999420705491971</v>
      </c>
      <c r="BP11" s="922">
        <v>18.010854791996724</v>
      </c>
      <c r="BQ11" s="922">
        <v>18.022288878501477</v>
      </c>
      <c r="BR11" s="922">
        <v>18.033722965006231</v>
      </c>
      <c r="BS11" s="922">
        <v>18.045157051510984</v>
      </c>
      <c r="BT11" s="924">
        <v>18.056591138015737</v>
      </c>
    </row>
    <row r="12" spans="1:72" x14ac:dyDescent="0.25">
      <c r="A12" s="926" t="s">
        <v>751</v>
      </c>
      <c r="B12" s="920"/>
      <c r="C12" s="920"/>
      <c r="D12" s="920"/>
      <c r="E12" s="920"/>
      <c r="F12" s="920"/>
      <c r="G12" s="920"/>
      <c r="H12" s="920"/>
      <c r="I12" s="920"/>
      <c r="J12" s="920"/>
      <c r="K12" s="920"/>
      <c r="L12" s="920"/>
      <c r="M12" s="920"/>
      <c r="N12" s="920"/>
      <c r="O12" s="920"/>
      <c r="P12" s="920"/>
      <c r="Q12" s="920"/>
      <c r="R12" s="920"/>
      <c r="S12" s="920"/>
      <c r="T12" s="920"/>
      <c r="U12" s="920"/>
      <c r="V12" s="920"/>
      <c r="W12" s="920"/>
      <c r="X12" s="920"/>
      <c r="Y12" s="920"/>
      <c r="Z12" s="920"/>
      <c r="AA12" s="920"/>
      <c r="AB12" s="920"/>
      <c r="AC12" s="920"/>
      <c r="AD12" s="920"/>
      <c r="AE12" s="920"/>
      <c r="AF12" s="920"/>
      <c r="AG12" s="920"/>
      <c r="AH12" s="920"/>
      <c r="AI12" s="920"/>
      <c r="AJ12" s="920"/>
      <c r="AK12" s="920"/>
      <c r="AL12" s="920"/>
      <c r="AM12" s="920"/>
      <c r="AN12" s="920"/>
      <c r="AO12" s="920"/>
      <c r="AP12" s="920"/>
      <c r="AQ12" s="920"/>
      <c r="AR12" s="920"/>
      <c r="AS12" s="920"/>
      <c r="AT12" s="920"/>
      <c r="AU12" s="920"/>
      <c r="AV12" s="920"/>
      <c r="AW12" s="920"/>
      <c r="AX12" s="920"/>
      <c r="AY12" s="920"/>
      <c r="AZ12" s="920"/>
      <c r="BA12" s="920"/>
      <c r="BB12" s="920"/>
      <c r="BC12" s="920"/>
      <c r="BD12" s="920"/>
      <c r="BE12" s="920"/>
      <c r="BF12" s="920"/>
      <c r="BG12" s="920"/>
      <c r="BH12" s="920"/>
      <c r="BI12" s="920"/>
      <c r="BJ12" s="920"/>
      <c r="BK12" s="920"/>
      <c r="BL12" s="920"/>
      <c r="BM12" s="920"/>
      <c r="BN12" s="920"/>
      <c r="BO12" s="920"/>
      <c r="BP12" s="920"/>
      <c r="BQ12" s="920"/>
      <c r="BR12" s="920"/>
      <c r="BS12" s="920"/>
      <c r="BT12" s="927"/>
    </row>
    <row r="13" spans="1:72" x14ac:dyDescent="0.25">
      <c r="A13" s="925" t="s">
        <v>1087</v>
      </c>
      <c r="B13" s="920" t="s">
        <v>747</v>
      </c>
      <c r="C13" s="921">
        <v>1.3268491834774256</v>
      </c>
      <c r="D13" s="921">
        <v>1.32388562245189</v>
      </c>
      <c r="E13" s="921">
        <v>1.3334961719108085</v>
      </c>
      <c r="F13" s="921">
        <v>1.3380821099821107</v>
      </c>
      <c r="G13" s="921">
        <v>1.3443425871291239</v>
      </c>
      <c r="H13" s="921">
        <v>1.3528785733681756</v>
      </c>
      <c r="I13" s="921">
        <v>1.3415886383011697</v>
      </c>
      <c r="J13" s="921">
        <v>1.3403624656065469</v>
      </c>
      <c r="K13" s="921">
        <v>1.330997225248586</v>
      </c>
      <c r="L13" s="921">
        <v>1.3164209684110997</v>
      </c>
      <c r="M13" s="921">
        <v>1.3072140481112184</v>
      </c>
      <c r="N13" s="921">
        <v>1.3019573002491378</v>
      </c>
      <c r="O13" s="921">
        <v>1.2978333982656636</v>
      </c>
      <c r="P13" s="921">
        <v>1.295833644439585</v>
      </c>
      <c r="Q13" s="921">
        <v>1.2953486183904279</v>
      </c>
      <c r="R13" s="921">
        <v>1.2970626753456174</v>
      </c>
      <c r="S13" s="921">
        <v>1.2955796364343368</v>
      </c>
      <c r="T13" s="921">
        <v>1.3002382724914889</v>
      </c>
      <c r="U13" s="921">
        <v>1.3044509032987155</v>
      </c>
      <c r="V13" s="921">
        <v>1.3304805103337984</v>
      </c>
      <c r="W13" s="921">
        <v>1.3397570218680066</v>
      </c>
      <c r="X13" s="921">
        <v>1.3519914094007222</v>
      </c>
      <c r="Y13" s="921">
        <v>1.3569265463442153</v>
      </c>
      <c r="Z13" s="921">
        <v>1.3726611244228613</v>
      </c>
      <c r="AA13" s="921">
        <v>1.3854931266802686</v>
      </c>
      <c r="AB13" s="922">
        <v>1.3951349014789893</v>
      </c>
      <c r="AC13" s="922">
        <v>1.4047766762777101</v>
      </c>
      <c r="AD13" s="922">
        <v>1.4144184510764308</v>
      </c>
      <c r="AE13" s="922">
        <v>1.4240602258751516</v>
      </c>
      <c r="AF13" s="922">
        <v>1.4337020006738723</v>
      </c>
      <c r="AG13" s="922">
        <v>1.4433437754725931</v>
      </c>
      <c r="AH13" s="922">
        <v>1.4529855502713138</v>
      </c>
      <c r="AI13" s="922">
        <v>1.4626273250700346</v>
      </c>
      <c r="AJ13" s="922">
        <v>1.4722690998687553</v>
      </c>
      <c r="AK13" s="922">
        <v>1.481910874667477</v>
      </c>
      <c r="AL13" s="922">
        <v>1.4862555877963981</v>
      </c>
      <c r="AM13" s="922">
        <v>1.4906003009253193</v>
      </c>
      <c r="AN13" s="922">
        <v>1.4949450140542404</v>
      </c>
      <c r="AO13" s="922">
        <v>1.4992897271831616</v>
      </c>
      <c r="AP13" s="922">
        <v>1.5036344403120827</v>
      </c>
      <c r="AQ13" s="922">
        <v>1.5079791534410039</v>
      </c>
      <c r="AR13" s="922">
        <v>1.512323866569925</v>
      </c>
      <c r="AS13" s="922">
        <v>1.5166685796988462</v>
      </c>
      <c r="AT13" s="922">
        <v>1.5210132928277673</v>
      </c>
      <c r="AU13" s="922">
        <v>1.5253580059566885</v>
      </c>
      <c r="AV13" s="922">
        <v>1.5297027190856096</v>
      </c>
      <c r="AW13" s="922">
        <v>1.5340474322145308</v>
      </c>
      <c r="AX13" s="922">
        <v>1.5383921453434519</v>
      </c>
      <c r="AY13" s="922">
        <v>1.5427368584723731</v>
      </c>
      <c r="AZ13" s="923">
        <v>1.5470815716012942</v>
      </c>
      <c r="BA13" s="922">
        <v>1.5500157274134729</v>
      </c>
      <c r="BB13" s="922">
        <v>1.5529498832256516</v>
      </c>
      <c r="BC13" s="922">
        <v>1.5558840390378303</v>
      </c>
      <c r="BD13" s="922">
        <v>1.5588181948500091</v>
      </c>
      <c r="BE13" s="922">
        <v>1.5617523506621878</v>
      </c>
      <c r="BF13" s="922">
        <v>1.5646865064743665</v>
      </c>
      <c r="BG13" s="922">
        <v>1.5676206622865452</v>
      </c>
      <c r="BH13" s="922">
        <v>1.5705548180987239</v>
      </c>
      <c r="BI13" s="922">
        <v>1.5734889739109026</v>
      </c>
      <c r="BJ13" s="922">
        <v>1.5764231297230813</v>
      </c>
      <c r="BK13" s="922">
        <v>1.57935728553526</v>
      </c>
      <c r="BL13" s="922">
        <v>1.5822914413474387</v>
      </c>
      <c r="BM13" s="922">
        <v>1.5852255971596174</v>
      </c>
      <c r="BN13" s="922">
        <v>1.5881597529717961</v>
      </c>
      <c r="BO13" s="923">
        <v>1.5910939087839742</v>
      </c>
      <c r="BP13" s="922">
        <v>1.5941115372826113</v>
      </c>
      <c r="BQ13" s="922">
        <v>1.5971291657812485</v>
      </c>
      <c r="BR13" s="922">
        <v>1.6001467942798857</v>
      </c>
      <c r="BS13" s="922">
        <v>1.6031644227785229</v>
      </c>
      <c r="BT13" s="924">
        <v>1.6061820512771605</v>
      </c>
    </row>
    <row r="14" spans="1:72" x14ac:dyDescent="0.25">
      <c r="A14" s="1631" t="s">
        <v>752</v>
      </c>
      <c r="B14" s="1632"/>
      <c r="C14" s="1632"/>
      <c r="D14" s="1632"/>
      <c r="E14" s="1632"/>
      <c r="F14" s="1632"/>
      <c r="G14" s="1632"/>
      <c r="H14" s="1632"/>
      <c r="I14" s="1632"/>
      <c r="J14" s="1632"/>
      <c r="K14" s="1632"/>
      <c r="L14" s="1632"/>
      <c r="M14" s="1632"/>
      <c r="N14" s="1632"/>
      <c r="O14" s="1632"/>
      <c r="P14" s="1632"/>
      <c r="Q14" s="1632"/>
      <c r="R14" s="1632"/>
      <c r="S14" s="1632"/>
      <c r="T14" s="1632"/>
      <c r="U14" s="1632"/>
      <c r="V14" s="1632"/>
      <c r="W14" s="1632"/>
      <c r="X14" s="1632"/>
      <c r="Y14" s="1632"/>
      <c r="Z14" s="1632"/>
      <c r="AA14" s="1632"/>
      <c r="AB14" s="1632"/>
      <c r="AC14" s="1632"/>
      <c r="AD14" s="1632"/>
      <c r="AE14" s="1632"/>
      <c r="AF14" s="1632"/>
      <c r="AG14" s="1632"/>
      <c r="AH14" s="1632"/>
      <c r="AI14" s="1632"/>
      <c r="AJ14" s="1632"/>
      <c r="AK14" s="1632"/>
      <c r="AL14" s="1632"/>
      <c r="AM14" s="1632"/>
      <c r="AN14" s="1632"/>
      <c r="AO14" s="1632"/>
      <c r="AP14" s="1632"/>
      <c r="AQ14" s="1632"/>
      <c r="AR14" s="1632"/>
      <c r="AS14" s="1632"/>
      <c r="AT14" s="1632"/>
      <c r="AU14" s="1632"/>
      <c r="AV14" s="1632"/>
      <c r="AW14" s="1632"/>
      <c r="AX14" s="1632"/>
      <c r="AY14" s="1632"/>
      <c r="AZ14" s="1632"/>
      <c r="BA14" s="1632"/>
      <c r="BB14" s="1632"/>
      <c r="BC14" s="1632"/>
      <c r="BD14" s="1632"/>
      <c r="BE14" s="1632"/>
      <c r="BF14" s="1632"/>
      <c r="BG14" s="1632"/>
      <c r="BH14" s="1632"/>
      <c r="BI14" s="1632"/>
      <c r="BJ14" s="1632"/>
      <c r="BK14" s="1632"/>
      <c r="BL14" s="1632"/>
      <c r="BM14" s="1632"/>
      <c r="BN14" s="1632"/>
      <c r="BO14" s="1632"/>
      <c r="BP14" s="1632"/>
      <c r="BQ14" s="1632"/>
      <c r="BR14" s="1632"/>
      <c r="BS14" s="1632"/>
      <c r="BT14" s="1633"/>
    </row>
    <row r="15" spans="1:72" ht="23" x14ac:dyDescent="0.25">
      <c r="A15" s="919" t="s">
        <v>753</v>
      </c>
      <c r="B15" s="920" t="s">
        <v>747</v>
      </c>
      <c r="C15" s="921">
        <v>10.789461735918687</v>
      </c>
      <c r="D15" s="921">
        <v>9.9590971559848445</v>
      </c>
      <c r="E15" s="921">
        <v>11.383831536994775</v>
      </c>
      <c r="F15" s="921">
        <v>12.531178240506115</v>
      </c>
      <c r="G15" s="921">
        <v>12.036300060884058</v>
      </c>
      <c r="H15" s="921">
        <v>12.613383383121093</v>
      </c>
      <c r="I15" s="921">
        <v>13.01890940036416</v>
      </c>
      <c r="J15" s="921">
        <v>12.908589399085846</v>
      </c>
      <c r="K15" s="921">
        <v>12.946875513724528</v>
      </c>
      <c r="L15" s="921">
        <v>13.039098811599491</v>
      </c>
      <c r="M15" s="921">
        <v>13.088955960183741</v>
      </c>
      <c r="N15" s="921">
        <v>13.133508268392355</v>
      </c>
      <c r="O15" s="921">
        <v>13.038477461293056</v>
      </c>
      <c r="P15" s="921">
        <v>12.989168095138872</v>
      </c>
      <c r="Q15" s="921">
        <v>12.752903866318045</v>
      </c>
      <c r="R15" s="921">
        <v>12.539506322932722</v>
      </c>
      <c r="S15" s="921">
        <v>12.335074118848111</v>
      </c>
      <c r="T15" s="921">
        <v>12.292193988584152</v>
      </c>
      <c r="U15" s="921">
        <v>12.304560350921868</v>
      </c>
      <c r="V15" s="921">
        <v>12.340337204483362</v>
      </c>
      <c r="W15" s="921">
        <v>12.418707870087554</v>
      </c>
      <c r="X15" s="921">
        <v>12.438495640484758</v>
      </c>
      <c r="Y15" s="921">
        <v>12.492141534697302</v>
      </c>
      <c r="Z15" s="921">
        <v>12.624332072599859</v>
      </c>
      <c r="AA15" s="921">
        <v>13.025979869770596</v>
      </c>
      <c r="AB15" s="921">
        <v>13.053872203635709</v>
      </c>
      <c r="AC15" s="921">
        <v>13.081764537500822</v>
      </c>
      <c r="AD15" s="921">
        <v>13.109656871365935</v>
      </c>
      <c r="AE15" s="921">
        <v>13.137549205231048</v>
      </c>
      <c r="AF15" s="921">
        <v>13.165441539096161</v>
      </c>
      <c r="AG15" s="921">
        <v>13.193333872961274</v>
      </c>
      <c r="AH15" s="921">
        <v>13.221226206826387</v>
      </c>
      <c r="AI15" s="921">
        <v>13.2491185406915</v>
      </c>
      <c r="AJ15" s="921">
        <v>13.277010874556613</v>
      </c>
      <c r="AK15" s="921">
        <v>13.304903208421727</v>
      </c>
      <c r="AL15" s="921">
        <v>13.445726499778688</v>
      </c>
      <c r="AM15" s="921">
        <v>13.586549791135649</v>
      </c>
      <c r="AN15" s="921">
        <v>13.72737308249261</v>
      </c>
      <c r="AO15" s="921">
        <v>13.868196373849571</v>
      </c>
      <c r="AP15" s="921">
        <v>14.009019665206532</v>
      </c>
      <c r="AQ15" s="921">
        <v>14.149842956563493</v>
      </c>
      <c r="AR15" s="921">
        <v>14.290666247920454</v>
      </c>
      <c r="AS15" s="921">
        <v>14.431489539277415</v>
      </c>
      <c r="AT15" s="921">
        <v>14.572312830634376</v>
      </c>
      <c r="AU15" s="921">
        <v>14.713136121991337</v>
      </c>
      <c r="AV15" s="921">
        <v>14.853959413348298</v>
      </c>
      <c r="AW15" s="921">
        <v>14.994782704705258</v>
      </c>
      <c r="AX15" s="921">
        <v>15.135605996062219</v>
      </c>
      <c r="AY15" s="921">
        <v>15.27642928741918</v>
      </c>
      <c r="AZ15" s="921">
        <v>15.417252578776129</v>
      </c>
      <c r="BA15" s="921">
        <v>15.505038084680947</v>
      </c>
      <c r="BB15" s="921">
        <v>15.592823590585766</v>
      </c>
      <c r="BC15" s="921">
        <v>15.680609096490585</v>
      </c>
      <c r="BD15" s="921">
        <v>15.768394602395404</v>
      </c>
      <c r="BE15" s="921">
        <v>15.856180108300222</v>
      </c>
      <c r="BF15" s="921">
        <v>15.943965614205041</v>
      </c>
      <c r="BG15" s="921">
        <v>16.03175112010986</v>
      </c>
      <c r="BH15" s="921">
        <v>16.119536626014678</v>
      </c>
      <c r="BI15" s="921">
        <v>16.207322131919497</v>
      </c>
      <c r="BJ15" s="921">
        <v>16.295107637824316</v>
      </c>
      <c r="BK15" s="921">
        <v>16.382893143729135</v>
      </c>
      <c r="BL15" s="921">
        <v>16.470678649633953</v>
      </c>
      <c r="BM15" s="921">
        <v>16.558464155538772</v>
      </c>
      <c r="BN15" s="921">
        <v>16.646249661443591</v>
      </c>
      <c r="BO15" s="921">
        <v>16.734035167348416</v>
      </c>
      <c r="BP15" s="921">
        <v>16.829318405103567</v>
      </c>
      <c r="BQ15" s="921">
        <v>16.924601642858718</v>
      </c>
      <c r="BR15" s="921">
        <v>17.019884880613869</v>
      </c>
      <c r="BS15" s="921">
        <v>17.11516811836902</v>
      </c>
      <c r="BT15" s="928">
        <v>17.210451356124164</v>
      </c>
    </row>
    <row r="16" spans="1:72" x14ac:dyDescent="0.25">
      <c r="A16" s="925" t="s">
        <v>754</v>
      </c>
      <c r="B16" s="920" t="s">
        <v>747</v>
      </c>
      <c r="C16" s="921">
        <v>12.730520250245322</v>
      </c>
      <c r="D16" s="921">
        <v>11.801320287416596</v>
      </c>
      <c r="E16" s="921">
        <v>13.477350603859424</v>
      </c>
      <c r="F16" s="921">
        <v>15.275134761378448</v>
      </c>
      <c r="G16" s="921">
        <v>14.956036086352325</v>
      </c>
      <c r="H16" s="921">
        <v>15.333911517881027</v>
      </c>
      <c r="I16" s="921">
        <v>14.969645149302909</v>
      </c>
      <c r="J16" s="921">
        <v>14.856007634468792</v>
      </c>
      <c r="K16" s="921">
        <v>14.855665643260203</v>
      </c>
      <c r="L16" s="921">
        <v>14.676357863084307</v>
      </c>
      <c r="M16" s="921">
        <v>14.660823111264261</v>
      </c>
      <c r="N16" s="921">
        <v>14.621396694543213</v>
      </c>
      <c r="O16" s="921">
        <v>14.496914877081778</v>
      </c>
      <c r="P16" s="921">
        <v>14.525867813038341</v>
      </c>
      <c r="Q16" s="921">
        <v>14.406443289990676</v>
      </c>
      <c r="R16" s="921">
        <v>14.511791494657368</v>
      </c>
      <c r="S16" s="921">
        <v>14.408484301477108</v>
      </c>
      <c r="T16" s="921">
        <v>14.421367627269808</v>
      </c>
      <c r="U16" s="921">
        <v>14.483474821414545</v>
      </c>
      <c r="V16" s="921">
        <v>14.423047758498246</v>
      </c>
      <c r="W16" s="921">
        <v>14.678410804496627</v>
      </c>
      <c r="X16" s="921">
        <v>14.842794247393387</v>
      </c>
      <c r="Y16" s="921">
        <v>14.985196801851416</v>
      </c>
      <c r="Z16" s="921">
        <v>15.125157698145465</v>
      </c>
      <c r="AA16" s="921">
        <v>15.225733932459173</v>
      </c>
      <c r="AB16" s="922">
        <v>15.312322281050708</v>
      </c>
      <c r="AC16" s="922">
        <v>15.398910629642243</v>
      </c>
      <c r="AD16" s="922">
        <v>15.485498978233778</v>
      </c>
      <c r="AE16" s="922">
        <v>15.572087326825313</v>
      </c>
      <c r="AF16" s="922">
        <v>15.658675675416848</v>
      </c>
      <c r="AG16" s="922">
        <v>15.745264024008383</v>
      </c>
      <c r="AH16" s="922">
        <v>15.831852372599919</v>
      </c>
      <c r="AI16" s="922">
        <v>15.918440721191454</v>
      </c>
      <c r="AJ16" s="922">
        <v>16.005029069782989</v>
      </c>
      <c r="AK16" s="922">
        <v>16.091617418374518</v>
      </c>
      <c r="AL16" s="922">
        <v>16.26193617174043</v>
      </c>
      <c r="AM16" s="922">
        <v>16.432254925106342</v>
      </c>
      <c r="AN16" s="922">
        <v>16.602573678472254</v>
      </c>
      <c r="AO16" s="922">
        <v>16.772892431838166</v>
      </c>
      <c r="AP16" s="922">
        <v>16.943211185204078</v>
      </c>
      <c r="AQ16" s="922">
        <v>17.113529938569989</v>
      </c>
      <c r="AR16" s="922">
        <v>17.283848691935901</v>
      </c>
      <c r="AS16" s="922">
        <v>17.454167445301813</v>
      </c>
      <c r="AT16" s="922">
        <v>17.624486198667725</v>
      </c>
      <c r="AU16" s="922">
        <v>17.794804952033637</v>
      </c>
      <c r="AV16" s="922">
        <v>17.965123705399549</v>
      </c>
      <c r="AW16" s="922">
        <v>18.135442458765461</v>
      </c>
      <c r="AX16" s="922">
        <v>18.305761212131372</v>
      </c>
      <c r="AY16" s="922">
        <v>18.476079965497284</v>
      </c>
      <c r="AZ16" s="921">
        <v>18.646398718863171</v>
      </c>
      <c r="BA16" s="922">
        <v>18.752570913712709</v>
      </c>
      <c r="BB16" s="922">
        <v>18.858743108562248</v>
      </c>
      <c r="BC16" s="922">
        <v>18.964915303411786</v>
      </c>
      <c r="BD16" s="922">
        <v>19.071087498261324</v>
      </c>
      <c r="BE16" s="922">
        <v>19.177259693110862</v>
      </c>
      <c r="BF16" s="922">
        <v>19.283431887960401</v>
      </c>
      <c r="BG16" s="922">
        <v>19.389604082809939</v>
      </c>
      <c r="BH16" s="922">
        <v>19.495776277659477</v>
      </c>
      <c r="BI16" s="922">
        <v>19.601948472509015</v>
      </c>
      <c r="BJ16" s="922">
        <v>19.708120667358553</v>
      </c>
      <c r="BK16" s="922">
        <v>19.814292862208092</v>
      </c>
      <c r="BL16" s="922">
        <v>19.92046505705763</v>
      </c>
      <c r="BM16" s="922">
        <v>20.026637251907168</v>
      </c>
      <c r="BN16" s="922">
        <v>20.132809446756706</v>
      </c>
      <c r="BO16" s="921">
        <v>20.238981641606255</v>
      </c>
      <c r="BP16" s="922">
        <v>20.354221969500514</v>
      </c>
      <c r="BQ16" s="922">
        <v>20.469462297394774</v>
      </c>
      <c r="BR16" s="922">
        <v>20.584702625289033</v>
      </c>
      <c r="BS16" s="922">
        <v>20.699942953183292</v>
      </c>
      <c r="BT16" s="928">
        <v>20.815183281077545</v>
      </c>
    </row>
    <row r="17" spans="1:72" x14ac:dyDescent="0.25">
      <c r="A17" s="925" t="s">
        <v>312</v>
      </c>
      <c r="B17" s="920" t="s">
        <v>747</v>
      </c>
      <c r="C17" s="921">
        <v>15.730049999999999</v>
      </c>
      <c r="D17" s="921">
        <v>15.730049999999999</v>
      </c>
      <c r="E17" s="921">
        <v>15.730049999999999</v>
      </c>
      <c r="F17" s="921">
        <v>15.730049999999999</v>
      </c>
      <c r="G17" s="921">
        <v>15.730049999999999</v>
      </c>
      <c r="H17" s="921">
        <v>15.730049999999999</v>
      </c>
      <c r="I17" s="921">
        <v>15.730049999999999</v>
      </c>
      <c r="J17" s="921">
        <v>15.730049999999999</v>
      </c>
      <c r="K17" s="921">
        <v>15.730049999999999</v>
      </c>
      <c r="L17" s="921">
        <v>15.730049999999999</v>
      </c>
      <c r="M17" s="921">
        <v>15.730049999999999</v>
      </c>
      <c r="N17" s="921">
        <v>15.730049999999999</v>
      </c>
      <c r="O17" s="921">
        <v>15.730049999999999</v>
      </c>
      <c r="P17" s="921">
        <v>15.730049999999999</v>
      </c>
      <c r="Q17" s="921">
        <v>15.730049999999999</v>
      </c>
      <c r="R17" s="921">
        <v>15.730049999999999</v>
      </c>
      <c r="S17" s="921">
        <v>15.730049999999999</v>
      </c>
      <c r="T17" s="921">
        <v>15.730049999999999</v>
      </c>
      <c r="U17" s="921">
        <v>15.730049999999999</v>
      </c>
      <c r="V17" s="921">
        <v>15.730049999999999</v>
      </c>
      <c r="W17" s="921">
        <v>15.730049999999999</v>
      </c>
      <c r="X17" s="921">
        <v>15.730049999999999</v>
      </c>
      <c r="Y17" s="921">
        <v>15.730049999999999</v>
      </c>
      <c r="Z17" s="921">
        <v>15.730049999999999</v>
      </c>
      <c r="AA17" s="921">
        <v>15.730049999999999</v>
      </c>
      <c r="AB17" s="921">
        <v>15.730049999999999</v>
      </c>
      <c r="AC17" s="921">
        <v>15.730049999999999</v>
      </c>
      <c r="AD17" s="921">
        <v>15.730049999999999</v>
      </c>
      <c r="AE17" s="921">
        <v>15.730049999999999</v>
      </c>
      <c r="AF17" s="921">
        <v>15.730049999999999</v>
      </c>
      <c r="AG17" s="921">
        <v>15.730049999999999</v>
      </c>
      <c r="AH17" s="921">
        <v>15.730049999999999</v>
      </c>
      <c r="AI17" s="921">
        <v>15.730049999999999</v>
      </c>
      <c r="AJ17" s="921">
        <v>15.730049999999999</v>
      </c>
      <c r="AK17" s="921">
        <v>15.730049999999999</v>
      </c>
      <c r="AL17" s="921">
        <v>15.730049999999999</v>
      </c>
      <c r="AM17" s="921">
        <v>15.730049999999999</v>
      </c>
      <c r="AN17" s="921">
        <v>15.730049999999999</v>
      </c>
      <c r="AO17" s="921">
        <v>15.730049999999999</v>
      </c>
      <c r="AP17" s="921">
        <v>15.730049999999999</v>
      </c>
      <c r="AQ17" s="921">
        <v>15.730049999999999</v>
      </c>
      <c r="AR17" s="921">
        <v>15.730049999999999</v>
      </c>
      <c r="AS17" s="921">
        <v>15.730049999999999</v>
      </c>
      <c r="AT17" s="921">
        <v>15.730049999999999</v>
      </c>
      <c r="AU17" s="921">
        <v>15.730049999999999</v>
      </c>
      <c r="AV17" s="921">
        <v>15.730049999999999</v>
      </c>
      <c r="AW17" s="921">
        <v>15.730049999999999</v>
      </c>
      <c r="AX17" s="921">
        <v>15.730049999999999</v>
      </c>
      <c r="AY17" s="921">
        <v>15.730049999999999</v>
      </c>
      <c r="AZ17" s="921">
        <v>15.730049999999999</v>
      </c>
      <c r="BA17" s="921">
        <v>15.730049999999999</v>
      </c>
      <c r="BB17" s="921">
        <v>15.730049999999999</v>
      </c>
      <c r="BC17" s="921">
        <v>15.730049999999999</v>
      </c>
      <c r="BD17" s="921">
        <v>15.730049999999999</v>
      </c>
      <c r="BE17" s="921">
        <v>15.730049999999999</v>
      </c>
      <c r="BF17" s="921">
        <v>15.730049999999999</v>
      </c>
      <c r="BG17" s="921">
        <v>15.730049999999999</v>
      </c>
      <c r="BH17" s="921">
        <v>15.730049999999999</v>
      </c>
      <c r="BI17" s="921">
        <v>15.730049999999999</v>
      </c>
      <c r="BJ17" s="921">
        <v>15.730049999999999</v>
      </c>
      <c r="BK17" s="921">
        <v>15.730049999999999</v>
      </c>
      <c r="BL17" s="921">
        <v>15.730049999999999</v>
      </c>
      <c r="BM17" s="921">
        <v>15.730049999999999</v>
      </c>
      <c r="BN17" s="921">
        <v>15.730049999999999</v>
      </c>
      <c r="BO17" s="921">
        <v>15.730049999999999</v>
      </c>
      <c r="BP17" s="921">
        <v>15.730049999999999</v>
      </c>
      <c r="BQ17" s="921">
        <v>15.730049999999999</v>
      </c>
      <c r="BR17" s="921">
        <v>15.730049999999999</v>
      </c>
      <c r="BS17" s="921">
        <v>15.730049999999999</v>
      </c>
      <c r="BT17" s="928">
        <v>15.730049999999999</v>
      </c>
    </row>
    <row r="18" spans="1:72" x14ac:dyDescent="0.25">
      <c r="A18" s="919" t="s">
        <v>311</v>
      </c>
      <c r="B18" s="920" t="s">
        <v>747</v>
      </c>
      <c r="C18" s="921">
        <v>8.7353999999999985</v>
      </c>
      <c r="D18" s="921">
        <v>8.7353999999999985</v>
      </c>
      <c r="E18" s="921">
        <v>8.7353999999999985</v>
      </c>
      <c r="F18" s="921">
        <v>8.7353999999999985</v>
      </c>
      <c r="G18" s="921">
        <v>8.7353999999999985</v>
      </c>
      <c r="H18" s="921">
        <v>8.7353999999999985</v>
      </c>
      <c r="I18" s="921">
        <v>8.7353999999999985</v>
      </c>
      <c r="J18" s="921">
        <v>8.7353999999999985</v>
      </c>
      <c r="K18" s="921">
        <v>8.7353999999999985</v>
      </c>
      <c r="L18" s="921">
        <v>8.7353999999999985</v>
      </c>
      <c r="M18" s="921">
        <v>8.7353999999999985</v>
      </c>
      <c r="N18" s="921">
        <v>8.7353999999999985</v>
      </c>
      <c r="O18" s="921">
        <v>8.7353999999999985</v>
      </c>
      <c r="P18" s="921">
        <v>8.7353999999999985</v>
      </c>
      <c r="Q18" s="921">
        <v>8.7353999999999985</v>
      </c>
      <c r="R18" s="921">
        <v>8.7353999999999985</v>
      </c>
      <c r="S18" s="921">
        <v>8.7353999999999985</v>
      </c>
      <c r="T18" s="921">
        <v>8.7353999999999985</v>
      </c>
      <c r="U18" s="921">
        <v>8.7353999999999985</v>
      </c>
      <c r="V18" s="921">
        <v>8.7353999999999985</v>
      </c>
      <c r="W18" s="921">
        <v>8.7353999999999985</v>
      </c>
      <c r="X18" s="921">
        <v>8.7353999999999985</v>
      </c>
      <c r="Y18" s="921">
        <v>8.7353999999999985</v>
      </c>
      <c r="Z18" s="921">
        <v>8.7353999999999985</v>
      </c>
      <c r="AA18" s="921">
        <v>8.7353999999999985</v>
      </c>
      <c r="AB18" s="921">
        <v>8.7353999999999985</v>
      </c>
      <c r="AC18" s="921">
        <v>8.7353999999999985</v>
      </c>
      <c r="AD18" s="921">
        <v>8.7353999999999985</v>
      </c>
      <c r="AE18" s="921">
        <v>8.7353999999999985</v>
      </c>
      <c r="AF18" s="921">
        <v>8.7353999999999985</v>
      </c>
      <c r="AG18" s="921">
        <v>8.7353999999999985</v>
      </c>
      <c r="AH18" s="921">
        <v>8.7353999999999985</v>
      </c>
      <c r="AI18" s="921">
        <v>8.7353999999999985</v>
      </c>
      <c r="AJ18" s="921">
        <v>8.7353999999999985</v>
      </c>
      <c r="AK18" s="921">
        <v>8.7353999999999985</v>
      </c>
      <c r="AL18" s="921">
        <v>8.7353999999999985</v>
      </c>
      <c r="AM18" s="921">
        <v>8.7353999999999985</v>
      </c>
      <c r="AN18" s="921">
        <v>8.7353999999999985</v>
      </c>
      <c r="AO18" s="921">
        <v>8.7353999999999985</v>
      </c>
      <c r="AP18" s="921">
        <v>8.7353999999999985</v>
      </c>
      <c r="AQ18" s="921">
        <v>8.7353999999999985</v>
      </c>
      <c r="AR18" s="921">
        <v>8.7353999999999985</v>
      </c>
      <c r="AS18" s="921">
        <v>8.7353999999999985</v>
      </c>
      <c r="AT18" s="921">
        <v>8.7353999999999985</v>
      </c>
      <c r="AU18" s="921">
        <v>8.7353999999999985</v>
      </c>
      <c r="AV18" s="921">
        <v>8.7353999999999985</v>
      </c>
      <c r="AW18" s="921">
        <v>8.7353999999999985</v>
      </c>
      <c r="AX18" s="921">
        <v>8.7353999999999985</v>
      </c>
      <c r="AY18" s="921">
        <v>8.7353999999999985</v>
      </c>
      <c r="AZ18" s="921">
        <v>8.7353999999999985</v>
      </c>
      <c r="BA18" s="921">
        <v>8.7353999999999985</v>
      </c>
      <c r="BB18" s="921">
        <v>8.7353999999999985</v>
      </c>
      <c r="BC18" s="921">
        <v>8.7353999999999985</v>
      </c>
      <c r="BD18" s="921">
        <v>8.7353999999999985</v>
      </c>
      <c r="BE18" s="921">
        <v>8.7353999999999985</v>
      </c>
      <c r="BF18" s="921">
        <v>8.7353999999999985</v>
      </c>
      <c r="BG18" s="921">
        <v>8.7353999999999985</v>
      </c>
      <c r="BH18" s="921">
        <v>8.7353999999999985</v>
      </c>
      <c r="BI18" s="921">
        <v>8.7353999999999985</v>
      </c>
      <c r="BJ18" s="921">
        <v>8.7353999999999985</v>
      </c>
      <c r="BK18" s="921">
        <v>8.7353999999999985</v>
      </c>
      <c r="BL18" s="921">
        <v>8.7353999999999985</v>
      </c>
      <c r="BM18" s="921">
        <v>8.7353999999999985</v>
      </c>
      <c r="BN18" s="921">
        <v>8.7353999999999985</v>
      </c>
      <c r="BO18" s="921">
        <v>8.7353999999999985</v>
      </c>
      <c r="BP18" s="921">
        <v>8.7353999999999985</v>
      </c>
      <c r="BQ18" s="921">
        <v>8.7353999999999985</v>
      </c>
      <c r="BR18" s="921">
        <v>8.7353999999999985</v>
      </c>
      <c r="BS18" s="921">
        <v>8.7353999999999985</v>
      </c>
      <c r="BT18" s="928">
        <v>8.7353999999999985</v>
      </c>
    </row>
    <row r="19" spans="1:72" x14ac:dyDescent="0.25">
      <c r="A19" s="1631" t="s">
        <v>755</v>
      </c>
      <c r="B19" s="1632"/>
      <c r="C19" s="1632"/>
      <c r="D19" s="1632"/>
      <c r="E19" s="1632"/>
      <c r="F19" s="1632"/>
      <c r="G19" s="1632"/>
      <c r="H19" s="1632"/>
      <c r="I19" s="1632"/>
      <c r="J19" s="1632"/>
      <c r="K19" s="1632"/>
      <c r="L19" s="1632"/>
      <c r="M19" s="1632"/>
      <c r="N19" s="1632"/>
      <c r="O19" s="1632"/>
      <c r="P19" s="1632"/>
      <c r="Q19" s="1632"/>
      <c r="R19" s="1632"/>
      <c r="S19" s="1632"/>
      <c r="T19" s="1632"/>
      <c r="U19" s="1632"/>
      <c r="V19" s="1632"/>
      <c r="W19" s="1632"/>
      <c r="X19" s="1632"/>
      <c r="Y19" s="1632"/>
      <c r="Z19" s="1632"/>
      <c r="AA19" s="1632"/>
      <c r="AB19" s="1632"/>
      <c r="AC19" s="1632"/>
      <c r="AD19" s="1632"/>
      <c r="AE19" s="1632"/>
      <c r="AF19" s="1632"/>
      <c r="AG19" s="1632"/>
      <c r="AH19" s="1632"/>
      <c r="AI19" s="1632"/>
      <c r="AJ19" s="1632"/>
      <c r="AK19" s="1632"/>
      <c r="AL19" s="1632"/>
      <c r="AM19" s="1632"/>
      <c r="AN19" s="1632"/>
      <c r="AO19" s="1632"/>
      <c r="AP19" s="1632"/>
      <c r="AQ19" s="1632"/>
      <c r="AR19" s="1632"/>
      <c r="AS19" s="1632"/>
      <c r="AT19" s="1632"/>
      <c r="AU19" s="1632"/>
      <c r="AV19" s="1632"/>
      <c r="AW19" s="1632"/>
      <c r="AX19" s="1632"/>
      <c r="AY19" s="1632"/>
      <c r="AZ19" s="1632"/>
      <c r="BA19" s="1632"/>
      <c r="BB19" s="1632"/>
      <c r="BC19" s="1632"/>
      <c r="BD19" s="1632"/>
      <c r="BE19" s="1632"/>
      <c r="BF19" s="1632"/>
      <c r="BG19" s="1632"/>
      <c r="BH19" s="1632"/>
      <c r="BI19" s="1632"/>
      <c r="BJ19" s="1632"/>
      <c r="BK19" s="1632"/>
      <c r="BL19" s="1632"/>
      <c r="BM19" s="1632"/>
      <c r="BN19" s="1632"/>
      <c r="BO19" s="1632"/>
      <c r="BP19" s="1632"/>
      <c r="BQ19" s="1632"/>
      <c r="BR19" s="1632"/>
      <c r="BS19" s="1632"/>
      <c r="BT19" s="1633"/>
    </row>
    <row r="20" spans="1:72" ht="23.5" thickBot="1" x14ac:dyDescent="0.3">
      <c r="A20" s="929" t="s">
        <v>756</v>
      </c>
      <c r="B20" s="930" t="s">
        <v>747</v>
      </c>
      <c r="C20" s="931">
        <v>1.2696286520685174</v>
      </c>
      <c r="D20" s="931">
        <v>1.2696286520685174</v>
      </c>
      <c r="E20" s="931">
        <v>1.2696286520685174</v>
      </c>
      <c r="F20" s="931">
        <v>1.2696286520685174</v>
      </c>
      <c r="G20" s="931">
        <v>1.2696286520685174</v>
      </c>
      <c r="H20" s="931">
        <v>1.2696286520685174</v>
      </c>
      <c r="I20" s="931">
        <v>1.2696286520685174</v>
      </c>
      <c r="J20" s="931">
        <v>1.2696286520685174</v>
      </c>
      <c r="K20" s="931">
        <v>1.2696286520685174</v>
      </c>
      <c r="L20" s="931">
        <v>1.2696286520685174</v>
      </c>
      <c r="M20" s="931">
        <v>1.2716814065585227</v>
      </c>
      <c r="N20" s="931">
        <v>1.2809188017635484</v>
      </c>
      <c r="O20" s="931">
        <v>1.3178683825836508</v>
      </c>
      <c r="P20" s="931">
        <v>1.3209475143186591</v>
      </c>
      <c r="Q20" s="931">
        <v>1.3435278137087219</v>
      </c>
      <c r="R20" s="931">
        <v>1.3466069454437304</v>
      </c>
      <c r="S20" s="931">
        <v>1.3630289813637759</v>
      </c>
      <c r="T20" s="931">
        <v>1.3578970951387617</v>
      </c>
      <c r="U20" s="931">
        <v>1.383556526263833</v>
      </c>
      <c r="V20" s="931">
        <v>1.4030576939188868</v>
      </c>
      <c r="W20" s="931">
        <v>1.460534819639046</v>
      </c>
      <c r="X20" s="931">
        <v>1.4800359872941</v>
      </c>
      <c r="Y20" s="931">
        <v>1.4861942507641173</v>
      </c>
      <c r="Z20" s="931">
        <v>1.5118536818891883</v>
      </c>
      <c r="AA20" s="931">
        <v>1.5262229633192279</v>
      </c>
      <c r="AB20" s="931">
        <v>1.6236006669873051</v>
      </c>
      <c r="AC20" s="931">
        <v>1.7209783706553823</v>
      </c>
      <c r="AD20" s="931">
        <v>1.8183560743234595</v>
      </c>
      <c r="AE20" s="931">
        <v>1.9157337779915367</v>
      </c>
      <c r="AF20" s="931">
        <v>2.0131114816596138</v>
      </c>
      <c r="AG20" s="931">
        <v>2.1104891853276913</v>
      </c>
      <c r="AH20" s="931">
        <v>2.2078668889957687</v>
      </c>
      <c r="AI20" s="931">
        <v>2.3052445926638461</v>
      </c>
      <c r="AJ20" s="931">
        <v>2.4026222963319235</v>
      </c>
      <c r="AK20" s="931">
        <v>2.5</v>
      </c>
      <c r="AL20" s="931">
        <v>2.5714285714285716</v>
      </c>
      <c r="AM20" s="931">
        <v>2.6428571428571432</v>
      </c>
      <c r="AN20" s="931">
        <v>2.7142857142857149</v>
      </c>
      <c r="AO20" s="931">
        <v>2.7857142857142865</v>
      </c>
      <c r="AP20" s="931">
        <v>2.8571428571428581</v>
      </c>
      <c r="AQ20" s="931">
        <v>2.9285714285714297</v>
      </c>
      <c r="AR20" s="931">
        <v>3</v>
      </c>
      <c r="AS20" s="931">
        <v>3.071428571428573</v>
      </c>
      <c r="AT20" s="931">
        <v>3.1428571428571446</v>
      </c>
      <c r="AU20" s="931">
        <v>3.2142857142857162</v>
      </c>
      <c r="AV20" s="931">
        <v>3.2857142857142878</v>
      </c>
      <c r="AW20" s="931">
        <v>3.3571428571428594</v>
      </c>
      <c r="AX20" s="931">
        <v>3.428571428571431</v>
      </c>
      <c r="AY20" s="931">
        <v>3.5</v>
      </c>
      <c r="AZ20" s="931">
        <v>3.5714285714285743</v>
      </c>
      <c r="BA20" s="931">
        <v>3.6428571428571459</v>
      </c>
      <c r="BB20" s="931">
        <v>3.7142857142857175</v>
      </c>
      <c r="BC20" s="931">
        <v>3.7857142857142891</v>
      </c>
      <c r="BD20" s="931">
        <v>3.8571428571428608</v>
      </c>
      <c r="BE20" s="931">
        <v>3.9285714285714324</v>
      </c>
      <c r="BF20" s="931">
        <v>4</v>
      </c>
      <c r="BG20" s="931">
        <v>4.0714285714285747</v>
      </c>
      <c r="BH20" s="931">
        <v>4.1428571428571459</v>
      </c>
      <c r="BI20" s="931">
        <v>4.2142857142857171</v>
      </c>
      <c r="BJ20" s="931">
        <v>4.2857142857142883</v>
      </c>
      <c r="BK20" s="931">
        <v>4.3571428571428594</v>
      </c>
      <c r="BL20" s="931">
        <v>4.4285714285714306</v>
      </c>
      <c r="BM20" s="931">
        <v>4.5</v>
      </c>
      <c r="BN20" s="931">
        <v>4.571428571428573</v>
      </c>
      <c r="BO20" s="931">
        <v>4.6428571428571441</v>
      </c>
      <c r="BP20" s="931">
        <v>4.7142857142857153</v>
      </c>
      <c r="BQ20" s="931">
        <v>4.7857142857142865</v>
      </c>
      <c r="BR20" s="931">
        <v>4.8571428571428577</v>
      </c>
      <c r="BS20" s="931">
        <v>4.9285714285714288</v>
      </c>
      <c r="BT20" s="932">
        <v>5</v>
      </c>
    </row>
    <row r="21" spans="1:72" ht="47.25" customHeight="1" x14ac:dyDescent="0.25">
      <c r="A21" s="1639" t="s">
        <v>437</v>
      </c>
      <c r="B21" s="1640"/>
      <c r="C21" s="1640"/>
      <c r="D21" s="1640"/>
      <c r="E21" s="1640"/>
      <c r="F21" s="1640"/>
      <c r="G21" s="1640"/>
      <c r="H21" s="1640"/>
      <c r="I21" s="1640"/>
      <c r="J21" s="1640"/>
      <c r="K21" s="1640"/>
      <c r="L21" s="1640"/>
      <c r="M21" s="1640"/>
      <c r="N21" s="1640"/>
      <c r="O21" s="1640"/>
      <c r="P21" s="1640"/>
      <c r="Q21" s="1640"/>
      <c r="R21" s="1640"/>
      <c r="S21" s="1640"/>
      <c r="T21" s="1640"/>
      <c r="U21" s="933"/>
      <c r="V21" s="933"/>
      <c r="W21" s="933"/>
      <c r="X21" s="933"/>
      <c r="Y21" s="933"/>
      <c r="Z21" s="933"/>
      <c r="AA21" s="933"/>
      <c r="AB21" s="933"/>
      <c r="AC21" s="933"/>
      <c r="AD21" s="933"/>
      <c r="AE21" s="933"/>
      <c r="AF21" s="933"/>
      <c r="AG21" s="933"/>
      <c r="AH21" s="933"/>
      <c r="AI21" s="933"/>
      <c r="AJ21" s="933"/>
      <c r="AK21" s="933"/>
      <c r="AL21" s="933"/>
      <c r="AM21" s="933"/>
      <c r="AN21" s="933"/>
      <c r="AO21" s="933"/>
      <c r="AP21" s="933"/>
      <c r="AQ21" s="933"/>
      <c r="AR21" s="933"/>
      <c r="AS21" s="933"/>
      <c r="AT21" s="933"/>
      <c r="AU21" s="933"/>
      <c r="AV21" s="933"/>
      <c r="AW21" s="933"/>
      <c r="AX21" s="933"/>
      <c r="AY21" s="933"/>
      <c r="AZ21" s="933"/>
      <c r="BA21" s="933"/>
      <c r="BB21" s="933"/>
      <c r="BC21" s="933"/>
      <c r="BD21" s="933"/>
      <c r="BE21" s="933"/>
      <c r="BF21" s="933"/>
      <c r="BG21" s="933"/>
      <c r="BH21" s="933"/>
      <c r="BI21" s="933"/>
      <c r="BJ21" s="933"/>
      <c r="BK21" s="933"/>
      <c r="BL21" s="933"/>
      <c r="BM21" s="933"/>
      <c r="BN21" s="933"/>
      <c r="BO21" s="933"/>
      <c r="BP21" s="933"/>
      <c r="BQ21" s="933"/>
      <c r="BR21" s="933"/>
      <c r="BS21" s="933"/>
      <c r="BT21" s="933"/>
    </row>
    <row r="22" spans="1:72" x14ac:dyDescent="0.25">
      <c r="A22" s="934"/>
      <c r="B22" s="934"/>
      <c r="C22" s="934"/>
      <c r="D22" s="934"/>
      <c r="E22" s="934"/>
      <c r="F22" s="934"/>
      <c r="G22" s="934"/>
      <c r="H22" s="934"/>
      <c r="I22" s="934"/>
      <c r="J22" s="934"/>
      <c r="K22" s="934"/>
      <c r="L22" s="934"/>
      <c r="M22" s="934"/>
      <c r="N22" s="934"/>
      <c r="O22" s="934"/>
      <c r="P22" s="934"/>
      <c r="Q22" s="934"/>
      <c r="R22" s="934"/>
      <c r="S22" s="934"/>
      <c r="T22" s="934"/>
      <c r="U22" s="935"/>
      <c r="V22" s="935"/>
      <c r="W22" s="935"/>
      <c r="X22" s="935"/>
      <c r="Y22" s="935"/>
      <c r="Z22" s="935"/>
      <c r="AA22" s="935"/>
      <c r="AB22" s="935"/>
      <c r="AC22" s="935"/>
      <c r="AD22" s="935"/>
      <c r="AE22" s="935"/>
      <c r="AF22" s="935"/>
      <c r="AG22" s="935"/>
      <c r="AH22" s="935"/>
      <c r="AI22" s="935"/>
      <c r="AJ22" s="935"/>
      <c r="AK22" s="935"/>
      <c r="AL22" s="935"/>
      <c r="AM22" s="935"/>
      <c r="AN22" s="935"/>
      <c r="AO22" s="935"/>
      <c r="AP22" s="935"/>
      <c r="AQ22" s="935"/>
      <c r="AR22" s="935"/>
      <c r="AS22" s="935"/>
      <c r="AT22" s="935"/>
      <c r="AU22" s="935"/>
      <c r="AV22" s="935"/>
      <c r="AW22" s="935"/>
      <c r="AX22" s="935"/>
      <c r="AY22" s="935"/>
      <c r="AZ22" s="935"/>
      <c r="BA22" s="935"/>
      <c r="BB22" s="935"/>
      <c r="BC22" s="935"/>
      <c r="BD22" s="935"/>
      <c r="BE22" s="935"/>
      <c r="BF22" s="935"/>
      <c r="BG22" s="935"/>
      <c r="BH22" s="935"/>
      <c r="BI22" s="935"/>
      <c r="BJ22" s="935"/>
      <c r="BK22" s="935"/>
      <c r="BL22" s="935"/>
      <c r="BM22" s="935"/>
      <c r="BN22" s="935"/>
      <c r="BO22" s="935"/>
      <c r="BP22" s="935"/>
      <c r="BQ22" s="935"/>
      <c r="BR22" s="935"/>
      <c r="BS22" s="935"/>
      <c r="BT22" s="935"/>
    </row>
    <row r="23" spans="1:72" ht="42.75" customHeight="1" x14ac:dyDescent="0.25">
      <c r="A23" s="1641" t="s">
        <v>757</v>
      </c>
      <c r="B23" s="1641"/>
      <c r="C23" s="1641"/>
      <c r="D23" s="1641"/>
      <c r="E23" s="1641"/>
      <c r="F23" s="1641"/>
      <c r="G23" s="1641"/>
      <c r="H23" s="1641"/>
      <c r="I23" s="1641"/>
      <c r="J23" s="1641"/>
      <c r="K23" s="1641"/>
      <c r="L23" s="1641"/>
      <c r="M23" s="1641"/>
      <c r="N23" s="1641"/>
      <c r="O23" s="1641"/>
      <c r="P23" s="1641"/>
      <c r="Q23" s="1641"/>
      <c r="R23" s="1641"/>
      <c r="S23" s="1641"/>
      <c r="T23" s="1641"/>
      <c r="U23" s="935"/>
      <c r="V23" s="935"/>
      <c r="W23" s="935"/>
      <c r="X23" s="935"/>
      <c r="Y23" s="935"/>
      <c r="Z23" s="935"/>
      <c r="AA23" s="935"/>
      <c r="AB23" s="935"/>
      <c r="AC23" s="935"/>
      <c r="AD23" s="935"/>
      <c r="AE23" s="935"/>
      <c r="AF23" s="935"/>
      <c r="AG23" s="935"/>
      <c r="AH23" s="935"/>
      <c r="AI23" s="935"/>
      <c r="AJ23" s="935"/>
      <c r="AK23" s="935"/>
      <c r="AL23" s="935"/>
      <c r="AM23" s="935"/>
      <c r="AN23" s="935"/>
      <c r="AO23" s="935"/>
      <c r="AP23" s="935"/>
      <c r="AQ23" s="935"/>
      <c r="AR23" s="935"/>
      <c r="AS23" s="935"/>
      <c r="AT23" s="935"/>
      <c r="AU23" s="935"/>
      <c r="AV23" s="935"/>
      <c r="AW23" s="935"/>
      <c r="AX23" s="935"/>
      <c r="AY23" s="935"/>
      <c r="AZ23" s="935"/>
      <c r="BA23" s="935"/>
      <c r="BB23" s="935"/>
      <c r="BC23" s="935"/>
      <c r="BD23" s="935"/>
      <c r="BE23" s="935"/>
      <c r="BF23" s="935"/>
      <c r="BG23" s="935"/>
      <c r="BH23" s="935"/>
      <c r="BI23" s="935"/>
      <c r="BJ23" s="935"/>
      <c r="BK23" s="935"/>
      <c r="BL23" s="935"/>
      <c r="BM23" s="935"/>
      <c r="BN23" s="935"/>
      <c r="BO23" s="935"/>
      <c r="BP23" s="935"/>
      <c r="BQ23" s="935"/>
      <c r="BR23" s="935"/>
      <c r="BS23" s="935"/>
      <c r="BT23" s="935"/>
    </row>
    <row r="24" spans="1:72" x14ac:dyDescent="0.25">
      <c r="A24" s="935"/>
      <c r="B24" s="935"/>
      <c r="C24" s="935"/>
      <c r="D24" s="935"/>
      <c r="E24" s="935"/>
      <c r="F24" s="935"/>
      <c r="G24" s="935"/>
      <c r="H24" s="935"/>
      <c r="I24" s="935"/>
      <c r="J24" s="935"/>
      <c r="K24" s="935"/>
      <c r="L24" s="935"/>
      <c r="M24" s="935"/>
      <c r="N24" s="935"/>
      <c r="O24" s="935"/>
      <c r="P24" s="935"/>
      <c r="Q24" s="935"/>
      <c r="R24" s="935"/>
      <c r="S24" s="935"/>
      <c r="T24" s="935"/>
      <c r="U24" s="935"/>
      <c r="V24" s="935"/>
      <c r="W24" s="935"/>
      <c r="X24" s="935"/>
      <c r="Y24" s="935"/>
      <c r="Z24" s="935"/>
      <c r="AA24" s="935"/>
      <c r="AB24" s="935"/>
      <c r="AC24" s="935"/>
      <c r="AD24" s="935"/>
      <c r="AE24" s="935"/>
      <c r="AF24" s="935"/>
      <c r="AG24" s="935"/>
      <c r="AH24" s="935"/>
      <c r="AI24" s="935"/>
      <c r="AJ24" s="935"/>
      <c r="AK24" s="935"/>
      <c r="AL24" s="935"/>
      <c r="AM24" s="935"/>
      <c r="AN24" s="935"/>
      <c r="AO24" s="935"/>
      <c r="AP24" s="935"/>
      <c r="AQ24" s="935"/>
      <c r="AR24" s="935"/>
      <c r="AS24" s="935"/>
      <c r="AT24" s="935"/>
      <c r="AU24" s="935"/>
      <c r="AV24" s="935"/>
      <c r="AW24" s="935"/>
      <c r="AX24" s="935"/>
      <c r="AY24" s="935"/>
      <c r="AZ24" s="935"/>
      <c r="BA24" s="935"/>
      <c r="BB24" s="935"/>
      <c r="BC24" s="935"/>
      <c r="BD24" s="935"/>
      <c r="BE24" s="935"/>
      <c r="BF24" s="935"/>
      <c r="BG24" s="935"/>
      <c r="BH24" s="935"/>
      <c r="BI24" s="935"/>
      <c r="BJ24" s="935"/>
      <c r="BK24" s="935"/>
      <c r="BL24" s="935"/>
      <c r="BM24" s="935"/>
      <c r="BN24" s="935"/>
      <c r="BO24" s="935"/>
      <c r="BP24" s="935"/>
      <c r="BQ24" s="935"/>
      <c r="BR24" s="935"/>
      <c r="BS24" s="935"/>
      <c r="BT24" s="935"/>
    </row>
    <row r="25" spans="1:72" ht="15.5" x14ac:dyDescent="0.35">
      <c r="A25" s="1642" t="s">
        <v>1114</v>
      </c>
      <c r="B25" s="1642"/>
      <c r="C25" s="1642"/>
      <c r="D25" s="1642"/>
      <c r="E25" s="1642"/>
      <c r="F25" s="1642"/>
      <c r="G25" s="1642"/>
      <c r="H25" s="1642"/>
      <c r="I25" s="1642"/>
      <c r="J25" s="1642"/>
      <c r="K25" s="1642"/>
      <c r="L25" s="935"/>
      <c r="M25" s="935"/>
      <c r="N25" s="935"/>
      <c r="O25" s="935"/>
      <c r="P25" s="935"/>
      <c r="Q25" s="935"/>
      <c r="R25" s="935"/>
      <c r="S25" s="935"/>
      <c r="T25" s="935"/>
      <c r="U25" s="935"/>
      <c r="V25" s="935"/>
      <c r="W25" s="935"/>
      <c r="X25" s="935"/>
      <c r="Y25" s="935"/>
      <c r="Z25" s="935"/>
      <c r="AA25" s="935"/>
      <c r="AB25" s="935"/>
      <c r="AC25" s="935"/>
      <c r="AD25" s="935"/>
      <c r="AE25" s="935"/>
      <c r="AF25" s="935"/>
      <c r="AG25" s="935"/>
      <c r="AH25" s="935"/>
      <c r="AI25" s="935"/>
      <c r="AJ25" s="935"/>
      <c r="AK25" s="935"/>
      <c r="AL25" s="935"/>
      <c r="AM25" s="935"/>
      <c r="AN25" s="935"/>
      <c r="AO25" s="935"/>
      <c r="AP25" s="935"/>
      <c r="AQ25" s="935"/>
      <c r="AR25" s="935"/>
      <c r="AS25" s="935"/>
      <c r="AT25" s="935"/>
      <c r="AU25" s="935"/>
      <c r="AV25" s="935"/>
      <c r="AW25" s="935"/>
      <c r="AX25" s="935"/>
      <c r="AY25" s="935"/>
      <c r="AZ25" s="935"/>
      <c r="BA25" s="935"/>
      <c r="BB25" s="935"/>
      <c r="BC25" s="935"/>
      <c r="BD25" s="935"/>
      <c r="BE25" s="935"/>
      <c r="BF25" s="935"/>
      <c r="BG25" s="935"/>
      <c r="BH25" s="935"/>
      <c r="BI25" s="935"/>
      <c r="BJ25" s="935"/>
      <c r="BK25" s="935"/>
      <c r="BL25" s="935"/>
      <c r="BM25" s="935"/>
      <c r="BN25" s="935"/>
      <c r="BO25" s="935"/>
      <c r="BP25" s="935"/>
      <c r="BQ25" s="935"/>
      <c r="BR25" s="935"/>
      <c r="BS25" s="935"/>
      <c r="BT25" s="935"/>
    </row>
    <row r="26" spans="1:72" ht="13" thickBot="1" x14ac:dyDescent="0.3">
      <c r="A26" s="1643"/>
      <c r="B26" s="1643"/>
      <c r="C26" s="1643"/>
      <c r="D26" s="1643"/>
      <c r="E26" s="1643"/>
      <c r="F26" s="1643"/>
      <c r="G26" s="1643"/>
      <c r="H26" s="1643"/>
      <c r="I26" s="1643"/>
      <c r="J26" s="1643"/>
      <c r="K26" s="1643"/>
      <c r="L26" s="935"/>
      <c r="M26" s="935"/>
      <c r="N26" s="935"/>
      <c r="O26" s="935"/>
      <c r="P26" s="935"/>
      <c r="Q26" s="935"/>
      <c r="R26" s="935"/>
      <c r="S26" s="935"/>
      <c r="T26" s="935"/>
      <c r="U26" s="935"/>
      <c r="V26" s="935"/>
      <c r="W26" s="935"/>
      <c r="X26" s="935"/>
      <c r="Y26" s="935"/>
      <c r="Z26" s="935"/>
      <c r="AA26" s="935"/>
      <c r="AB26" s="935"/>
      <c r="AC26" s="935"/>
      <c r="AD26" s="935"/>
      <c r="AE26" s="935"/>
      <c r="AF26" s="935"/>
      <c r="AG26" s="935"/>
      <c r="AH26" s="935"/>
      <c r="AI26" s="935"/>
      <c r="AJ26" s="935"/>
      <c r="AK26" s="935"/>
      <c r="AL26" s="935"/>
      <c r="AM26" s="935"/>
      <c r="AN26" s="935"/>
      <c r="AO26" s="935"/>
      <c r="AP26" s="935"/>
      <c r="AQ26" s="935"/>
      <c r="AR26" s="935"/>
      <c r="AS26" s="935"/>
      <c r="AT26" s="935"/>
      <c r="AU26" s="935"/>
      <c r="AV26" s="935"/>
      <c r="AW26" s="935"/>
      <c r="AX26" s="935"/>
      <c r="AY26" s="935"/>
      <c r="AZ26" s="935"/>
      <c r="BA26" s="935"/>
      <c r="BB26" s="935"/>
      <c r="BC26" s="935"/>
      <c r="BD26" s="935"/>
      <c r="BE26" s="935"/>
      <c r="BF26" s="935"/>
      <c r="BG26" s="935"/>
      <c r="BH26" s="935"/>
      <c r="BI26" s="935"/>
      <c r="BJ26" s="935"/>
      <c r="BK26" s="935"/>
      <c r="BL26" s="935"/>
      <c r="BM26" s="935"/>
      <c r="BN26" s="935"/>
      <c r="BO26" s="935"/>
      <c r="BP26" s="935"/>
      <c r="BQ26" s="935"/>
      <c r="BR26" s="935"/>
      <c r="BS26" s="935"/>
      <c r="BT26" s="935"/>
    </row>
    <row r="27" spans="1:72" ht="39" x14ac:dyDescent="0.25">
      <c r="A27" s="936"/>
      <c r="B27" s="937" t="s">
        <v>758</v>
      </c>
      <c r="C27" s="937" t="s">
        <v>759</v>
      </c>
      <c r="D27" s="937" t="s">
        <v>1116</v>
      </c>
      <c r="E27" s="1644"/>
      <c r="F27" s="1644"/>
      <c r="G27" s="1644"/>
      <c r="H27" s="1644"/>
      <c r="I27" s="1644"/>
      <c r="J27" s="1646" t="s">
        <v>760</v>
      </c>
      <c r="K27" s="1647"/>
      <c r="L27" s="935"/>
      <c r="M27" s="935"/>
      <c r="N27" s="935"/>
      <c r="O27" s="935"/>
      <c r="P27" s="935"/>
      <c r="Q27" s="935"/>
      <c r="R27" s="935"/>
      <c r="S27" s="935"/>
      <c r="T27" s="935"/>
      <c r="U27" s="935"/>
      <c r="V27" s="935"/>
      <c r="W27" s="935"/>
      <c r="X27" s="935"/>
      <c r="Y27" s="935"/>
      <c r="Z27" s="935"/>
      <c r="AA27" s="935"/>
      <c r="AB27" s="935"/>
      <c r="AC27" s="935"/>
      <c r="AD27" s="935"/>
      <c r="AE27" s="935"/>
      <c r="AF27" s="935"/>
      <c r="AG27" s="935"/>
      <c r="AH27" s="935"/>
      <c r="AI27" s="935"/>
      <c r="AJ27" s="935"/>
      <c r="AK27" s="935"/>
      <c r="AL27" s="935"/>
      <c r="AM27" s="935"/>
      <c r="AN27" s="935"/>
      <c r="AO27" s="935"/>
      <c r="AP27" s="935"/>
      <c r="AQ27" s="935"/>
      <c r="AR27" s="935"/>
      <c r="AS27" s="935"/>
      <c r="AT27" s="935"/>
      <c r="AU27" s="935"/>
      <c r="AV27" s="935"/>
      <c r="AW27" s="935"/>
      <c r="AX27" s="935"/>
      <c r="AY27" s="935"/>
      <c r="AZ27" s="935"/>
      <c r="BA27" s="935"/>
      <c r="BB27" s="935"/>
      <c r="BC27" s="935"/>
      <c r="BD27" s="935"/>
      <c r="BE27" s="935"/>
      <c r="BF27" s="935"/>
      <c r="BG27" s="935"/>
      <c r="BH27" s="935"/>
      <c r="BI27" s="935"/>
      <c r="BJ27" s="935"/>
      <c r="BK27" s="935"/>
      <c r="BL27" s="935"/>
      <c r="BM27" s="935"/>
      <c r="BN27" s="935"/>
      <c r="BO27" s="935"/>
      <c r="BP27" s="935"/>
      <c r="BQ27" s="935"/>
      <c r="BR27" s="935"/>
      <c r="BS27" s="935"/>
      <c r="BT27" s="935"/>
    </row>
    <row r="28" spans="1:72" x14ac:dyDescent="0.25">
      <c r="A28" s="938" t="s">
        <v>569</v>
      </c>
      <c r="B28" s="939">
        <f>G40/F40</f>
        <v>1.0482288241385485</v>
      </c>
      <c r="C28" s="939">
        <f>H40/G40</f>
        <v>1.0526415477404851</v>
      </c>
      <c r="D28" s="939">
        <f>I40/H40</f>
        <v>1.0160295046377366</v>
      </c>
      <c r="E28" s="1645"/>
      <c r="F28" s="1645"/>
      <c r="G28" s="1645"/>
      <c r="H28" s="1645"/>
      <c r="I28" s="1645"/>
      <c r="J28" s="1645" t="s">
        <v>1084</v>
      </c>
      <c r="K28" s="1648" t="s">
        <v>1092</v>
      </c>
      <c r="L28" s="935"/>
      <c r="M28" s="935"/>
      <c r="N28" s="935"/>
      <c r="O28" s="935"/>
      <c r="P28" s="935"/>
      <c r="Q28" s="935"/>
      <c r="R28" s="935"/>
      <c r="S28" s="935"/>
      <c r="T28" s="935"/>
      <c r="U28" s="935"/>
      <c r="V28" s="935"/>
      <c r="W28" s="935"/>
      <c r="X28" s="935"/>
      <c r="Y28" s="935"/>
      <c r="Z28" s="935"/>
      <c r="AA28" s="935"/>
      <c r="AB28" s="935"/>
      <c r="AC28" s="935"/>
      <c r="AD28" s="935"/>
      <c r="AE28" s="935"/>
      <c r="AF28" s="935"/>
      <c r="AG28" s="935"/>
      <c r="AH28" s="935"/>
      <c r="AI28" s="935"/>
      <c r="AJ28" s="935"/>
      <c r="AK28" s="935"/>
      <c r="AL28" s="935"/>
      <c r="AM28" s="935"/>
      <c r="AN28" s="935"/>
      <c r="AO28" s="935"/>
      <c r="AP28" s="935"/>
      <c r="AQ28" s="935"/>
      <c r="AR28" s="935"/>
      <c r="AS28" s="935"/>
      <c r="AT28" s="935"/>
      <c r="AU28" s="935"/>
      <c r="AV28" s="935"/>
      <c r="AW28" s="935"/>
      <c r="AX28" s="935"/>
      <c r="AY28" s="935"/>
      <c r="AZ28" s="935"/>
      <c r="BA28" s="935"/>
      <c r="BB28" s="935"/>
      <c r="BC28" s="935"/>
      <c r="BD28" s="935"/>
      <c r="BE28" s="935"/>
      <c r="BF28" s="935"/>
      <c r="BG28" s="935"/>
      <c r="BH28" s="935"/>
      <c r="BI28" s="935"/>
      <c r="BJ28" s="935"/>
      <c r="BK28" s="935"/>
      <c r="BL28" s="935"/>
      <c r="BM28" s="935"/>
      <c r="BN28" s="935"/>
      <c r="BO28" s="935"/>
      <c r="BP28" s="935"/>
      <c r="BQ28" s="935"/>
      <c r="BR28" s="935"/>
      <c r="BS28" s="935"/>
      <c r="BT28" s="935"/>
    </row>
    <row r="29" spans="1:72" x14ac:dyDescent="0.25">
      <c r="A29" s="940" t="s">
        <v>570</v>
      </c>
      <c r="B29" s="941">
        <f t="shared" ref="B29:B35" si="0">G41/F41</f>
        <v>1.1441282284851997</v>
      </c>
      <c r="C29" s="941">
        <f t="shared" ref="C29:C35" si="1">H41/G41</f>
        <v>1.1360328119345371</v>
      </c>
      <c r="D29" s="941">
        <f t="shared" ref="D29:D35" si="2">I41/H41</f>
        <v>1.0363018547359477</v>
      </c>
      <c r="E29" s="1645"/>
      <c r="F29" s="1645"/>
      <c r="G29" s="1645"/>
      <c r="H29" s="1645"/>
      <c r="I29" s="1645"/>
      <c r="J29" s="1645"/>
      <c r="K29" s="1648"/>
      <c r="L29" s="935"/>
      <c r="M29" s="935"/>
      <c r="N29" s="935"/>
      <c r="O29" s="935"/>
      <c r="P29" s="935"/>
      <c r="Q29" s="935"/>
      <c r="R29" s="935"/>
      <c r="S29" s="935"/>
      <c r="T29" s="935"/>
      <c r="U29" s="935"/>
      <c r="V29" s="935"/>
      <c r="W29" s="935"/>
      <c r="X29" s="935"/>
      <c r="Y29" s="935"/>
      <c r="Z29" s="935"/>
      <c r="AA29" s="935"/>
      <c r="AB29" s="935"/>
      <c r="AC29" s="935"/>
      <c r="AD29" s="935"/>
      <c r="AE29" s="935"/>
      <c r="AF29" s="935"/>
      <c r="AG29" s="935"/>
      <c r="AH29" s="935"/>
      <c r="AI29" s="935"/>
      <c r="AJ29" s="935"/>
      <c r="AK29" s="935"/>
      <c r="AL29" s="935"/>
      <c r="AM29" s="935"/>
      <c r="AN29" s="935"/>
      <c r="AO29" s="935"/>
      <c r="AP29" s="935"/>
      <c r="AQ29" s="935"/>
      <c r="AR29" s="935"/>
      <c r="AS29" s="935"/>
      <c r="AT29" s="935"/>
      <c r="AU29" s="935"/>
      <c r="AV29" s="935"/>
      <c r="AW29" s="935"/>
      <c r="AX29" s="935"/>
      <c r="AY29" s="935"/>
      <c r="AZ29" s="935"/>
      <c r="BA29" s="935"/>
      <c r="BB29" s="935"/>
      <c r="BC29" s="935"/>
      <c r="BD29" s="935"/>
      <c r="BE29" s="935"/>
      <c r="BF29" s="935"/>
      <c r="BG29" s="935"/>
      <c r="BH29" s="935"/>
      <c r="BI29" s="935"/>
      <c r="BJ29" s="935"/>
      <c r="BK29" s="935"/>
      <c r="BL29" s="935"/>
      <c r="BM29" s="935"/>
      <c r="BN29" s="935"/>
      <c r="BO29" s="935"/>
      <c r="BP29" s="935"/>
      <c r="BQ29" s="935"/>
      <c r="BR29" s="935"/>
      <c r="BS29" s="935"/>
      <c r="BT29" s="935"/>
    </row>
    <row r="30" spans="1:72" x14ac:dyDescent="0.25">
      <c r="A30" s="938" t="s">
        <v>571</v>
      </c>
      <c r="B30" s="939">
        <f t="shared" si="0"/>
        <v>1.1252277801242987</v>
      </c>
      <c r="C30" s="939">
        <f t="shared" si="1"/>
        <v>1.1222249629995065</v>
      </c>
      <c r="D30" s="939">
        <f t="shared" si="2"/>
        <v>1.0285793469898747</v>
      </c>
      <c r="E30" s="1645"/>
      <c r="F30" s="1645"/>
      <c r="G30" s="1645"/>
      <c r="H30" s="1645"/>
      <c r="I30" s="1645"/>
      <c r="J30" s="942">
        <v>1991</v>
      </c>
      <c r="K30" s="943">
        <v>84.5</v>
      </c>
      <c r="L30" s="935"/>
      <c r="M30" s="935"/>
      <c r="N30" s="935"/>
      <c r="O30" s="935"/>
      <c r="P30" s="935"/>
      <c r="Q30" s="935"/>
      <c r="R30" s="935"/>
      <c r="S30" s="935"/>
      <c r="T30" s="935"/>
      <c r="U30" s="935"/>
      <c r="V30" s="935"/>
      <c r="W30" s="935"/>
      <c r="X30" s="935"/>
      <c r="Y30" s="935"/>
      <c r="Z30" s="935"/>
      <c r="AA30" s="935"/>
      <c r="AB30" s="935"/>
      <c r="AC30" s="935"/>
      <c r="AD30" s="935"/>
      <c r="AE30" s="935"/>
      <c r="AF30" s="935"/>
      <c r="AG30" s="935"/>
      <c r="AH30" s="935"/>
      <c r="AI30" s="935"/>
      <c r="AJ30" s="935"/>
      <c r="AK30" s="935"/>
      <c r="AL30" s="935"/>
      <c r="AM30" s="935"/>
      <c r="AN30" s="935"/>
      <c r="AO30" s="935"/>
      <c r="AP30" s="935"/>
      <c r="AQ30" s="935"/>
      <c r="AR30" s="935"/>
      <c r="AS30" s="935"/>
      <c r="AT30" s="935"/>
      <c r="AU30" s="935"/>
      <c r="AV30" s="935"/>
      <c r="AW30" s="935"/>
      <c r="AX30" s="935"/>
      <c r="AY30" s="935"/>
      <c r="AZ30" s="935"/>
      <c r="BA30" s="935"/>
      <c r="BB30" s="935"/>
      <c r="BC30" s="935"/>
      <c r="BD30" s="935"/>
      <c r="BE30" s="935"/>
      <c r="BF30" s="935"/>
      <c r="BG30" s="935"/>
      <c r="BH30" s="935"/>
      <c r="BI30" s="935"/>
      <c r="BJ30" s="935"/>
      <c r="BK30" s="935"/>
      <c r="BL30" s="935"/>
      <c r="BM30" s="935"/>
      <c r="BN30" s="935"/>
      <c r="BO30" s="935"/>
      <c r="BP30" s="935"/>
      <c r="BQ30" s="935"/>
      <c r="BR30" s="935"/>
      <c r="BS30" s="935"/>
      <c r="BT30" s="935"/>
    </row>
    <row r="31" spans="1:72" x14ac:dyDescent="0.25">
      <c r="A31" s="940" t="s">
        <v>572</v>
      </c>
      <c r="B31" s="941">
        <f t="shared" si="0"/>
        <v>1.0687839040840581</v>
      </c>
      <c r="C31" s="941">
        <f t="shared" si="1"/>
        <v>1.0213566498986533</v>
      </c>
      <c r="D31" s="941">
        <f t="shared" si="2"/>
        <v>1.0031375164207406</v>
      </c>
      <c r="E31" s="1645"/>
      <c r="F31" s="1645"/>
      <c r="G31" s="1645"/>
      <c r="H31" s="1645"/>
      <c r="I31" s="1645"/>
      <c r="J31" s="944">
        <v>1992</v>
      </c>
      <c r="K31" s="945">
        <v>86.4</v>
      </c>
      <c r="L31" s="935"/>
      <c r="M31" s="935"/>
      <c r="N31" s="935"/>
      <c r="O31" s="935"/>
      <c r="P31" s="935"/>
      <c r="Q31" s="935"/>
      <c r="R31" s="935"/>
      <c r="S31" s="935"/>
      <c r="T31" s="935"/>
      <c r="U31" s="935"/>
      <c r="V31" s="935"/>
      <c r="W31" s="935"/>
      <c r="X31" s="935"/>
      <c r="Y31" s="935"/>
      <c r="Z31" s="935"/>
      <c r="AA31" s="935"/>
      <c r="AB31" s="935"/>
      <c r="AC31" s="935"/>
      <c r="AD31" s="935"/>
      <c r="AE31" s="935"/>
      <c r="AF31" s="935"/>
      <c r="AG31" s="935"/>
      <c r="AH31" s="935"/>
      <c r="AI31" s="935"/>
      <c r="AJ31" s="935"/>
      <c r="AK31" s="935"/>
      <c r="AL31" s="935"/>
      <c r="AM31" s="935"/>
      <c r="AN31" s="935"/>
      <c r="AO31" s="935"/>
      <c r="AP31" s="935"/>
      <c r="AQ31" s="935"/>
      <c r="AR31" s="935"/>
      <c r="AS31" s="935"/>
      <c r="AT31" s="935"/>
      <c r="AU31" s="935"/>
      <c r="AV31" s="935"/>
      <c r="AW31" s="935"/>
      <c r="AX31" s="935"/>
      <c r="AY31" s="935"/>
      <c r="AZ31" s="935"/>
      <c r="BA31" s="935"/>
      <c r="BB31" s="935"/>
      <c r="BC31" s="935"/>
      <c r="BD31" s="935"/>
      <c r="BE31" s="935"/>
      <c r="BF31" s="935"/>
      <c r="BG31" s="935"/>
      <c r="BH31" s="935"/>
      <c r="BI31" s="935"/>
      <c r="BJ31" s="935"/>
      <c r="BK31" s="935"/>
      <c r="BL31" s="935"/>
      <c r="BM31" s="935"/>
      <c r="BN31" s="935"/>
      <c r="BO31" s="935"/>
      <c r="BP31" s="935"/>
      <c r="BQ31" s="935"/>
      <c r="BR31" s="935"/>
      <c r="BS31" s="935"/>
      <c r="BT31" s="935"/>
    </row>
    <row r="32" spans="1:72" x14ac:dyDescent="0.25">
      <c r="A32" s="938" t="s">
        <v>573</v>
      </c>
      <c r="B32" s="939">
        <f t="shared" si="0"/>
        <v>1.03736526166104</v>
      </c>
      <c r="C32" s="939">
        <f t="shared" si="1"/>
        <v>1.0084486821562659</v>
      </c>
      <c r="D32" s="939">
        <f t="shared" si="2"/>
        <v>1.0010687685088917</v>
      </c>
      <c r="E32" s="1645"/>
      <c r="F32" s="1645"/>
      <c r="G32" s="1645"/>
      <c r="H32" s="1645"/>
      <c r="I32" s="1645"/>
      <c r="J32" s="942">
        <v>1993</v>
      </c>
      <c r="K32" s="943">
        <v>88.4</v>
      </c>
      <c r="L32" s="935"/>
      <c r="M32" s="935"/>
      <c r="N32" s="935"/>
      <c r="O32" s="935"/>
      <c r="P32" s="935"/>
      <c r="Q32" s="935"/>
      <c r="R32" s="935"/>
      <c r="S32" s="935"/>
      <c r="T32" s="935"/>
      <c r="U32" s="935"/>
      <c r="V32" s="935"/>
      <c r="W32" s="935"/>
      <c r="X32" s="935"/>
      <c r="Y32" s="935"/>
      <c r="Z32" s="935"/>
      <c r="AA32" s="935"/>
      <c r="AB32" s="935"/>
      <c r="AC32" s="935"/>
      <c r="AD32" s="935"/>
      <c r="AE32" s="935"/>
      <c r="AF32" s="935"/>
      <c r="AG32" s="935"/>
      <c r="AH32" s="935"/>
      <c r="AI32" s="935"/>
      <c r="AJ32" s="935"/>
      <c r="AK32" s="935"/>
      <c r="AL32" s="935"/>
      <c r="AM32" s="935"/>
      <c r="AN32" s="935"/>
      <c r="AO32" s="935"/>
      <c r="AP32" s="935"/>
      <c r="AQ32" s="935"/>
      <c r="AR32" s="935"/>
      <c r="AS32" s="935"/>
      <c r="AT32" s="935"/>
      <c r="AU32" s="935"/>
      <c r="AV32" s="935"/>
      <c r="AW32" s="935"/>
      <c r="AX32" s="935"/>
      <c r="AY32" s="935"/>
      <c r="AZ32" s="935"/>
      <c r="BA32" s="935"/>
      <c r="BB32" s="935"/>
      <c r="BC32" s="935"/>
      <c r="BD32" s="935"/>
      <c r="BE32" s="935"/>
      <c r="BF32" s="935"/>
      <c r="BG32" s="935"/>
      <c r="BH32" s="935"/>
      <c r="BI32" s="935"/>
      <c r="BJ32" s="935"/>
      <c r="BK32" s="935"/>
      <c r="BL32" s="935"/>
      <c r="BM32" s="935"/>
      <c r="BN32" s="935"/>
      <c r="BO32" s="935"/>
      <c r="BP32" s="935"/>
      <c r="BQ32" s="935"/>
      <c r="BR32" s="935"/>
      <c r="BS32" s="935"/>
      <c r="BT32" s="935"/>
    </row>
    <row r="33" spans="1:72" x14ac:dyDescent="0.25">
      <c r="A33" s="940" t="s">
        <v>574</v>
      </c>
      <c r="B33" s="941">
        <f t="shared" si="0"/>
        <v>0.975071533164794</v>
      </c>
      <c r="C33" s="941">
        <f t="shared" si="1"/>
        <v>1.0087393571750138</v>
      </c>
      <c r="D33" s="941">
        <f t="shared" si="2"/>
        <v>0.99663324890666094</v>
      </c>
      <c r="E33" s="1645"/>
      <c r="F33" s="1645"/>
      <c r="G33" s="1645"/>
      <c r="H33" s="1645"/>
      <c r="I33" s="1645"/>
      <c r="J33" s="944">
        <v>1994</v>
      </c>
      <c r="K33" s="945">
        <v>90.3</v>
      </c>
      <c r="L33" s="935"/>
      <c r="M33" s="935"/>
      <c r="N33" s="935"/>
      <c r="O33" s="935"/>
      <c r="P33" s="935"/>
      <c r="Q33" s="935"/>
      <c r="R33" s="935"/>
      <c r="S33" s="935"/>
      <c r="T33" s="935"/>
      <c r="U33" s="935"/>
      <c r="V33" s="935"/>
      <c r="W33" s="935"/>
      <c r="X33" s="935"/>
      <c r="Y33" s="935"/>
      <c r="Z33" s="935"/>
      <c r="AA33" s="935"/>
      <c r="AB33" s="935"/>
      <c r="AC33" s="935"/>
      <c r="AD33" s="935"/>
      <c r="AE33" s="935"/>
      <c r="AF33" s="935"/>
      <c r="AG33" s="935"/>
      <c r="AH33" s="935"/>
      <c r="AI33" s="935"/>
      <c r="AJ33" s="935"/>
      <c r="AK33" s="935"/>
      <c r="AL33" s="935"/>
      <c r="AM33" s="935"/>
      <c r="AN33" s="935"/>
      <c r="AO33" s="935"/>
      <c r="AP33" s="935"/>
      <c r="AQ33" s="935"/>
      <c r="AR33" s="935"/>
      <c r="AS33" s="935"/>
      <c r="AT33" s="935"/>
      <c r="AU33" s="935"/>
      <c r="AV33" s="935"/>
      <c r="AW33" s="935"/>
      <c r="AX33" s="935"/>
      <c r="AY33" s="935"/>
      <c r="AZ33" s="935"/>
      <c r="BA33" s="935"/>
      <c r="BB33" s="935"/>
      <c r="BC33" s="935"/>
      <c r="BD33" s="935"/>
      <c r="BE33" s="935"/>
      <c r="BF33" s="935"/>
      <c r="BG33" s="935"/>
      <c r="BH33" s="935"/>
      <c r="BI33" s="935"/>
      <c r="BJ33" s="935"/>
      <c r="BK33" s="935"/>
      <c r="BL33" s="935"/>
      <c r="BM33" s="935"/>
      <c r="BN33" s="935"/>
      <c r="BO33" s="935"/>
      <c r="BP33" s="935"/>
      <c r="BQ33" s="935"/>
      <c r="BR33" s="935"/>
      <c r="BS33" s="935"/>
      <c r="BT33" s="935"/>
    </row>
    <row r="34" spans="1:72" x14ac:dyDescent="0.25">
      <c r="A34" s="938" t="s">
        <v>575</v>
      </c>
      <c r="B34" s="939">
        <f t="shared" si="0"/>
        <v>1.0938371922267365</v>
      </c>
      <c r="C34" s="939">
        <f t="shared" si="1"/>
        <v>1.0852680569229392</v>
      </c>
      <c r="D34" s="939">
        <f t="shared" si="2"/>
        <v>1.0142672175626977</v>
      </c>
      <c r="E34" s="1645"/>
      <c r="F34" s="1645"/>
      <c r="G34" s="1645"/>
      <c r="H34" s="1645"/>
      <c r="I34" s="1645"/>
      <c r="J34" s="942">
        <v>1995</v>
      </c>
      <c r="K34" s="943">
        <v>92.1</v>
      </c>
      <c r="L34" s="935"/>
      <c r="M34" s="935"/>
      <c r="N34" s="935"/>
      <c r="O34" s="935"/>
      <c r="P34" s="935"/>
      <c r="Q34" s="935"/>
      <c r="R34" s="935"/>
      <c r="S34" s="935"/>
      <c r="T34" s="935"/>
      <c r="U34" s="935"/>
      <c r="V34" s="935"/>
      <c r="W34" s="935"/>
      <c r="X34" s="935"/>
      <c r="Y34" s="935"/>
      <c r="Z34" s="935"/>
      <c r="AA34" s="935"/>
      <c r="AB34" s="935"/>
      <c r="AC34" s="935"/>
      <c r="AD34" s="935"/>
      <c r="AE34" s="935"/>
      <c r="AF34" s="935"/>
      <c r="AG34" s="935"/>
      <c r="AH34" s="935"/>
      <c r="AI34" s="935"/>
      <c r="AJ34" s="935"/>
      <c r="AK34" s="935"/>
      <c r="AL34" s="935"/>
      <c r="AM34" s="935"/>
      <c r="AN34" s="935"/>
      <c r="AO34" s="935"/>
      <c r="AP34" s="935"/>
      <c r="AQ34" s="935"/>
      <c r="AR34" s="935"/>
      <c r="AS34" s="935"/>
      <c r="AT34" s="935"/>
      <c r="AU34" s="935"/>
      <c r="AV34" s="935"/>
      <c r="AW34" s="935"/>
      <c r="AX34" s="935"/>
      <c r="AY34" s="935"/>
      <c r="AZ34" s="935"/>
      <c r="BA34" s="935"/>
      <c r="BB34" s="935"/>
      <c r="BC34" s="935"/>
      <c r="BD34" s="935"/>
      <c r="BE34" s="935"/>
      <c r="BF34" s="935"/>
      <c r="BG34" s="935"/>
      <c r="BH34" s="935"/>
      <c r="BI34" s="935"/>
      <c r="BJ34" s="935"/>
      <c r="BK34" s="935"/>
      <c r="BL34" s="935"/>
      <c r="BM34" s="935"/>
      <c r="BN34" s="935"/>
      <c r="BO34" s="935"/>
      <c r="BP34" s="935"/>
      <c r="BQ34" s="935"/>
      <c r="BR34" s="935"/>
      <c r="BS34" s="935"/>
      <c r="BT34" s="935"/>
    </row>
    <row r="35" spans="1:72" x14ac:dyDescent="0.25">
      <c r="A35" s="940" t="s">
        <v>312</v>
      </c>
      <c r="B35" s="941">
        <f t="shared" si="0"/>
        <v>1.0046194107582356</v>
      </c>
      <c r="C35" s="941">
        <f t="shared" si="1"/>
        <v>1.003094645903579</v>
      </c>
      <c r="D35" s="941">
        <f t="shared" si="2"/>
        <v>0.99710816742279029</v>
      </c>
      <c r="E35" s="1645"/>
      <c r="F35" s="1645"/>
      <c r="G35" s="1645"/>
      <c r="H35" s="1645"/>
      <c r="I35" s="1645"/>
      <c r="J35" s="944">
        <v>1996</v>
      </c>
      <c r="K35" s="945">
        <v>93.9</v>
      </c>
      <c r="L35" s="935"/>
      <c r="M35" s="935"/>
      <c r="N35" s="935"/>
      <c r="O35" s="935"/>
      <c r="P35" s="935"/>
      <c r="Q35" s="935"/>
      <c r="R35" s="935"/>
      <c r="S35" s="935"/>
      <c r="T35" s="935"/>
      <c r="U35" s="935"/>
      <c r="V35" s="935"/>
      <c r="W35" s="935"/>
      <c r="X35" s="935"/>
      <c r="Y35" s="935"/>
      <c r="Z35" s="935"/>
      <c r="AA35" s="935"/>
      <c r="AB35" s="935"/>
      <c r="AC35" s="935"/>
      <c r="AD35" s="935"/>
      <c r="AE35" s="935"/>
      <c r="AF35" s="935"/>
      <c r="AG35" s="935"/>
      <c r="AH35" s="935"/>
      <c r="AI35" s="935"/>
      <c r="AJ35" s="935"/>
      <c r="AK35" s="935"/>
      <c r="AL35" s="935"/>
      <c r="AM35" s="935"/>
      <c r="AN35" s="935"/>
      <c r="AO35" s="935"/>
      <c r="AP35" s="935"/>
      <c r="AQ35" s="935"/>
      <c r="AR35" s="935"/>
      <c r="AS35" s="935"/>
      <c r="AT35" s="935"/>
      <c r="AU35" s="935"/>
      <c r="AV35" s="935"/>
      <c r="AW35" s="935"/>
      <c r="AX35" s="935"/>
      <c r="AY35" s="935"/>
      <c r="AZ35" s="935"/>
      <c r="BA35" s="935"/>
      <c r="BB35" s="935"/>
      <c r="BC35" s="935"/>
      <c r="BD35" s="935"/>
      <c r="BE35" s="935"/>
      <c r="BF35" s="935"/>
      <c r="BG35" s="935"/>
      <c r="BH35" s="935"/>
      <c r="BI35" s="935"/>
      <c r="BJ35" s="935"/>
      <c r="BK35" s="935"/>
      <c r="BL35" s="935"/>
      <c r="BM35" s="935"/>
      <c r="BN35" s="935"/>
      <c r="BO35" s="935"/>
      <c r="BP35" s="935"/>
      <c r="BQ35" s="935"/>
      <c r="BR35" s="935"/>
      <c r="BS35" s="935"/>
      <c r="BT35" s="935"/>
    </row>
    <row r="36" spans="1:72" x14ac:dyDescent="0.25">
      <c r="A36" s="1649"/>
      <c r="B36" s="1650"/>
      <c r="C36" s="1650"/>
      <c r="D36" s="1650"/>
      <c r="E36" s="1645"/>
      <c r="F36" s="1645"/>
      <c r="G36" s="1645"/>
      <c r="H36" s="1645"/>
      <c r="I36" s="1645"/>
      <c r="J36" s="942">
        <v>1997</v>
      </c>
      <c r="K36" s="943">
        <v>95.4</v>
      </c>
      <c r="L36" s="935"/>
      <c r="M36" s="935"/>
      <c r="N36" s="935"/>
      <c r="O36" s="935"/>
      <c r="P36" s="935"/>
      <c r="Q36" s="935"/>
      <c r="R36" s="935"/>
      <c r="S36" s="935"/>
      <c r="T36" s="935"/>
      <c r="U36" s="935"/>
      <c r="V36" s="935"/>
      <c r="W36" s="935"/>
      <c r="X36" s="935"/>
      <c r="Y36" s="935"/>
      <c r="Z36" s="935"/>
      <c r="AA36" s="935"/>
      <c r="AB36" s="935"/>
      <c r="AC36" s="935"/>
      <c r="AD36" s="935"/>
      <c r="AE36" s="935"/>
      <c r="AF36" s="935"/>
      <c r="AG36" s="935"/>
      <c r="AH36" s="935"/>
      <c r="AI36" s="935"/>
      <c r="AJ36" s="935"/>
      <c r="AK36" s="935"/>
      <c r="AL36" s="935"/>
      <c r="AM36" s="935"/>
      <c r="AN36" s="935"/>
      <c r="AO36" s="935"/>
      <c r="AP36" s="935"/>
      <c r="AQ36" s="935"/>
      <c r="AR36" s="935"/>
      <c r="AS36" s="935"/>
      <c r="AT36" s="935"/>
      <c r="AU36" s="935"/>
      <c r="AV36" s="935"/>
      <c r="AW36" s="935"/>
      <c r="AX36" s="935"/>
      <c r="AY36" s="935"/>
      <c r="AZ36" s="935"/>
      <c r="BA36" s="935"/>
      <c r="BB36" s="935"/>
      <c r="BC36" s="935"/>
      <c r="BD36" s="935"/>
      <c r="BE36" s="935"/>
      <c r="BF36" s="935"/>
      <c r="BG36" s="935"/>
      <c r="BH36" s="935"/>
      <c r="BI36" s="935"/>
      <c r="BJ36" s="935"/>
      <c r="BK36" s="935"/>
      <c r="BL36" s="935"/>
      <c r="BM36" s="935"/>
      <c r="BN36" s="935"/>
      <c r="BO36" s="935"/>
      <c r="BP36" s="935"/>
      <c r="BQ36" s="935"/>
      <c r="BR36" s="935"/>
      <c r="BS36" s="935"/>
      <c r="BT36" s="935"/>
    </row>
    <row r="37" spans="1:72" x14ac:dyDescent="0.25">
      <c r="A37" s="1649"/>
      <c r="B37" s="1650"/>
      <c r="C37" s="1650"/>
      <c r="D37" s="1650"/>
      <c r="E37" s="1645"/>
      <c r="F37" s="1645"/>
      <c r="G37" s="1645"/>
      <c r="H37" s="1645"/>
      <c r="I37" s="1645"/>
      <c r="J37" s="944">
        <v>1998</v>
      </c>
      <c r="K37" s="945">
        <v>96.5</v>
      </c>
      <c r="L37" s="935"/>
      <c r="M37" s="935"/>
      <c r="N37" s="935"/>
      <c r="O37" s="935"/>
      <c r="P37" s="935"/>
      <c r="Q37" s="935"/>
      <c r="R37" s="935"/>
      <c r="S37" s="935"/>
      <c r="T37" s="935"/>
      <c r="U37" s="935"/>
      <c r="V37" s="935"/>
      <c r="W37" s="935"/>
      <c r="X37" s="935"/>
      <c r="Y37" s="935"/>
      <c r="Z37" s="935"/>
      <c r="AA37" s="935"/>
      <c r="AB37" s="935"/>
      <c r="AC37" s="935"/>
      <c r="AD37" s="935"/>
      <c r="AE37" s="935"/>
      <c r="AF37" s="935"/>
      <c r="AG37" s="935"/>
      <c r="AH37" s="935"/>
      <c r="AI37" s="935"/>
      <c r="AJ37" s="935"/>
      <c r="AK37" s="935"/>
      <c r="AL37" s="935"/>
      <c r="AM37" s="935"/>
      <c r="AN37" s="935"/>
      <c r="AO37" s="935"/>
      <c r="AP37" s="935"/>
      <c r="AQ37" s="935"/>
      <c r="AR37" s="935"/>
      <c r="AS37" s="935"/>
      <c r="AT37" s="935"/>
      <c r="AU37" s="935"/>
      <c r="AV37" s="935"/>
      <c r="AW37" s="935"/>
      <c r="AX37" s="935"/>
      <c r="AY37" s="935"/>
      <c r="AZ37" s="935"/>
      <c r="BA37" s="935"/>
      <c r="BB37" s="935"/>
      <c r="BC37" s="935"/>
      <c r="BD37" s="935"/>
      <c r="BE37" s="935"/>
      <c r="BF37" s="935"/>
      <c r="BG37" s="935"/>
      <c r="BH37" s="935"/>
      <c r="BI37" s="935"/>
      <c r="BJ37" s="935"/>
      <c r="BK37" s="935"/>
      <c r="BL37" s="935"/>
      <c r="BM37" s="935"/>
      <c r="BN37" s="935"/>
      <c r="BO37" s="935"/>
      <c r="BP37" s="935"/>
      <c r="BQ37" s="935"/>
      <c r="BR37" s="935"/>
      <c r="BS37" s="935"/>
      <c r="BT37" s="935"/>
    </row>
    <row r="38" spans="1:72" ht="13" x14ac:dyDescent="0.3">
      <c r="A38" s="1654" t="s">
        <v>577</v>
      </c>
      <c r="B38" s="1655"/>
      <c r="C38" s="946" t="s">
        <v>578</v>
      </c>
      <c r="D38" s="946" t="s">
        <v>578</v>
      </c>
      <c r="E38" s="1655" t="s">
        <v>1115</v>
      </c>
      <c r="F38" s="1655"/>
      <c r="G38" s="1655"/>
      <c r="H38" s="1655"/>
      <c r="I38" s="1655"/>
      <c r="J38" s="942">
        <v>1999</v>
      </c>
      <c r="K38" s="943">
        <v>97.9</v>
      </c>
      <c r="L38" s="935"/>
      <c r="M38" s="935"/>
      <c r="N38" s="935"/>
      <c r="O38" s="935"/>
      <c r="P38" s="935"/>
      <c r="Q38" s="935"/>
      <c r="R38" s="935"/>
      <c r="S38" s="935"/>
      <c r="T38" s="935"/>
      <c r="U38" s="935"/>
      <c r="V38" s="935"/>
      <c r="W38" s="935"/>
      <c r="X38" s="935"/>
      <c r="Y38" s="935"/>
      <c r="Z38" s="935"/>
      <c r="AA38" s="935"/>
      <c r="AB38" s="935"/>
      <c r="AC38" s="935"/>
      <c r="AD38" s="935"/>
      <c r="AE38" s="935"/>
      <c r="AF38" s="935"/>
      <c r="AG38" s="935"/>
      <c r="AH38" s="935"/>
      <c r="AI38" s="935"/>
      <c r="AJ38" s="935"/>
      <c r="AK38" s="935"/>
      <c r="AL38" s="935"/>
      <c r="AM38" s="935"/>
      <c r="AN38" s="935"/>
      <c r="AO38" s="935"/>
      <c r="AP38" s="935"/>
      <c r="AQ38" s="935"/>
      <c r="AR38" s="935"/>
      <c r="AS38" s="935"/>
      <c r="AT38" s="935"/>
      <c r="AU38" s="935"/>
      <c r="AV38" s="935"/>
      <c r="AW38" s="935"/>
      <c r="AX38" s="935"/>
      <c r="AY38" s="935"/>
      <c r="AZ38" s="935"/>
      <c r="BA38" s="935"/>
      <c r="BB38" s="935"/>
      <c r="BC38" s="935"/>
      <c r="BD38" s="935"/>
      <c r="BE38" s="935"/>
      <c r="BF38" s="935"/>
      <c r="BG38" s="935"/>
      <c r="BH38" s="935"/>
      <c r="BI38" s="935"/>
      <c r="BJ38" s="935"/>
      <c r="BK38" s="935"/>
      <c r="BL38" s="935"/>
      <c r="BM38" s="935"/>
      <c r="BN38" s="935"/>
      <c r="BO38" s="935"/>
      <c r="BP38" s="935"/>
      <c r="BQ38" s="935"/>
      <c r="BR38" s="935"/>
      <c r="BS38" s="935"/>
      <c r="BT38" s="935"/>
    </row>
    <row r="39" spans="1:72" ht="13" x14ac:dyDescent="0.3">
      <c r="A39" s="940"/>
      <c r="B39" s="889" t="s">
        <v>1049</v>
      </c>
      <c r="C39" s="944">
        <v>2000</v>
      </c>
      <c r="D39" s="944">
        <v>2005</v>
      </c>
      <c r="E39" s="944">
        <v>2020</v>
      </c>
      <c r="F39" s="944">
        <v>2035</v>
      </c>
      <c r="G39" s="944">
        <v>2050</v>
      </c>
      <c r="H39" s="944">
        <v>2065</v>
      </c>
      <c r="I39" s="944">
        <v>2070</v>
      </c>
      <c r="J39" s="944">
        <v>2000</v>
      </c>
      <c r="K39" s="945">
        <v>100</v>
      </c>
      <c r="L39" s="935"/>
      <c r="M39" s="935"/>
      <c r="N39" s="935"/>
      <c r="O39" s="935"/>
      <c r="P39" s="935"/>
      <c r="Q39" s="935"/>
      <c r="R39" s="935"/>
      <c r="S39" s="935"/>
      <c r="T39" s="935"/>
      <c r="U39" s="935"/>
      <c r="V39" s="935"/>
      <c r="W39" s="935"/>
      <c r="X39" s="935"/>
      <c r="Y39" s="935"/>
      <c r="Z39" s="935"/>
      <c r="AA39" s="935"/>
      <c r="AB39" s="935"/>
      <c r="AC39" s="935"/>
      <c r="AD39" s="935"/>
      <c r="AE39" s="935"/>
      <c r="AF39" s="935"/>
      <c r="AG39" s="935"/>
      <c r="AH39" s="935"/>
      <c r="AI39" s="935"/>
      <c r="AJ39" s="935"/>
      <c r="AK39" s="935"/>
      <c r="AL39" s="935"/>
      <c r="AM39" s="935"/>
      <c r="AN39" s="935"/>
      <c r="AO39" s="935"/>
      <c r="AP39" s="935"/>
      <c r="AQ39" s="935"/>
      <c r="AR39" s="935"/>
      <c r="AS39" s="935"/>
      <c r="AT39" s="935"/>
      <c r="AU39" s="935"/>
      <c r="AV39" s="935"/>
      <c r="AW39" s="935"/>
      <c r="AX39" s="935"/>
      <c r="AY39" s="935"/>
      <c r="AZ39" s="935"/>
      <c r="BA39" s="935"/>
      <c r="BB39" s="935"/>
      <c r="BC39" s="935"/>
      <c r="BD39" s="935"/>
      <c r="BE39" s="935"/>
      <c r="BF39" s="935"/>
      <c r="BG39" s="935"/>
      <c r="BH39" s="935"/>
      <c r="BI39" s="935"/>
      <c r="BJ39" s="935"/>
      <c r="BK39" s="935"/>
      <c r="BL39" s="935"/>
      <c r="BM39" s="935"/>
      <c r="BN39" s="935"/>
      <c r="BO39" s="935"/>
      <c r="BP39" s="935"/>
      <c r="BQ39" s="935"/>
      <c r="BR39" s="935"/>
      <c r="BS39" s="935"/>
      <c r="BT39" s="935"/>
    </row>
    <row r="40" spans="1:72" x14ac:dyDescent="0.25">
      <c r="A40" s="938" t="s">
        <v>569</v>
      </c>
      <c r="B40" s="947" t="s">
        <v>579</v>
      </c>
      <c r="C40" s="942">
        <v>25.276500000000002</v>
      </c>
      <c r="D40" s="942">
        <v>25.071000000000002</v>
      </c>
      <c r="E40" s="942">
        <v>49.911552427759986</v>
      </c>
      <c r="F40" s="942">
        <v>51.73380738099187</v>
      </c>
      <c r="G40" s="942">
        <v>54.228868079187265</v>
      </c>
      <c r="H40" s="942">
        <v>57.083559627090274</v>
      </c>
      <c r="I40" s="942">
        <v>57.998580810871225</v>
      </c>
      <c r="J40" s="942">
        <v>2001</v>
      </c>
      <c r="K40" s="943">
        <v>102.4</v>
      </c>
      <c r="L40" s="935"/>
      <c r="M40" s="935"/>
      <c r="N40" s="935"/>
      <c r="O40" s="935"/>
      <c r="P40" s="935"/>
      <c r="Q40" s="935"/>
      <c r="R40" s="935"/>
      <c r="S40" s="935"/>
      <c r="T40" s="935"/>
      <c r="U40" s="935"/>
      <c r="V40" s="935"/>
      <c r="W40" s="935"/>
      <c r="X40" s="935"/>
      <c r="Y40" s="935"/>
      <c r="Z40" s="935"/>
      <c r="AA40" s="935"/>
      <c r="AB40" s="935"/>
      <c r="AC40" s="935"/>
      <c r="AD40" s="935"/>
      <c r="AE40" s="935"/>
      <c r="AF40" s="935"/>
      <c r="AG40" s="935"/>
      <c r="AH40" s="935"/>
      <c r="AI40" s="935"/>
      <c r="AJ40" s="935"/>
      <c r="AK40" s="935"/>
      <c r="AL40" s="935"/>
      <c r="AM40" s="935"/>
      <c r="AN40" s="935"/>
      <c r="AO40" s="935"/>
      <c r="AP40" s="935"/>
      <c r="AQ40" s="935"/>
      <c r="AR40" s="935"/>
      <c r="AS40" s="935"/>
      <c r="AT40" s="935"/>
      <c r="AU40" s="935"/>
      <c r="AV40" s="935"/>
      <c r="AW40" s="935"/>
      <c r="AX40" s="935"/>
      <c r="AY40" s="935"/>
      <c r="AZ40" s="935"/>
      <c r="BA40" s="935"/>
      <c r="BB40" s="935"/>
      <c r="BC40" s="935"/>
      <c r="BD40" s="935"/>
      <c r="BE40" s="935"/>
      <c r="BF40" s="935"/>
      <c r="BG40" s="935"/>
      <c r="BH40" s="935"/>
      <c r="BI40" s="935"/>
      <c r="BJ40" s="935"/>
      <c r="BK40" s="935"/>
      <c r="BL40" s="935"/>
      <c r="BM40" s="935"/>
      <c r="BN40" s="935"/>
      <c r="BO40" s="935"/>
      <c r="BP40" s="935"/>
      <c r="BQ40" s="935"/>
      <c r="BR40" s="935"/>
      <c r="BS40" s="935"/>
      <c r="BT40" s="935"/>
    </row>
    <row r="41" spans="1:72" x14ac:dyDescent="0.25">
      <c r="A41" s="940" t="s">
        <v>570</v>
      </c>
      <c r="B41" s="948" t="s">
        <v>580</v>
      </c>
      <c r="C41" s="944">
        <v>3.83</v>
      </c>
      <c r="D41" s="944">
        <v>2.88</v>
      </c>
      <c r="E41" s="944">
        <v>3.4820792312666162</v>
      </c>
      <c r="F41" s="944">
        <v>3.718467288972283</v>
      </c>
      <c r="G41" s="944">
        <v>4.254403392012021</v>
      </c>
      <c r="H41" s="944">
        <v>4.8331418485312492</v>
      </c>
      <c r="I41" s="944">
        <v>5.0085938618348607</v>
      </c>
      <c r="J41" s="944">
        <v>2002</v>
      </c>
      <c r="K41" s="945">
        <v>104.1</v>
      </c>
      <c r="L41" s="935"/>
      <c r="M41" s="935"/>
      <c r="N41" s="935"/>
      <c r="O41" s="935"/>
      <c r="P41" s="935"/>
      <c r="Q41" s="935"/>
      <c r="R41" s="935"/>
      <c r="S41" s="935"/>
      <c r="T41" s="935"/>
      <c r="U41" s="935"/>
      <c r="V41" s="935"/>
      <c r="W41" s="935"/>
      <c r="X41" s="935"/>
      <c r="Y41" s="935"/>
      <c r="Z41" s="935"/>
      <c r="AA41" s="935"/>
      <c r="AB41" s="935"/>
      <c r="AC41" s="935"/>
      <c r="AD41" s="935"/>
      <c r="AE41" s="935"/>
      <c r="AF41" s="935"/>
      <c r="AG41" s="935"/>
      <c r="AH41" s="935"/>
      <c r="AI41" s="935"/>
      <c r="AJ41" s="935"/>
      <c r="AK41" s="935"/>
      <c r="AL41" s="935"/>
      <c r="AM41" s="935"/>
      <c r="AN41" s="935"/>
      <c r="AO41" s="935"/>
      <c r="AP41" s="935"/>
      <c r="AQ41" s="935"/>
      <c r="AR41" s="935"/>
      <c r="AS41" s="935"/>
      <c r="AT41" s="935"/>
      <c r="AU41" s="935"/>
      <c r="AV41" s="935"/>
      <c r="AW41" s="935"/>
      <c r="AX41" s="935"/>
      <c r="AY41" s="935"/>
      <c r="AZ41" s="935"/>
      <c r="BA41" s="935"/>
      <c r="BB41" s="935"/>
      <c r="BC41" s="935"/>
      <c r="BD41" s="935"/>
      <c r="BE41" s="935"/>
      <c r="BF41" s="935"/>
      <c r="BG41" s="935"/>
      <c r="BH41" s="935"/>
      <c r="BI41" s="935"/>
      <c r="BJ41" s="935"/>
      <c r="BK41" s="935"/>
      <c r="BL41" s="935"/>
      <c r="BM41" s="935"/>
      <c r="BN41" s="935"/>
      <c r="BO41" s="935"/>
      <c r="BP41" s="935"/>
      <c r="BQ41" s="935"/>
      <c r="BR41" s="935"/>
      <c r="BS41" s="935"/>
      <c r="BT41" s="935"/>
    </row>
    <row r="42" spans="1:72" x14ac:dyDescent="0.25">
      <c r="A42" s="938" t="s">
        <v>571</v>
      </c>
      <c r="B42" s="947" t="s">
        <v>580</v>
      </c>
      <c r="C42" s="942">
        <v>4.333333333333333</v>
      </c>
      <c r="D42" s="942">
        <v>3.2058823529411766</v>
      </c>
      <c r="E42" s="942">
        <v>5.3135477999345282</v>
      </c>
      <c r="F42" s="942">
        <v>5.6703709369749671</v>
      </c>
      <c r="G42" s="942">
        <v>6.3804589018936815</v>
      </c>
      <c r="H42" s="942">
        <v>7.1603102550975084</v>
      </c>
      <c r="I42" s="942">
        <v>7.3649472464330987</v>
      </c>
      <c r="J42" s="942">
        <v>2003</v>
      </c>
      <c r="K42" s="943">
        <v>106</v>
      </c>
      <c r="L42" s="935"/>
      <c r="M42" s="935"/>
      <c r="N42" s="935"/>
      <c r="O42" s="935"/>
      <c r="P42" s="935"/>
      <c r="Q42" s="935"/>
      <c r="R42" s="935"/>
      <c r="S42" s="935"/>
      <c r="T42" s="935"/>
      <c r="U42" s="935"/>
      <c r="V42" s="935"/>
      <c r="W42" s="935"/>
      <c r="X42" s="935"/>
      <c r="Y42" s="935"/>
      <c r="Z42" s="935"/>
      <c r="AA42" s="935"/>
      <c r="AB42" s="935"/>
      <c r="AC42" s="935"/>
      <c r="AD42" s="935"/>
      <c r="AE42" s="935"/>
      <c r="AF42" s="935"/>
      <c r="AG42" s="935"/>
      <c r="AH42" s="935"/>
      <c r="AI42" s="935"/>
      <c r="AJ42" s="935"/>
      <c r="AK42" s="935"/>
      <c r="AL42" s="935"/>
      <c r="AM42" s="935"/>
      <c r="AN42" s="935"/>
      <c r="AO42" s="935"/>
      <c r="AP42" s="935"/>
      <c r="AQ42" s="935"/>
      <c r="AR42" s="935"/>
      <c r="AS42" s="935"/>
      <c r="AT42" s="935"/>
      <c r="AU42" s="935"/>
      <c r="AV42" s="935"/>
      <c r="AW42" s="935"/>
      <c r="AX42" s="935"/>
      <c r="AY42" s="935"/>
      <c r="AZ42" s="935"/>
      <c r="BA42" s="935"/>
      <c r="BB42" s="935"/>
      <c r="BC42" s="935"/>
      <c r="BD42" s="935"/>
      <c r="BE42" s="935"/>
      <c r="BF42" s="935"/>
      <c r="BG42" s="935"/>
      <c r="BH42" s="935"/>
      <c r="BI42" s="935"/>
      <c r="BJ42" s="935"/>
      <c r="BK42" s="935"/>
      <c r="BL42" s="935"/>
      <c r="BM42" s="935"/>
      <c r="BN42" s="935"/>
      <c r="BO42" s="935"/>
      <c r="BP42" s="935"/>
      <c r="BQ42" s="935"/>
      <c r="BR42" s="935"/>
      <c r="BS42" s="935"/>
      <c r="BT42" s="935"/>
    </row>
    <row r="43" spans="1:72" ht="13" x14ac:dyDescent="0.3">
      <c r="A43" s="940" t="s">
        <v>572</v>
      </c>
      <c r="B43" s="948" t="s">
        <v>581</v>
      </c>
      <c r="C43" s="944">
        <v>28.35</v>
      </c>
      <c r="D43" s="944">
        <v>23.27</v>
      </c>
      <c r="E43" s="944">
        <v>38.166254666132858</v>
      </c>
      <c r="F43" s="944">
        <v>44.018296607182357</v>
      </c>
      <c r="G43" s="944">
        <v>47.046046898954408</v>
      </c>
      <c r="H43" s="944">
        <v>48.050792851691</v>
      </c>
      <c r="I43" s="944">
        <v>48.201553003292787</v>
      </c>
      <c r="J43" s="944">
        <v>2004</v>
      </c>
      <c r="K43" s="949">
        <v>108.3</v>
      </c>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D43" s="935"/>
      <c r="BE43" s="935"/>
      <c r="BF43" s="935"/>
      <c r="BG43" s="935"/>
      <c r="BH43" s="935"/>
      <c r="BI43" s="935"/>
      <c r="BJ43" s="935"/>
      <c r="BK43" s="935"/>
      <c r="BL43" s="935"/>
      <c r="BM43" s="935"/>
      <c r="BN43" s="935"/>
      <c r="BO43" s="935"/>
      <c r="BP43" s="935"/>
      <c r="BQ43" s="935"/>
      <c r="BR43" s="935"/>
      <c r="BS43" s="935"/>
      <c r="BT43" s="935"/>
    </row>
    <row r="44" spans="1:72" ht="13" x14ac:dyDescent="0.3">
      <c r="A44" s="938" t="s">
        <v>573</v>
      </c>
      <c r="B44" s="947" t="s">
        <v>582</v>
      </c>
      <c r="C44" s="942">
        <v>1.5176666666666667</v>
      </c>
      <c r="D44" s="942">
        <v>1.2925714285714285</v>
      </c>
      <c r="E44" s="942">
        <v>1.9428327208531595</v>
      </c>
      <c r="F44" s="942">
        <v>2.1262391061548653</v>
      </c>
      <c r="G44" s="942">
        <v>2.2056865867102777</v>
      </c>
      <c r="H44" s="942">
        <v>2.2243217316177319</v>
      </c>
      <c r="I44" s="942">
        <v>2.2266990166381286</v>
      </c>
      <c r="J44" s="942">
        <v>2005</v>
      </c>
      <c r="K44" s="950">
        <v>110.5</v>
      </c>
      <c r="L44" s="935"/>
      <c r="M44" s="935"/>
      <c r="N44" s="935"/>
      <c r="O44" s="935"/>
      <c r="P44" s="935"/>
      <c r="Q44" s="935"/>
      <c r="R44" s="935"/>
      <c r="S44" s="935"/>
      <c r="T44" s="935"/>
      <c r="U44" s="935"/>
      <c r="V44" s="935"/>
      <c r="W44" s="935"/>
      <c r="X44" s="935"/>
      <c r="Y44" s="935"/>
      <c r="Z44" s="935"/>
      <c r="AA44" s="935"/>
      <c r="AB44" s="935"/>
      <c r="AC44" s="935"/>
      <c r="AD44" s="935"/>
      <c r="AE44" s="935"/>
      <c r="AF44" s="935"/>
      <c r="AG44" s="935"/>
      <c r="AH44" s="935"/>
      <c r="AI44" s="935"/>
      <c r="AJ44" s="935"/>
      <c r="AK44" s="935"/>
      <c r="AL44" s="935"/>
      <c r="AM44" s="935"/>
      <c r="AN44" s="935"/>
      <c r="AO44" s="935"/>
      <c r="AP44" s="935"/>
      <c r="AQ44" s="935"/>
      <c r="AR44" s="935"/>
      <c r="AS44" s="935"/>
      <c r="AT44" s="935"/>
      <c r="AU44" s="935"/>
      <c r="AV44" s="935"/>
      <c r="AW44" s="935"/>
      <c r="AX44" s="935"/>
      <c r="AY44" s="935"/>
      <c r="AZ44" s="935"/>
      <c r="BA44" s="935"/>
      <c r="BB44" s="935"/>
      <c r="BC44" s="935"/>
      <c r="BD44" s="935"/>
      <c r="BE44" s="935"/>
      <c r="BF44" s="935"/>
      <c r="BG44" s="935"/>
      <c r="BH44" s="935"/>
      <c r="BI44" s="935"/>
      <c r="BJ44" s="935"/>
      <c r="BK44" s="935"/>
      <c r="BL44" s="935"/>
      <c r="BM44" s="935"/>
      <c r="BN44" s="935"/>
      <c r="BO44" s="935"/>
      <c r="BP44" s="935"/>
      <c r="BQ44" s="935"/>
      <c r="BR44" s="935"/>
      <c r="BS44" s="935"/>
      <c r="BT44" s="935"/>
    </row>
    <row r="45" spans="1:72" x14ac:dyDescent="0.25">
      <c r="A45" s="940" t="s">
        <v>574</v>
      </c>
      <c r="B45" s="948" t="s">
        <v>583</v>
      </c>
      <c r="C45" s="944">
        <v>6.9</v>
      </c>
      <c r="D45" s="944">
        <v>6.4</v>
      </c>
      <c r="E45" s="944">
        <v>7.2674708046079139</v>
      </c>
      <c r="F45" s="944">
        <v>7.0885496188632935</v>
      </c>
      <c r="G45" s="944">
        <v>6.9118429447797478</v>
      </c>
      <c r="H45" s="944">
        <v>6.9722480090117775</v>
      </c>
      <c r="I45" s="944">
        <v>6.9487741854044058</v>
      </c>
      <c r="J45" s="1656" t="s">
        <v>761</v>
      </c>
      <c r="K45" s="1657"/>
      <c r="L45" s="935"/>
      <c r="M45" s="935"/>
      <c r="N45" s="935"/>
      <c r="O45" s="935"/>
      <c r="P45" s="935"/>
      <c r="Q45" s="935"/>
      <c r="R45" s="935"/>
      <c r="S45" s="935"/>
      <c r="T45" s="935"/>
      <c r="U45" s="935"/>
      <c r="V45" s="935"/>
      <c r="W45" s="935"/>
      <c r="X45" s="935"/>
      <c r="Y45" s="935"/>
      <c r="Z45" s="935"/>
      <c r="AA45" s="935"/>
      <c r="AB45" s="935"/>
      <c r="AC45" s="935"/>
      <c r="AD45" s="935"/>
      <c r="AE45" s="935"/>
      <c r="AF45" s="935"/>
      <c r="AG45" s="935"/>
      <c r="AH45" s="935"/>
      <c r="AI45" s="935"/>
      <c r="AJ45" s="935"/>
      <c r="AK45" s="935"/>
      <c r="AL45" s="935"/>
      <c r="AM45" s="935"/>
      <c r="AN45" s="935"/>
      <c r="AO45" s="935"/>
      <c r="AP45" s="935"/>
      <c r="AQ45" s="935"/>
      <c r="AR45" s="935"/>
      <c r="AS45" s="935"/>
      <c r="AT45" s="935"/>
      <c r="AU45" s="935"/>
      <c r="AV45" s="935"/>
      <c r="AW45" s="935"/>
      <c r="AX45" s="935"/>
      <c r="AY45" s="935"/>
      <c r="AZ45" s="935"/>
      <c r="BA45" s="935"/>
      <c r="BB45" s="935"/>
      <c r="BC45" s="935"/>
      <c r="BD45" s="935"/>
      <c r="BE45" s="935"/>
      <c r="BF45" s="935"/>
      <c r="BG45" s="935"/>
      <c r="BH45" s="935"/>
      <c r="BI45" s="935"/>
      <c r="BJ45" s="935"/>
      <c r="BK45" s="935"/>
      <c r="BL45" s="935"/>
      <c r="BM45" s="935"/>
      <c r="BN45" s="935"/>
      <c r="BO45" s="935"/>
      <c r="BP45" s="935"/>
      <c r="BQ45" s="935"/>
      <c r="BR45" s="935"/>
      <c r="BS45" s="935"/>
      <c r="BT45" s="935"/>
    </row>
    <row r="46" spans="1:72" x14ac:dyDescent="0.25">
      <c r="A46" s="938" t="s">
        <v>575</v>
      </c>
      <c r="B46" s="947" t="s">
        <v>584</v>
      </c>
      <c r="C46" s="942"/>
      <c r="D46" s="942"/>
      <c r="E46" s="942">
        <v>3.9267286033597717</v>
      </c>
      <c r="F46" s="942">
        <v>3.4025762910602637</v>
      </c>
      <c r="G46" s="942">
        <v>3.7218644965506216</v>
      </c>
      <c r="H46" s="942">
        <v>4.0392206503019663</v>
      </c>
      <c r="I46" s="942">
        <v>4.0968490901035652</v>
      </c>
      <c r="J46" s="1656"/>
      <c r="K46" s="1657"/>
      <c r="L46" s="935"/>
      <c r="M46" s="935"/>
      <c r="N46" s="935"/>
      <c r="O46" s="935"/>
      <c r="P46" s="935"/>
      <c r="Q46" s="935"/>
      <c r="R46" s="935"/>
      <c r="S46" s="935"/>
      <c r="T46" s="935"/>
      <c r="U46" s="935"/>
      <c r="V46" s="935"/>
      <c r="W46" s="935"/>
      <c r="X46" s="935"/>
      <c r="Y46" s="935"/>
      <c r="Z46" s="935"/>
      <c r="AA46" s="935"/>
      <c r="AB46" s="935"/>
      <c r="AC46" s="935"/>
      <c r="AD46" s="935"/>
      <c r="AE46" s="935"/>
      <c r="AF46" s="935"/>
      <c r="AG46" s="935"/>
      <c r="AH46" s="935"/>
      <c r="AI46" s="935"/>
      <c r="AJ46" s="935"/>
      <c r="AK46" s="935"/>
      <c r="AL46" s="935"/>
      <c r="AM46" s="935"/>
      <c r="AN46" s="935"/>
      <c r="AO46" s="935"/>
      <c r="AP46" s="935"/>
      <c r="AQ46" s="935"/>
      <c r="AR46" s="935"/>
      <c r="AS46" s="935"/>
      <c r="AT46" s="935"/>
      <c r="AU46" s="935"/>
      <c r="AV46" s="935"/>
      <c r="AW46" s="935"/>
      <c r="AX46" s="935"/>
      <c r="AY46" s="935"/>
      <c r="AZ46" s="935"/>
      <c r="BA46" s="935"/>
      <c r="BB46" s="935"/>
      <c r="BC46" s="935"/>
      <c r="BD46" s="935"/>
      <c r="BE46" s="935"/>
      <c r="BF46" s="935"/>
      <c r="BG46" s="935"/>
      <c r="BH46" s="935"/>
      <c r="BI46" s="935"/>
      <c r="BJ46" s="935"/>
      <c r="BK46" s="935"/>
      <c r="BL46" s="935"/>
      <c r="BM46" s="935"/>
      <c r="BN46" s="935"/>
      <c r="BO46" s="935"/>
      <c r="BP46" s="935"/>
      <c r="BQ46" s="935"/>
      <c r="BR46" s="935"/>
      <c r="BS46" s="935"/>
      <c r="BT46" s="935"/>
    </row>
    <row r="47" spans="1:72" x14ac:dyDescent="0.25">
      <c r="A47" s="940" t="s">
        <v>312</v>
      </c>
      <c r="B47" s="948" t="s">
        <v>584</v>
      </c>
      <c r="C47" s="944"/>
      <c r="D47" s="944"/>
      <c r="E47" s="944">
        <v>24.686324737923844</v>
      </c>
      <c r="F47" s="944">
        <v>23.090083577893328</v>
      </c>
      <c r="G47" s="944">
        <v>23.196746158381607</v>
      </c>
      <c r="H47" s="944">
        <v>23.268531873857007</v>
      </c>
      <c r="I47" s="944">
        <v>23.201243175360347</v>
      </c>
      <c r="J47" s="1656"/>
      <c r="K47" s="1657"/>
      <c r="L47" s="935"/>
      <c r="M47" s="935"/>
      <c r="N47" s="935"/>
      <c r="O47" s="935"/>
      <c r="P47" s="935"/>
      <c r="Q47" s="935"/>
      <c r="R47" s="935"/>
      <c r="S47" s="935"/>
      <c r="T47" s="935"/>
      <c r="U47" s="935"/>
      <c r="V47" s="935"/>
      <c r="W47" s="935"/>
      <c r="X47" s="935"/>
      <c r="Y47" s="935"/>
      <c r="Z47" s="935"/>
      <c r="AA47" s="935"/>
      <c r="AB47" s="935"/>
      <c r="AC47" s="935"/>
      <c r="AD47" s="935"/>
      <c r="AE47" s="935"/>
      <c r="AF47" s="935"/>
      <c r="AG47" s="935"/>
      <c r="AH47" s="935"/>
      <c r="AI47" s="935"/>
      <c r="AJ47" s="935"/>
      <c r="AK47" s="935"/>
      <c r="AL47" s="935"/>
      <c r="AM47" s="935"/>
      <c r="AN47" s="935"/>
      <c r="AO47" s="935"/>
      <c r="AP47" s="935"/>
      <c r="AQ47" s="935"/>
      <c r="AR47" s="935"/>
      <c r="AS47" s="935"/>
      <c r="AT47" s="935"/>
      <c r="AU47" s="935"/>
      <c r="AV47" s="935"/>
      <c r="AW47" s="935"/>
      <c r="AX47" s="935"/>
      <c r="AY47" s="935"/>
      <c r="AZ47" s="935"/>
      <c r="BA47" s="935"/>
      <c r="BB47" s="935"/>
      <c r="BC47" s="935"/>
      <c r="BD47" s="935"/>
      <c r="BE47" s="935"/>
      <c r="BF47" s="935"/>
      <c r="BG47" s="935"/>
      <c r="BH47" s="935"/>
      <c r="BI47" s="935"/>
      <c r="BJ47" s="935"/>
      <c r="BK47" s="935"/>
      <c r="BL47" s="935"/>
      <c r="BM47" s="935"/>
      <c r="BN47" s="935"/>
      <c r="BO47" s="935"/>
      <c r="BP47" s="935"/>
      <c r="BQ47" s="935"/>
      <c r="BR47" s="935"/>
      <c r="BS47" s="935"/>
      <c r="BT47" s="935"/>
    </row>
    <row r="48" spans="1:72" ht="37.5" x14ac:dyDescent="0.25">
      <c r="A48" s="956" t="s">
        <v>770</v>
      </c>
      <c r="B48" s="947" t="s">
        <v>579</v>
      </c>
      <c r="C48" s="942"/>
      <c r="D48" s="942"/>
      <c r="E48" s="942">
        <v>10</v>
      </c>
      <c r="F48" s="942">
        <v>10</v>
      </c>
      <c r="G48" s="942">
        <v>10</v>
      </c>
      <c r="H48" s="942">
        <v>10</v>
      </c>
      <c r="I48" s="942"/>
      <c r="J48" s="1656"/>
      <c r="K48" s="1657"/>
      <c r="L48" s="935"/>
      <c r="M48" s="935"/>
      <c r="N48" s="935"/>
      <c r="O48" s="935"/>
      <c r="P48" s="935"/>
      <c r="Q48" s="935"/>
      <c r="R48" s="935"/>
      <c r="S48" s="935"/>
      <c r="T48" s="935"/>
      <c r="U48" s="935"/>
      <c r="V48" s="935"/>
      <c r="W48" s="935"/>
      <c r="X48" s="935"/>
      <c r="Y48" s="935"/>
      <c r="Z48" s="935"/>
      <c r="AA48" s="935"/>
      <c r="AB48" s="935"/>
      <c r="AC48" s="935"/>
      <c r="AD48" s="935"/>
      <c r="AE48" s="935"/>
      <c r="AF48" s="935"/>
      <c r="AG48" s="935"/>
      <c r="AH48" s="935"/>
      <c r="AI48" s="935"/>
      <c r="AJ48" s="935"/>
      <c r="AK48" s="935"/>
      <c r="AL48" s="935"/>
      <c r="AM48" s="935"/>
      <c r="AN48" s="935"/>
      <c r="AO48" s="935"/>
      <c r="AP48" s="935"/>
      <c r="AQ48" s="935"/>
      <c r="AR48" s="935"/>
      <c r="AS48" s="935"/>
      <c r="AT48" s="935"/>
      <c r="AU48" s="935"/>
      <c r="AV48" s="935"/>
      <c r="AW48" s="935"/>
      <c r="AX48" s="935"/>
      <c r="AY48" s="935"/>
      <c r="AZ48" s="935"/>
      <c r="BA48" s="935"/>
      <c r="BB48" s="935"/>
      <c r="BC48" s="935"/>
      <c r="BD48" s="935"/>
      <c r="BE48" s="935"/>
      <c r="BF48" s="935"/>
      <c r="BG48" s="935"/>
      <c r="BH48" s="935"/>
      <c r="BI48" s="935"/>
      <c r="BJ48" s="935"/>
      <c r="BK48" s="935"/>
      <c r="BL48" s="935"/>
      <c r="BM48" s="935"/>
      <c r="BN48" s="935"/>
      <c r="BO48" s="935"/>
      <c r="BP48" s="935"/>
      <c r="BQ48" s="935"/>
      <c r="BR48" s="935"/>
      <c r="BS48" s="935"/>
      <c r="BT48" s="935"/>
    </row>
    <row r="49" spans="1:72" x14ac:dyDescent="0.25">
      <c r="B49" s="955" t="s">
        <v>769</v>
      </c>
      <c r="C49" s="953"/>
      <c r="D49" s="953"/>
      <c r="E49" s="953">
        <f>E48*$B$61</f>
        <v>0.65713983050847458</v>
      </c>
      <c r="F49" s="953">
        <f>F48*$B$61</f>
        <v>0.65713983050847458</v>
      </c>
      <c r="G49" s="953">
        <f>G48*$B$61</f>
        <v>0.65713983050847458</v>
      </c>
      <c r="H49" s="953">
        <f>H48*$B$61</f>
        <v>0.65713983050847458</v>
      </c>
      <c r="I49" s="953"/>
      <c r="J49" s="953"/>
      <c r="K49" s="954"/>
      <c r="L49" s="935"/>
      <c r="M49" s="935"/>
      <c r="N49" s="935"/>
      <c r="O49" s="935"/>
      <c r="P49" s="935"/>
      <c r="Q49" s="935"/>
      <c r="R49" s="935"/>
      <c r="S49" s="935"/>
      <c r="T49" s="935"/>
      <c r="U49" s="935"/>
      <c r="V49" s="935"/>
      <c r="W49" s="935"/>
      <c r="X49" s="935"/>
      <c r="Y49" s="935"/>
      <c r="Z49" s="935"/>
      <c r="AA49" s="935"/>
      <c r="AB49" s="935"/>
      <c r="AC49" s="935"/>
      <c r="AD49" s="935"/>
      <c r="AE49" s="935"/>
      <c r="AF49" s="935"/>
      <c r="AG49" s="935"/>
      <c r="AH49" s="935"/>
      <c r="AI49" s="935"/>
      <c r="AJ49" s="935"/>
      <c r="AK49" s="935"/>
      <c r="AL49" s="935"/>
      <c r="AM49" s="935"/>
      <c r="AN49" s="935"/>
      <c r="AO49" s="935"/>
      <c r="AP49" s="935"/>
      <c r="AQ49" s="935"/>
      <c r="AR49" s="935"/>
      <c r="AS49" s="935"/>
      <c r="AT49" s="935"/>
      <c r="AU49" s="935"/>
      <c r="AV49" s="935"/>
      <c r="AW49" s="935"/>
      <c r="AX49" s="935"/>
      <c r="AY49" s="935"/>
      <c r="AZ49" s="935"/>
      <c r="BA49" s="935"/>
      <c r="BB49" s="935"/>
      <c r="BC49" s="935"/>
      <c r="BD49" s="935"/>
      <c r="BE49" s="935"/>
      <c r="BF49" s="935"/>
      <c r="BG49" s="935"/>
      <c r="BH49" s="935"/>
      <c r="BI49" s="935"/>
      <c r="BJ49" s="935"/>
      <c r="BK49" s="935"/>
      <c r="BL49" s="935"/>
      <c r="BM49" s="935"/>
      <c r="BN49" s="935"/>
      <c r="BO49" s="935"/>
      <c r="BP49" s="935"/>
      <c r="BQ49" s="935"/>
      <c r="BR49" s="935"/>
      <c r="BS49" s="935"/>
      <c r="BT49" s="935"/>
    </row>
    <row r="50" spans="1:72" x14ac:dyDescent="0.25">
      <c r="A50" s="956" t="s">
        <v>771</v>
      </c>
      <c r="B50" s="957" t="s">
        <v>584</v>
      </c>
      <c r="C50" s="942"/>
      <c r="D50" s="942"/>
      <c r="E50" s="942">
        <f>E49+E46</f>
        <v>4.5838684338682461</v>
      </c>
      <c r="F50" s="942">
        <f>F49+F46</f>
        <v>4.0597161215687381</v>
      </c>
      <c r="G50" s="942">
        <f>G49+G46</f>
        <v>4.3790043270590964</v>
      </c>
      <c r="H50" s="942">
        <f>H49+H46</f>
        <v>4.6963604808104407</v>
      </c>
      <c r="I50" s="942"/>
      <c r="J50" s="953"/>
      <c r="K50" s="954"/>
      <c r="L50" s="935"/>
      <c r="M50" s="935"/>
      <c r="N50" s="935"/>
      <c r="O50" s="935"/>
      <c r="P50" s="935"/>
      <c r="Q50" s="935"/>
      <c r="R50" s="935"/>
      <c r="S50" s="935"/>
      <c r="T50" s="935"/>
      <c r="U50" s="935"/>
      <c r="V50" s="935"/>
      <c r="W50" s="935"/>
      <c r="X50" s="935"/>
      <c r="Y50" s="935"/>
      <c r="Z50" s="935"/>
      <c r="AA50" s="935"/>
      <c r="AB50" s="935"/>
      <c r="AC50" s="935"/>
      <c r="AD50" s="935"/>
      <c r="AE50" s="935"/>
      <c r="AF50" s="935"/>
      <c r="AG50" s="935"/>
      <c r="AH50" s="935"/>
      <c r="AI50" s="935"/>
      <c r="AJ50" s="935"/>
      <c r="AK50" s="935"/>
      <c r="AL50" s="935"/>
      <c r="AM50" s="935"/>
      <c r="AN50" s="935"/>
      <c r="AO50" s="935"/>
      <c r="AP50" s="935"/>
      <c r="AQ50" s="935"/>
      <c r="AR50" s="935"/>
      <c r="AS50" s="935"/>
      <c r="AT50" s="935"/>
      <c r="AU50" s="935"/>
      <c r="AV50" s="935"/>
      <c r="AW50" s="935"/>
      <c r="AX50" s="935"/>
      <c r="AY50" s="935"/>
      <c r="AZ50" s="935"/>
      <c r="BA50" s="935"/>
      <c r="BB50" s="935"/>
      <c r="BC50" s="935"/>
      <c r="BD50" s="935"/>
      <c r="BE50" s="935"/>
      <c r="BF50" s="935"/>
      <c r="BG50" s="935"/>
      <c r="BH50" s="935"/>
      <c r="BI50" s="935"/>
      <c r="BJ50" s="935"/>
      <c r="BK50" s="935"/>
      <c r="BL50" s="935"/>
      <c r="BM50" s="935"/>
      <c r="BN50" s="935"/>
      <c r="BO50" s="935"/>
      <c r="BP50" s="935"/>
      <c r="BQ50" s="935"/>
      <c r="BR50" s="935"/>
      <c r="BS50" s="935"/>
      <c r="BT50" s="935"/>
    </row>
    <row r="51" spans="1:72" x14ac:dyDescent="0.25">
      <c r="B51" s="955"/>
      <c r="C51" s="953"/>
      <c r="D51" s="953"/>
      <c r="E51" s="953"/>
      <c r="F51" s="953"/>
      <c r="G51" s="953"/>
      <c r="H51" s="953"/>
      <c r="I51" s="953"/>
      <c r="J51" s="953"/>
      <c r="K51" s="954"/>
      <c r="L51" s="935"/>
      <c r="M51" s="935"/>
      <c r="N51" s="935"/>
      <c r="O51" s="935"/>
      <c r="P51" s="935"/>
      <c r="Q51" s="935"/>
      <c r="R51" s="935"/>
      <c r="S51" s="935"/>
      <c r="T51" s="935"/>
      <c r="U51" s="935"/>
      <c r="V51" s="935"/>
      <c r="W51" s="935"/>
      <c r="X51" s="935"/>
      <c r="Y51" s="935"/>
      <c r="Z51" s="935"/>
      <c r="AA51" s="935"/>
      <c r="AB51" s="935"/>
      <c r="AC51" s="935"/>
      <c r="AD51" s="935"/>
      <c r="AE51" s="935"/>
      <c r="AF51" s="935"/>
      <c r="AG51" s="935"/>
      <c r="AH51" s="935"/>
      <c r="AI51" s="935"/>
      <c r="AJ51" s="935"/>
      <c r="AK51" s="935"/>
      <c r="AL51" s="935"/>
      <c r="AM51" s="935"/>
      <c r="AN51" s="935"/>
      <c r="AO51" s="935"/>
      <c r="AP51" s="935"/>
      <c r="AQ51" s="935"/>
      <c r="AR51" s="935"/>
      <c r="AS51" s="935"/>
      <c r="AT51" s="935"/>
      <c r="AU51" s="935"/>
      <c r="AV51" s="935"/>
      <c r="AW51" s="935"/>
      <c r="AX51" s="935"/>
      <c r="AY51" s="935"/>
      <c r="AZ51" s="935"/>
      <c r="BA51" s="935"/>
      <c r="BB51" s="935"/>
      <c r="BC51" s="935"/>
      <c r="BD51" s="935"/>
      <c r="BE51" s="935"/>
      <c r="BF51" s="935"/>
      <c r="BG51" s="935"/>
      <c r="BH51" s="935"/>
      <c r="BI51" s="935"/>
      <c r="BJ51" s="935"/>
      <c r="BK51" s="935"/>
      <c r="BL51" s="935"/>
      <c r="BM51" s="935"/>
      <c r="BN51" s="935"/>
      <c r="BO51" s="935"/>
      <c r="BP51" s="935"/>
      <c r="BQ51" s="935"/>
      <c r="BR51" s="935"/>
      <c r="BS51" s="935"/>
      <c r="BT51" s="935"/>
    </row>
    <row r="52" spans="1:72" x14ac:dyDescent="0.25">
      <c r="A52" s="952" t="s">
        <v>762</v>
      </c>
      <c r="B52" s="953"/>
      <c r="C52" s="953"/>
      <c r="D52" s="953"/>
      <c r="E52" s="953"/>
      <c r="F52" s="953"/>
      <c r="G52" s="953"/>
      <c r="H52" s="953"/>
      <c r="I52" s="953"/>
      <c r="J52" s="953"/>
      <c r="K52" s="954"/>
      <c r="L52" s="935"/>
      <c r="M52" s="935"/>
      <c r="N52" s="935"/>
      <c r="O52" s="935"/>
      <c r="P52" s="935"/>
      <c r="Q52" s="935"/>
      <c r="R52" s="935"/>
      <c r="S52" s="935"/>
      <c r="T52" s="935"/>
      <c r="U52" s="935"/>
      <c r="V52" s="935"/>
      <c r="W52" s="935"/>
      <c r="X52" s="935"/>
      <c r="Y52" s="935"/>
      <c r="Z52" s="935"/>
      <c r="AA52" s="935"/>
      <c r="AB52" s="935"/>
      <c r="AC52" s="935"/>
      <c r="AD52" s="935"/>
      <c r="AE52" s="935"/>
      <c r="AF52" s="935"/>
      <c r="AG52" s="935"/>
      <c r="AH52" s="935"/>
      <c r="AI52" s="935"/>
      <c r="AJ52" s="935"/>
      <c r="AK52" s="935"/>
      <c r="AL52" s="935"/>
      <c r="AM52" s="935"/>
      <c r="AN52" s="935"/>
      <c r="AO52" s="935"/>
      <c r="AP52" s="935"/>
      <c r="AQ52" s="935"/>
      <c r="AR52" s="935"/>
      <c r="AS52" s="935"/>
      <c r="AT52" s="935"/>
      <c r="AU52" s="935"/>
      <c r="AV52" s="935"/>
      <c r="AW52" s="935"/>
      <c r="AX52" s="935"/>
      <c r="AY52" s="935"/>
      <c r="AZ52" s="935"/>
      <c r="BA52" s="935"/>
      <c r="BB52" s="935"/>
      <c r="BC52" s="935"/>
      <c r="BD52" s="935"/>
      <c r="BE52" s="935"/>
      <c r="BF52" s="935"/>
      <c r="BG52" s="935"/>
      <c r="BH52" s="935"/>
      <c r="BI52" s="935"/>
      <c r="BJ52" s="935"/>
      <c r="BK52" s="935"/>
      <c r="BL52" s="935"/>
      <c r="BM52" s="935"/>
      <c r="BN52" s="935"/>
      <c r="BO52" s="935"/>
      <c r="BP52" s="935"/>
      <c r="BQ52" s="935"/>
      <c r="BR52" s="935"/>
      <c r="BS52" s="935"/>
      <c r="BT52" s="935"/>
    </row>
    <row r="53" spans="1:72" x14ac:dyDescent="0.25">
      <c r="A53" s="1658" t="s">
        <v>763</v>
      </c>
      <c r="B53" s="1641"/>
      <c r="C53" s="1641"/>
      <c r="D53" s="1641"/>
      <c r="E53" s="1641"/>
      <c r="F53" s="1641"/>
      <c r="G53" s="1641"/>
      <c r="H53" s="1641"/>
      <c r="I53" s="1641"/>
      <c r="J53" s="1641"/>
      <c r="K53" s="1659"/>
      <c r="L53" s="935"/>
      <c r="M53" s="935"/>
      <c r="N53" s="935"/>
      <c r="O53" s="935"/>
      <c r="P53" s="935"/>
      <c r="Q53" s="935"/>
      <c r="R53" s="935"/>
      <c r="S53" s="935"/>
      <c r="T53" s="935"/>
      <c r="U53" s="935"/>
      <c r="V53" s="935"/>
      <c r="W53" s="935"/>
      <c r="X53" s="935"/>
      <c r="Y53" s="935"/>
      <c r="Z53" s="935"/>
      <c r="AA53" s="935"/>
      <c r="AB53" s="935"/>
      <c r="AC53" s="935"/>
      <c r="AD53" s="935"/>
      <c r="AE53" s="935"/>
      <c r="AF53" s="935"/>
      <c r="AG53" s="935"/>
      <c r="AH53" s="935"/>
      <c r="AI53" s="935"/>
      <c r="AJ53" s="935"/>
      <c r="AK53" s="935"/>
      <c r="AL53" s="935"/>
      <c r="AM53" s="935"/>
      <c r="AN53" s="935"/>
      <c r="AO53" s="935"/>
      <c r="AP53" s="935"/>
      <c r="AQ53" s="935"/>
      <c r="AR53" s="935"/>
      <c r="AS53" s="935"/>
      <c r="AT53" s="935"/>
      <c r="AU53" s="935"/>
      <c r="AV53" s="935"/>
      <c r="AW53" s="935"/>
      <c r="AX53" s="935"/>
      <c r="AY53" s="935"/>
      <c r="AZ53" s="935"/>
      <c r="BA53" s="935"/>
      <c r="BB53" s="935"/>
      <c r="BC53" s="935"/>
      <c r="BD53" s="935"/>
      <c r="BE53" s="935"/>
      <c r="BF53" s="935"/>
      <c r="BG53" s="935"/>
      <c r="BH53" s="935"/>
      <c r="BI53" s="935"/>
      <c r="BJ53" s="935"/>
      <c r="BK53" s="935"/>
      <c r="BL53" s="935"/>
      <c r="BM53" s="935"/>
      <c r="BN53" s="935"/>
      <c r="BO53" s="935"/>
      <c r="BP53" s="935"/>
      <c r="BQ53" s="935"/>
      <c r="BR53" s="935"/>
      <c r="BS53" s="935"/>
      <c r="BT53" s="935"/>
    </row>
    <row r="54" spans="1:72" x14ac:dyDescent="0.25">
      <c r="A54" s="1660" t="s">
        <v>320</v>
      </c>
      <c r="B54" s="1661"/>
      <c r="C54" s="1661"/>
      <c r="D54" s="1661"/>
      <c r="E54" s="1661"/>
      <c r="F54" s="1661"/>
      <c r="G54" s="1661"/>
      <c r="H54" s="1661"/>
      <c r="I54" s="1661"/>
      <c r="J54" s="1661"/>
      <c r="K54" s="1662"/>
      <c r="L54" s="935"/>
      <c r="M54" s="935"/>
      <c r="N54" s="935"/>
      <c r="O54" s="935"/>
      <c r="P54" s="935"/>
      <c r="Q54" s="935"/>
      <c r="R54" s="935"/>
      <c r="S54" s="935"/>
      <c r="T54" s="935"/>
      <c r="U54" s="935"/>
      <c r="V54" s="935"/>
      <c r="W54" s="935"/>
      <c r="X54" s="935"/>
      <c r="Y54" s="935"/>
      <c r="Z54" s="935"/>
      <c r="AA54" s="935"/>
      <c r="AB54" s="935"/>
      <c r="AC54" s="935"/>
      <c r="AD54" s="935"/>
      <c r="AE54" s="935"/>
      <c r="AF54" s="935"/>
      <c r="AG54" s="935"/>
      <c r="AH54" s="935"/>
      <c r="AI54" s="935"/>
      <c r="AJ54" s="935"/>
      <c r="AK54" s="935"/>
      <c r="AL54" s="935"/>
      <c r="AM54" s="935"/>
      <c r="AN54" s="935"/>
      <c r="AO54" s="935"/>
      <c r="AP54" s="935"/>
      <c r="AQ54" s="935"/>
      <c r="AR54" s="935"/>
      <c r="AS54" s="935"/>
      <c r="AT54" s="935"/>
      <c r="AU54" s="935"/>
      <c r="AV54" s="935"/>
      <c r="AW54" s="935"/>
      <c r="AX54" s="935"/>
      <c r="AY54" s="935"/>
      <c r="AZ54" s="935"/>
      <c r="BA54" s="935"/>
      <c r="BB54" s="935"/>
      <c r="BC54" s="935"/>
      <c r="BD54" s="935"/>
      <c r="BE54" s="935"/>
      <c r="BF54" s="935"/>
      <c r="BG54" s="935"/>
      <c r="BH54" s="935"/>
      <c r="BI54" s="935"/>
      <c r="BJ54" s="935"/>
      <c r="BK54" s="935"/>
      <c r="BL54" s="935"/>
      <c r="BM54" s="935"/>
      <c r="BN54" s="935"/>
      <c r="BO54" s="935"/>
      <c r="BP54" s="935"/>
      <c r="BQ54" s="935"/>
      <c r="BR54" s="935"/>
      <c r="BS54" s="935"/>
      <c r="BT54" s="935"/>
    </row>
    <row r="55" spans="1:72" x14ac:dyDescent="0.25">
      <c r="A55" s="1660"/>
      <c r="B55" s="1661"/>
      <c r="C55" s="1661"/>
      <c r="D55" s="1661"/>
      <c r="E55" s="1661"/>
      <c r="F55" s="1661"/>
      <c r="G55" s="1661"/>
      <c r="H55" s="1661"/>
      <c r="I55" s="1661"/>
      <c r="J55" s="1661"/>
      <c r="K55" s="1662"/>
      <c r="L55" s="935"/>
      <c r="M55" s="935"/>
      <c r="N55" s="935"/>
      <c r="O55" s="935"/>
      <c r="P55" s="935"/>
      <c r="Q55" s="935"/>
      <c r="R55" s="935"/>
      <c r="S55" s="935"/>
      <c r="T55" s="935"/>
      <c r="U55" s="935"/>
      <c r="V55" s="935"/>
      <c r="W55" s="935"/>
      <c r="X55" s="935"/>
      <c r="Y55" s="935"/>
      <c r="Z55" s="935"/>
      <c r="AA55" s="935"/>
      <c r="AB55" s="935"/>
      <c r="AC55" s="935"/>
      <c r="AD55" s="935"/>
      <c r="AE55" s="935"/>
      <c r="AF55" s="935"/>
      <c r="AG55" s="935"/>
      <c r="AH55" s="935"/>
      <c r="AI55" s="935"/>
      <c r="AJ55" s="935"/>
      <c r="AK55" s="935"/>
      <c r="AL55" s="935"/>
      <c r="AM55" s="935"/>
      <c r="AN55" s="935"/>
      <c r="AO55" s="935"/>
      <c r="AP55" s="935"/>
      <c r="AQ55" s="935"/>
      <c r="AR55" s="935"/>
      <c r="AS55" s="935"/>
      <c r="AT55" s="935"/>
      <c r="AU55" s="935"/>
      <c r="AV55" s="935"/>
      <c r="AW55" s="935"/>
      <c r="AX55" s="935"/>
      <c r="AY55" s="935"/>
      <c r="AZ55" s="935"/>
      <c r="BA55" s="935"/>
      <c r="BB55" s="935"/>
      <c r="BC55" s="935"/>
      <c r="BD55" s="935"/>
      <c r="BE55" s="935"/>
      <c r="BF55" s="935"/>
      <c r="BG55" s="935"/>
      <c r="BH55" s="935"/>
      <c r="BI55" s="935"/>
      <c r="BJ55" s="935"/>
      <c r="BK55" s="935"/>
      <c r="BL55" s="935"/>
      <c r="BM55" s="935"/>
      <c r="BN55" s="935"/>
      <c r="BO55" s="935"/>
      <c r="BP55" s="935"/>
      <c r="BQ55" s="935"/>
      <c r="BR55" s="935"/>
      <c r="BS55" s="935"/>
      <c r="BT55" s="935"/>
    </row>
    <row r="56" spans="1:72" ht="13" thickBot="1" x14ac:dyDescent="0.3">
      <c r="A56" s="1651" t="s">
        <v>764</v>
      </c>
      <c r="B56" s="1652"/>
      <c r="C56" s="1652"/>
      <c r="D56" s="1652"/>
      <c r="E56" s="1652"/>
      <c r="F56" s="1652"/>
      <c r="G56" s="1652"/>
      <c r="H56" s="1652"/>
      <c r="I56" s="1652"/>
      <c r="J56" s="1652"/>
      <c r="K56" s="1653"/>
      <c r="L56" s="935"/>
      <c r="M56" s="935"/>
      <c r="N56" s="935"/>
      <c r="O56" s="935"/>
      <c r="P56" s="935"/>
      <c r="Q56" s="935"/>
      <c r="R56" s="935"/>
      <c r="S56" s="935"/>
      <c r="T56" s="935"/>
      <c r="U56" s="935"/>
      <c r="V56" s="935"/>
      <c r="W56" s="935"/>
      <c r="X56" s="935"/>
      <c r="Y56" s="935"/>
      <c r="Z56" s="935"/>
      <c r="AA56" s="935"/>
      <c r="AB56" s="935"/>
      <c r="AC56" s="935"/>
      <c r="AD56" s="935"/>
      <c r="AE56" s="935"/>
      <c r="AF56" s="935"/>
      <c r="AG56" s="935"/>
      <c r="AH56" s="935"/>
      <c r="AI56" s="935"/>
      <c r="AJ56" s="935"/>
      <c r="AK56" s="935"/>
      <c r="AL56" s="935"/>
      <c r="AM56" s="935"/>
      <c r="AN56" s="935"/>
      <c r="AO56" s="935"/>
      <c r="AP56" s="935"/>
      <c r="AQ56" s="935"/>
      <c r="AR56" s="935"/>
      <c r="AS56" s="935"/>
      <c r="AT56" s="935"/>
      <c r="AU56" s="935"/>
      <c r="AV56" s="935"/>
      <c r="AW56" s="935"/>
      <c r="AX56" s="935"/>
      <c r="AY56" s="935"/>
      <c r="AZ56" s="935"/>
      <c r="BA56" s="935"/>
      <c r="BB56" s="935"/>
      <c r="BC56" s="935"/>
      <c r="BD56" s="935"/>
      <c r="BE56" s="935"/>
      <c r="BF56" s="935"/>
      <c r="BG56" s="935"/>
      <c r="BH56" s="935"/>
      <c r="BI56" s="935"/>
      <c r="BJ56" s="935"/>
      <c r="BK56" s="935"/>
      <c r="BL56" s="935"/>
      <c r="BM56" s="935"/>
      <c r="BN56" s="935"/>
      <c r="BO56" s="935"/>
      <c r="BP56" s="935"/>
      <c r="BQ56" s="935"/>
      <c r="BR56" s="935"/>
      <c r="BS56" s="935"/>
      <c r="BT56" s="935"/>
    </row>
    <row r="57" spans="1:72" x14ac:dyDescent="0.25">
      <c r="A57" s="951"/>
      <c r="B57" s="951"/>
      <c r="C57" s="951"/>
      <c r="D57" s="951"/>
      <c r="E57" s="951"/>
      <c r="F57" s="951"/>
      <c r="G57" s="951"/>
      <c r="H57" s="951"/>
      <c r="I57" s="951"/>
      <c r="J57" s="951"/>
      <c r="K57" s="951"/>
      <c r="L57" s="935"/>
      <c r="M57" s="935"/>
      <c r="N57" s="935"/>
      <c r="O57" s="935"/>
      <c r="P57" s="935"/>
      <c r="Q57" s="935"/>
      <c r="R57" s="935"/>
      <c r="S57" s="935"/>
      <c r="T57" s="935"/>
      <c r="U57" s="935"/>
      <c r="V57" s="935"/>
      <c r="W57" s="935"/>
      <c r="X57" s="935"/>
      <c r="Y57" s="935"/>
      <c r="Z57" s="935"/>
      <c r="AA57" s="935"/>
      <c r="AB57" s="935"/>
      <c r="AC57" s="935"/>
      <c r="AD57" s="935"/>
      <c r="AE57" s="935"/>
      <c r="AF57" s="935"/>
      <c r="AG57" s="935"/>
      <c r="AH57" s="935"/>
      <c r="AI57" s="935"/>
      <c r="AJ57" s="935"/>
      <c r="AK57" s="935"/>
      <c r="AL57" s="935"/>
      <c r="AM57" s="935"/>
      <c r="AN57" s="935"/>
      <c r="AO57" s="935"/>
      <c r="AP57" s="935"/>
      <c r="AQ57" s="935"/>
      <c r="AR57" s="935"/>
      <c r="AS57" s="935"/>
      <c r="AT57" s="935"/>
      <c r="AU57" s="935"/>
      <c r="AV57" s="935"/>
      <c r="AW57" s="935"/>
      <c r="AX57" s="935"/>
      <c r="AY57" s="935"/>
      <c r="AZ57" s="935"/>
      <c r="BA57" s="935"/>
      <c r="BB57" s="935"/>
      <c r="BC57" s="935"/>
      <c r="BD57" s="935"/>
      <c r="BE57" s="935"/>
      <c r="BF57" s="935"/>
      <c r="BG57" s="935"/>
      <c r="BH57" s="935"/>
      <c r="BI57" s="935"/>
      <c r="BJ57" s="935"/>
      <c r="BK57" s="935"/>
      <c r="BL57" s="935"/>
      <c r="BM57" s="935"/>
      <c r="BN57" s="935"/>
      <c r="BO57" s="935"/>
      <c r="BP57" s="935"/>
      <c r="BQ57" s="935"/>
      <c r="BR57" s="935"/>
      <c r="BS57" s="935"/>
      <c r="BT57" s="935"/>
    </row>
    <row r="58" spans="1:72" x14ac:dyDescent="0.25">
      <c r="A58" s="935" t="s">
        <v>767</v>
      </c>
      <c r="B58" s="935"/>
      <c r="C58" s="935"/>
      <c r="D58" s="935"/>
      <c r="E58" s="935"/>
      <c r="F58" s="935"/>
      <c r="G58" s="935"/>
      <c r="H58" s="935"/>
      <c r="I58" s="935"/>
      <c r="J58" s="935"/>
      <c r="K58" s="935"/>
      <c r="L58" s="935"/>
      <c r="M58" s="935"/>
      <c r="N58" s="935"/>
      <c r="O58" s="935"/>
      <c r="P58" s="935"/>
      <c r="Q58" s="935"/>
      <c r="R58" s="935"/>
      <c r="S58" s="935"/>
      <c r="T58" s="935"/>
      <c r="U58" s="935"/>
      <c r="V58" s="935"/>
      <c r="W58" s="935"/>
      <c r="X58" s="935"/>
      <c r="Y58" s="935"/>
      <c r="Z58" s="935"/>
      <c r="AA58" s="935"/>
      <c r="AB58" s="935"/>
      <c r="AC58" s="935"/>
      <c r="AD58" s="935"/>
      <c r="AE58" s="935"/>
      <c r="AF58" s="935"/>
      <c r="AG58" s="935"/>
      <c r="AH58" s="935"/>
      <c r="AI58" s="935"/>
      <c r="AJ58" s="935"/>
      <c r="AK58" s="935"/>
      <c r="AL58" s="935"/>
      <c r="AM58" s="935"/>
      <c r="AN58" s="935"/>
      <c r="AO58" s="935"/>
      <c r="AP58" s="935"/>
      <c r="AQ58" s="935"/>
      <c r="AR58" s="935"/>
      <c r="AS58" s="935"/>
      <c r="AT58" s="935"/>
      <c r="AU58" s="935"/>
      <c r="AV58" s="935"/>
      <c r="AW58" s="935"/>
      <c r="AX58" s="935"/>
      <c r="AY58" s="935"/>
      <c r="AZ58" s="935"/>
      <c r="BA58" s="935"/>
      <c r="BB58" s="935"/>
      <c r="BC58" s="935"/>
      <c r="BD58" s="935"/>
      <c r="BE58" s="935"/>
      <c r="BF58" s="935"/>
      <c r="BG58" s="935"/>
      <c r="BH58" s="935"/>
      <c r="BI58" s="935"/>
      <c r="BJ58" s="935"/>
      <c r="BK58" s="935"/>
      <c r="BL58" s="935"/>
      <c r="BM58" s="935"/>
      <c r="BN58" s="935"/>
      <c r="BO58" s="935"/>
      <c r="BP58" s="935"/>
      <c r="BQ58" s="935"/>
      <c r="BR58" s="935"/>
      <c r="BS58" s="935"/>
      <c r="BT58" s="935"/>
    </row>
    <row r="59" spans="1:72" x14ac:dyDescent="0.25">
      <c r="A59" s="935" t="s">
        <v>766</v>
      </c>
      <c r="B59" s="935">
        <v>19022</v>
      </c>
      <c r="C59" s="935"/>
      <c r="D59" s="935"/>
      <c r="E59" s="935"/>
      <c r="F59" s="935"/>
      <c r="G59" s="935"/>
      <c r="H59" s="935"/>
      <c r="I59" s="935"/>
      <c r="J59" s="935"/>
      <c r="K59" s="935"/>
      <c r="L59" s="935"/>
      <c r="M59" s="935"/>
      <c r="N59" s="935"/>
      <c r="O59" s="935"/>
      <c r="P59" s="935"/>
      <c r="Q59" s="935"/>
      <c r="R59" s="935"/>
      <c r="S59" s="935"/>
      <c r="T59" s="935"/>
      <c r="U59" s="935"/>
      <c r="V59" s="935"/>
      <c r="W59" s="935"/>
      <c r="X59" s="935"/>
      <c r="Y59" s="935"/>
      <c r="Z59" s="935"/>
      <c r="AA59" s="935"/>
      <c r="AB59" s="935"/>
      <c r="AC59" s="935"/>
      <c r="AD59" s="935"/>
      <c r="AE59" s="935"/>
      <c r="AF59" s="935"/>
      <c r="AG59" s="935"/>
      <c r="AH59" s="935"/>
      <c r="AI59" s="935"/>
      <c r="AJ59" s="935"/>
      <c r="AK59" s="935"/>
      <c r="AL59" s="935"/>
      <c r="AM59" s="935"/>
      <c r="AN59" s="935"/>
      <c r="AO59" s="935"/>
      <c r="AP59" s="935"/>
      <c r="AQ59" s="935"/>
      <c r="AR59" s="935"/>
      <c r="AS59" s="935"/>
      <c r="AT59" s="935"/>
      <c r="AU59" s="935"/>
      <c r="AV59" s="935"/>
      <c r="AW59" s="935"/>
      <c r="AX59" s="935"/>
      <c r="AY59" s="935"/>
      <c r="AZ59" s="935"/>
      <c r="BA59" s="935"/>
      <c r="BB59" s="935"/>
      <c r="BC59" s="935"/>
      <c r="BD59" s="935"/>
      <c r="BE59" s="935"/>
      <c r="BF59" s="935"/>
      <c r="BG59" s="935"/>
      <c r="BH59" s="935"/>
      <c r="BI59" s="935"/>
      <c r="BJ59" s="935"/>
      <c r="BK59" s="935"/>
      <c r="BL59" s="935"/>
      <c r="BM59" s="935"/>
      <c r="BN59" s="935"/>
      <c r="BO59" s="935"/>
      <c r="BP59" s="935"/>
      <c r="BQ59" s="935"/>
      <c r="BR59" s="935"/>
      <c r="BS59" s="935"/>
      <c r="BT59" s="935"/>
    </row>
    <row r="60" spans="1:72" x14ac:dyDescent="0.25">
      <c r="A60" s="935" t="s">
        <v>765</v>
      </c>
      <c r="B60" s="935">
        <v>17700</v>
      </c>
      <c r="C60" s="935"/>
      <c r="D60" s="935"/>
      <c r="E60" s="935"/>
      <c r="F60" s="935"/>
      <c r="G60" s="935"/>
      <c r="H60" s="935"/>
      <c r="I60" s="935"/>
      <c r="J60" s="935"/>
      <c r="K60" s="935"/>
      <c r="L60" s="935"/>
      <c r="M60" s="935"/>
      <c r="N60" s="935"/>
      <c r="O60" s="935"/>
      <c r="P60" s="935"/>
      <c r="Q60" s="935"/>
      <c r="R60" s="935"/>
      <c r="S60" s="935"/>
      <c r="T60" s="935"/>
      <c r="U60" s="935"/>
      <c r="V60" s="935"/>
      <c r="W60" s="935"/>
      <c r="X60" s="935"/>
      <c r="Y60" s="935"/>
      <c r="Z60" s="935"/>
      <c r="AA60" s="935"/>
      <c r="AB60" s="935"/>
      <c r="AC60" s="935"/>
      <c r="AD60" s="935"/>
      <c r="AE60" s="935"/>
      <c r="AF60" s="935"/>
      <c r="AG60" s="935"/>
      <c r="AH60" s="935"/>
      <c r="AI60" s="935"/>
      <c r="AJ60" s="935"/>
      <c r="AK60" s="935"/>
      <c r="AL60" s="935"/>
      <c r="AM60" s="935"/>
      <c r="AN60" s="935"/>
      <c r="AO60" s="935"/>
      <c r="AP60" s="935"/>
      <c r="AQ60" s="935"/>
      <c r="AR60" s="935"/>
      <c r="AS60" s="935"/>
      <c r="AT60" s="935"/>
      <c r="AU60" s="935"/>
      <c r="AV60" s="935"/>
      <c r="AW60" s="935"/>
      <c r="AX60" s="935"/>
      <c r="AY60" s="935"/>
      <c r="AZ60" s="935"/>
      <c r="BA60" s="935"/>
      <c r="BB60" s="935"/>
      <c r="BC60" s="935"/>
      <c r="BD60" s="935"/>
      <c r="BE60" s="935"/>
      <c r="BF60" s="935"/>
      <c r="BG60" s="935"/>
      <c r="BH60" s="935"/>
      <c r="BI60" s="935"/>
      <c r="BJ60" s="935"/>
      <c r="BK60" s="935"/>
      <c r="BL60" s="935"/>
      <c r="BM60" s="935"/>
      <c r="BN60" s="935"/>
      <c r="BO60" s="935"/>
      <c r="BP60" s="935"/>
      <c r="BQ60" s="935"/>
      <c r="BR60" s="935"/>
      <c r="BS60" s="935"/>
      <c r="BT60" s="935"/>
    </row>
    <row r="61" spans="1:72" x14ac:dyDescent="0.25">
      <c r="A61" s="935" t="s">
        <v>768</v>
      </c>
      <c r="B61" s="935">
        <f>2.205/2000/B60*mmBTU_to_GJ*1000000</f>
        <v>6.5713983050847455E-2</v>
      </c>
      <c r="C61" s="935"/>
      <c r="D61" s="935"/>
      <c r="E61" s="935"/>
      <c r="F61" s="935"/>
      <c r="G61" s="935"/>
      <c r="H61" s="935"/>
      <c r="I61" s="935"/>
      <c r="J61" s="935"/>
      <c r="K61" s="935"/>
      <c r="L61" s="935"/>
      <c r="M61" s="935"/>
      <c r="N61" s="935"/>
      <c r="O61" s="935"/>
      <c r="P61" s="935"/>
      <c r="Q61" s="935"/>
      <c r="R61" s="935"/>
      <c r="S61" s="935"/>
      <c r="T61" s="935"/>
      <c r="U61" s="935"/>
      <c r="V61" s="935"/>
      <c r="W61" s="935"/>
      <c r="X61" s="935"/>
      <c r="Y61" s="935"/>
      <c r="Z61" s="935"/>
      <c r="AA61" s="935"/>
      <c r="AB61" s="935"/>
      <c r="AC61" s="935"/>
      <c r="AD61" s="935"/>
      <c r="AE61" s="935"/>
      <c r="AF61" s="935"/>
      <c r="AG61" s="935"/>
      <c r="AH61" s="935"/>
      <c r="AI61" s="935"/>
      <c r="AJ61" s="935"/>
      <c r="AK61" s="935"/>
      <c r="AL61" s="935"/>
      <c r="AM61" s="935"/>
      <c r="AN61" s="935"/>
      <c r="AO61" s="935"/>
      <c r="AP61" s="935"/>
      <c r="AQ61" s="935"/>
      <c r="AR61" s="935"/>
      <c r="AS61" s="935"/>
      <c r="AT61" s="935"/>
      <c r="AU61" s="935"/>
      <c r="AV61" s="935"/>
      <c r="AW61" s="935"/>
      <c r="AX61" s="935"/>
      <c r="AY61" s="935"/>
      <c r="AZ61" s="935"/>
      <c r="BA61" s="935"/>
      <c r="BB61" s="935"/>
      <c r="BC61" s="935"/>
      <c r="BD61" s="935"/>
      <c r="BE61" s="935"/>
      <c r="BF61" s="935"/>
      <c r="BG61" s="935"/>
      <c r="BH61" s="935"/>
      <c r="BI61" s="935"/>
      <c r="BJ61" s="935"/>
      <c r="BK61" s="935"/>
      <c r="BL61" s="935"/>
      <c r="BM61" s="935"/>
      <c r="BN61" s="935"/>
      <c r="BO61" s="935"/>
      <c r="BP61" s="935"/>
      <c r="BQ61" s="935"/>
      <c r="BR61" s="935"/>
      <c r="BS61" s="935"/>
      <c r="BT61" s="935"/>
    </row>
    <row r="62" spans="1:72" x14ac:dyDescent="0.25">
      <c r="A62" s="935"/>
      <c r="B62" s="935"/>
      <c r="C62" s="935"/>
      <c r="D62" s="935"/>
      <c r="E62" s="935"/>
      <c r="F62" s="935"/>
      <c r="G62" s="935"/>
      <c r="H62" s="935"/>
      <c r="I62" s="935"/>
      <c r="J62" s="935"/>
      <c r="K62" s="935"/>
      <c r="L62" s="935"/>
      <c r="M62" s="935"/>
      <c r="N62" s="935"/>
      <c r="O62" s="935"/>
      <c r="P62" s="935"/>
      <c r="Q62" s="935"/>
      <c r="R62" s="935"/>
      <c r="S62" s="935"/>
      <c r="T62" s="935"/>
      <c r="U62" s="935"/>
      <c r="V62" s="935"/>
      <c r="W62" s="935"/>
      <c r="X62" s="935"/>
      <c r="Y62" s="935"/>
      <c r="Z62" s="935"/>
      <c r="AA62" s="935"/>
      <c r="AB62" s="935"/>
      <c r="AC62" s="935"/>
      <c r="AD62" s="935"/>
      <c r="AE62" s="935"/>
      <c r="AF62" s="935"/>
      <c r="AG62" s="935"/>
      <c r="AH62" s="935"/>
      <c r="AI62" s="935"/>
      <c r="AJ62" s="935"/>
      <c r="AK62" s="935"/>
      <c r="AL62" s="935"/>
      <c r="AM62" s="935"/>
      <c r="AN62" s="935"/>
      <c r="AO62" s="935"/>
      <c r="AP62" s="935"/>
      <c r="AQ62" s="935"/>
      <c r="AR62" s="935"/>
      <c r="AS62" s="935"/>
      <c r="AT62" s="935"/>
      <c r="AU62" s="935"/>
      <c r="AV62" s="935"/>
      <c r="AW62" s="935"/>
      <c r="AX62" s="935"/>
      <c r="AY62" s="935"/>
      <c r="AZ62" s="935"/>
      <c r="BA62" s="935"/>
      <c r="BB62" s="935"/>
      <c r="BC62" s="935"/>
      <c r="BD62" s="935"/>
      <c r="BE62" s="935"/>
      <c r="BF62" s="935"/>
      <c r="BG62" s="935"/>
      <c r="BH62" s="935"/>
      <c r="BI62" s="935"/>
      <c r="BJ62" s="935"/>
      <c r="BK62" s="935"/>
      <c r="BL62" s="935"/>
      <c r="BM62" s="935"/>
      <c r="BN62" s="935"/>
      <c r="BO62" s="935"/>
      <c r="BP62" s="935"/>
      <c r="BQ62" s="935"/>
      <c r="BR62" s="935"/>
      <c r="BS62" s="935"/>
      <c r="BT62" s="935"/>
    </row>
    <row r="63" spans="1:72" x14ac:dyDescent="0.25">
      <c r="A63" s="935"/>
      <c r="B63" s="935"/>
      <c r="C63" s="935"/>
      <c r="D63" s="935"/>
      <c r="E63" s="935"/>
      <c r="F63" s="935"/>
      <c r="G63" s="935"/>
      <c r="H63" s="935"/>
      <c r="I63" s="935"/>
      <c r="J63" s="935"/>
      <c r="K63" s="935"/>
      <c r="L63" s="935"/>
      <c r="M63" s="935"/>
      <c r="N63" s="935"/>
      <c r="O63" s="935"/>
      <c r="P63" s="935"/>
      <c r="Q63" s="935"/>
      <c r="R63" s="935"/>
      <c r="S63" s="935"/>
      <c r="T63" s="935"/>
      <c r="U63" s="935"/>
      <c r="V63" s="935"/>
      <c r="W63" s="935"/>
      <c r="X63" s="935"/>
      <c r="Y63" s="935"/>
      <c r="Z63" s="935"/>
      <c r="AA63" s="935"/>
      <c r="AB63" s="935"/>
      <c r="AC63" s="935"/>
      <c r="AD63" s="935"/>
      <c r="AE63" s="935"/>
      <c r="AF63" s="935"/>
      <c r="AG63" s="935"/>
      <c r="AH63" s="935"/>
      <c r="AI63" s="935"/>
      <c r="AJ63" s="935"/>
      <c r="AK63" s="935"/>
      <c r="AL63" s="935"/>
      <c r="AM63" s="935"/>
      <c r="AN63" s="935"/>
      <c r="AO63" s="935"/>
      <c r="AP63" s="935"/>
      <c r="AQ63" s="935"/>
      <c r="AR63" s="935"/>
      <c r="AS63" s="935"/>
      <c r="AT63" s="935"/>
      <c r="AU63" s="935"/>
      <c r="AV63" s="935"/>
      <c r="AW63" s="935"/>
      <c r="AX63" s="935"/>
      <c r="AY63" s="935"/>
      <c r="AZ63" s="935"/>
      <c r="BA63" s="935"/>
      <c r="BB63" s="935"/>
      <c r="BC63" s="935"/>
      <c r="BD63" s="935"/>
      <c r="BE63" s="935"/>
      <c r="BF63" s="935"/>
      <c r="BG63" s="935"/>
      <c r="BH63" s="935"/>
      <c r="BI63" s="935"/>
      <c r="BJ63" s="935"/>
      <c r="BK63" s="935"/>
      <c r="BL63" s="935"/>
      <c r="BM63" s="935"/>
      <c r="BN63" s="935"/>
      <c r="BO63" s="935"/>
      <c r="BP63" s="935"/>
      <c r="BQ63" s="935"/>
      <c r="BR63" s="935"/>
      <c r="BS63" s="935"/>
      <c r="BT63" s="935"/>
    </row>
    <row r="64" spans="1:72" x14ac:dyDescent="0.25">
      <c r="A64" s="935"/>
      <c r="B64" s="935" t="s">
        <v>774</v>
      </c>
      <c r="C64" s="935" t="s">
        <v>775</v>
      </c>
      <c r="D64" s="935"/>
      <c r="E64" s="935"/>
      <c r="F64" s="935"/>
      <c r="G64" s="935"/>
      <c r="H64" s="935"/>
      <c r="I64" s="935"/>
      <c r="J64" s="935"/>
      <c r="K64" s="935"/>
      <c r="L64" s="935"/>
      <c r="M64" s="935"/>
      <c r="N64" s="935"/>
      <c r="O64" s="935"/>
      <c r="P64" s="935"/>
      <c r="Q64" s="935"/>
      <c r="R64" s="935"/>
      <c r="S64" s="935"/>
      <c r="T64" s="935"/>
      <c r="U64" s="935"/>
      <c r="V64" s="935"/>
      <c r="W64" s="935"/>
      <c r="X64" s="935"/>
      <c r="Y64" s="935"/>
      <c r="Z64" s="935"/>
      <c r="AA64" s="935"/>
      <c r="AB64" s="935"/>
      <c r="AC64" s="935"/>
      <c r="AD64" s="935"/>
      <c r="AE64" s="935"/>
      <c r="AF64" s="935"/>
      <c r="AG64" s="935"/>
      <c r="AH64" s="935"/>
      <c r="AI64" s="935"/>
      <c r="AJ64" s="935"/>
      <c r="AK64" s="935"/>
      <c r="AL64" s="935"/>
      <c r="AM64" s="935"/>
      <c r="AN64" s="935"/>
      <c r="AO64" s="935"/>
      <c r="AP64" s="935"/>
      <c r="AQ64" s="935"/>
      <c r="AR64" s="935"/>
      <c r="AS64" s="935"/>
      <c r="AT64" s="935"/>
      <c r="AU64" s="935"/>
      <c r="AV64" s="935"/>
      <c r="AW64" s="935"/>
      <c r="AX64" s="935"/>
      <c r="AY64" s="935"/>
      <c r="AZ64" s="935"/>
      <c r="BA64" s="935"/>
      <c r="BB64" s="935"/>
      <c r="BC64" s="935"/>
      <c r="BD64" s="935"/>
      <c r="BE64" s="935"/>
      <c r="BF64" s="935"/>
      <c r="BG64" s="935"/>
      <c r="BH64" s="935"/>
      <c r="BI64" s="935"/>
      <c r="BJ64" s="935"/>
      <c r="BK64" s="935"/>
      <c r="BL64" s="935"/>
      <c r="BM64" s="935"/>
      <c r="BN64" s="935"/>
      <c r="BO64" s="935"/>
      <c r="BP64" s="935"/>
      <c r="BQ64" s="935"/>
      <c r="BR64" s="935"/>
      <c r="BS64" s="935"/>
      <c r="BT64" s="935"/>
    </row>
    <row r="65" spans="1:72" x14ac:dyDescent="0.25">
      <c r="A65" s="935"/>
      <c r="B65" s="935" t="s">
        <v>776</v>
      </c>
      <c r="C65" s="935" t="s">
        <v>777</v>
      </c>
      <c r="D65" s="935"/>
      <c r="E65" s="935"/>
      <c r="F65" s="935" t="s">
        <v>778</v>
      </c>
      <c r="G65" s="935"/>
      <c r="H65" s="935"/>
      <c r="I65" s="935"/>
      <c r="J65" s="935"/>
      <c r="K65" s="935"/>
      <c r="L65" s="935"/>
      <c r="M65" s="935"/>
      <c r="N65" s="935"/>
      <c r="O65" s="935"/>
      <c r="P65" s="935"/>
      <c r="Q65" s="935"/>
      <c r="R65" s="935"/>
      <c r="S65" s="935"/>
      <c r="T65" s="935"/>
      <c r="U65" s="935"/>
      <c r="V65" s="935"/>
      <c r="W65" s="935"/>
      <c r="X65" s="935"/>
      <c r="Y65" s="935"/>
      <c r="Z65" s="935"/>
      <c r="AA65" s="935"/>
      <c r="AB65" s="935"/>
      <c r="AC65" s="935"/>
      <c r="AD65" s="935"/>
      <c r="AE65" s="935"/>
      <c r="AF65" s="935"/>
      <c r="AG65" s="935"/>
      <c r="AH65" s="935"/>
      <c r="AI65" s="935"/>
      <c r="AJ65" s="935"/>
      <c r="AK65" s="935"/>
      <c r="AL65" s="935"/>
      <c r="AM65" s="935"/>
      <c r="AN65" s="935"/>
      <c r="AO65" s="935"/>
      <c r="AP65" s="935"/>
      <c r="AQ65" s="935"/>
      <c r="AR65" s="935"/>
      <c r="AS65" s="935"/>
      <c r="AT65" s="935"/>
      <c r="AU65" s="935"/>
      <c r="AV65" s="935"/>
      <c r="AW65" s="935"/>
      <c r="AX65" s="935"/>
      <c r="AY65" s="935"/>
      <c r="AZ65" s="935"/>
      <c r="BA65" s="935"/>
      <c r="BB65" s="935"/>
      <c r="BC65" s="935"/>
      <c r="BD65" s="935"/>
      <c r="BE65" s="935"/>
      <c r="BF65" s="935"/>
      <c r="BG65" s="935"/>
      <c r="BH65" s="935"/>
      <c r="BI65" s="935"/>
      <c r="BJ65" s="935"/>
      <c r="BK65" s="935"/>
      <c r="BL65" s="935"/>
      <c r="BM65" s="935"/>
      <c r="BN65" s="935"/>
      <c r="BO65" s="935"/>
      <c r="BP65" s="935"/>
      <c r="BQ65" s="935"/>
      <c r="BR65" s="935"/>
      <c r="BS65" s="935"/>
      <c r="BT65" s="935"/>
    </row>
    <row r="66" spans="1:72" x14ac:dyDescent="0.25">
      <c r="A66" s="935"/>
      <c r="B66" s="935" t="s">
        <v>779</v>
      </c>
      <c r="C66" s="935" t="s">
        <v>780</v>
      </c>
      <c r="D66" s="935"/>
      <c r="E66" s="935"/>
      <c r="F66" s="935"/>
      <c r="G66" s="935"/>
      <c r="H66" s="935"/>
      <c r="I66" s="935"/>
      <c r="J66" s="935"/>
      <c r="K66" s="935"/>
      <c r="L66" s="935"/>
      <c r="M66" s="935"/>
      <c r="N66" s="935"/>
      <c r="O66" s="935"/>
      <c r="P66" s="935"/>
      <c r="Q66" s="935"/>
      <c r="R66" s="935"/>
      <c r="S66" s="935"/>
      <c r="T66" s="935"/>
      <c r="U66" s="935"/>
      <c r="V66" s="935"/>
      <c r="W66" s="935"/>
      <c r="X66" s="935"/>
      <c r="Y66" s="935"/>
      <c r="Z66" s="935"/>
      <c r="AA66" s="935"/>
      <c r="AB66" s="935"/>
      <c r="AC66" s="935"/>
      <c r="AD66" s="935"/>
      <c r="AE66" s="935"/>
      <c r="AF66" s="935"/>
      <c r="AG66" s="935"/>
      <c r="AH66" s="935"/>
      <c r="AI66" s="935"/>
      <c r="AJ66" s="935"/>
      <c r="AK66" s="935"/>
      <c r="AL66" s="935"/>
      <c r="AM66" s="935"/>
      <c r="AN66" s="935"/>
      <c r="AO66" s="935"/>
      <c r="AP66" s="935"/>
      <c r="AQ66" s="935"/>
      <c r="AR66" s="935"/>
      <c r="AS66" s="935"/>
      <c r="AT66" s="935"/>
      <c r="AU66" s="935"/>
      <c r="AV66" s="935"/>
      <c r="AW66" s="935"/>
      <c r="AX66" s="935"/>
      <c r="AY66" s="935"/>
      <c r="AZ66" s="935"/>
      <c r="BA66" s="935"/>
      <c r="BB66" s="935"/>
      <c r="BC66" s="935"/>
      <c r="BD66" s="935"/>
      <c r="BE66" s="935"/>
      <c r="BF66" s="935"/>
      <c r="BG66" s="935"/>
      <c r="BH66" s="935"/>
      <c r="BI66" s="935"/>
      <c r="BJ66" s="935"/>
      <c r="BK66" s="935"/>
      <c r="BL66" s="935"/>
      <c r="BM66" s="935"/>
      <c r="BN66" s="935"/>
      <c r="BO66" s="935"/>
      <c r="BP66" s="935"/>
      <c r="BQ66" s="935"/>
      <c r="BR66" s="935"/>
      <c r="BS66" s="935"/>
      <c r="BT66" s="935"/>
    </row>
    <row r="67" spans="1:72" x14ac:dyDescent="0.25">
      <c r="A67" s="935"/>
      <c r="B67" s="935" t="s">
        <v>781</v>
      </c>
      <c r="C67" s="935"/>
      <c r="D67" s="935" t="s">
        <v>782</v>
      </c>
      <c r="E67" s="935"/>
      <c r="F67" s="935"/>
      <c r="G67" s="935"/>
      <c r="H67" s="935"/>
      <c r="I67" s="935"/>
      <c r="J67" s="935"/>
      <c r="K67" s="935"/>
      <c r="L67" s="935"/>
      <c r="M67" s="935"/>
      <c r="N67" s="935"/>
      <c r="O67" s="935"/>
      <c r="P67" s="935"/>
      <c r="Q67" s="935"/>
      <c r="R67" s="935"/>
      <c r="S67" s="935"/>
      <c r="T67" s="935"/>
      <c r="U67" s="935"/>
      <c r="V67" s="935"/>
      <c r="W67" s="935"/>
      <c r="X67" s="935"/>
      <c r="Y67" s="935"/>
      <c r="Z67" s="935"/>
      <c r="AA67" s="935"/>
      <c r="AB67" s="935"/>
      <c r="AC67" s="935"/>
      <c r="AD67" s="935"/>
      <c r="AE67" s="935"/>
      <c r="AF67" s="935"/>
      <c r="AG67" s="935"/>
      <c r="AH67" s="935"/>
      <c r="AI67" s="935"/>
      <c r="AJ67" s="935"/>
      <c r="AK67" s="935"/>
      <c r="AL67" s="935"/>
      <c r="AM67" s="935"/>
      <c r="AN67" s="935"/>
      <c r="AO67" s="935"/>
      <c r="AP67" s="935"/>
      <c r="AQ67" s="935"/>
      <c r="AR67" s="935"/>
      <c r="AS67" s="935"/>
      <c r="AT67" s="935"/>
      <c r="AU67" s="935"/>
      <c r="AV67" s="935"/>
      <c r="AW67" s="935"/>
      <c r="AX67" s="935"/>
      <c r="AY67" s="935"/>
      <c r="AZ67" s="935"/>
      <c r="BA67" s="935"/>
      <c r="BB67" s="935"/>
      <c r="BC67" s="935"/>
      <c r="BD67" s="935"/>
      <c r="BE67" s="935"/>
      <c r="BF67" s="935"/>
      <c r="BG67" s="935"/>
      <c r="BH67" s="935"/>
      <c r="BI67" s="935"/>
      <c r="BJ67" s="935"/>
      <c r="BK67" s="935"/>
      <c r="BL67" s="935"/>
      <c r="BM67" s="935"/>
      <c r="BN67" s="935"/>
      <c r="BO67" s="935"/>
      <c r="BP67" s="935"/>
      <c r="BQ67" s="935"/>
      <c r="BR67" s="935"/>
      <c r="BS67" s="935"/>
      <c r="BT67" s="935"/>
    </row>
    <row r="68" spans="1:72" x14ac:dyDescent="0.25">
      <c r="A68" s="935"/>
      <c r="B68" s="935"/>
      <c r="C68" s="935"/>
      <c r="D68" s="935"/>
      <c r="E68" s="935"/>
      <c r="F68" s="935"/>
      <c r="G68" s="935"/>
      <c r="H68" s="935"/>
      <c r="I68" s="935"/>
      <c r="J68" s="935"/>
      <c r="K68" s="935"/>
      <c r="L68" s="935"/>
      <c r="M68" s="935"/>
      <c r="N68" s="935"/>
      <c r="O68" s="935"/>
      <c r="P68" s="935"/>
      <c r="Q68" s="935"/>
      <c r="R68" s="935"/>
      <c r="S68" s="935"/>
      <c r="T68" s="935"/>
      <c r="U68" s="935"/>
      <c r="V68" s="935"/>
      <c r="W68" s="935"/>
      <c r="X68" s="935"/>
      <c r="Y68" s="935"/>
      <c r="Z68" s="935"/>
      <c r="AA68" s="935"/>
      <c r="AB68" s="935"/>
      <c r="AC68" s="935"/>
      <c r="AD68" s="935"/>
      <c r="AE68" s="935"/>
      <c r="AF68" s="935"/>
      <c r="AG68" s="935"/>
      <c r="AH68" s="935"/>
      <c r="AI68" s="935"/>
      <c r="AJ68" s="935"/>
      <c r="AK68" s="935"/>
      <c r="AL68" s="935"/>
      <c r="AM68" s="935"/>
      <c r="AN68" s="935"/>
      <c r="AO68" s="935"/>
      <c r="AP68" s="935"/>
      <c r="AQ68" s="935"/>
      <c r="AR68" s="935"/>
      <c r="AS68" s="935"/>
      <c r="AT68" s="935"/>
      <c r="AU68" s="935"/>
      <c r="AV68" s="935"/>
      <c r="AW68" s="935"/>
      <c r="AX68" s="935"/>
      <c r="AY68" s="935"/>
      <c r="AZ68" s="935"/>
      <c r="BA68" s="935"/>
      <c r="BB68" s="935"/>
      <c r="BC68" s="935"/>
      <c r="BD68" s="935"/>
      <c r="BE68" s="935"/>
      <c r="BF68" s="935"/>
      <c r="BG68" s="935"/>
      <c r="BH68" s="935"/>
      <c r="BI68" s="935"/>
      <c r="BJ68" s="935"/>
      <c r="BK68" s="935"/>
      <c r="BL68" s="935"/>
      <c r="BM68" s="935"/>
      <c r="BN68" s="935"/>
      <c r="BO68" s="935"/>
      <c r="BP68" s="935"/>
      <c r="BQ68" s="935"/>
      <c r="BR68" s="935"/>
      <c r="BS68" s="935"/>
      <c r="BT68" s="935"/>
    </row>
    <row r="69" spans="1:72" x14ac:dyDescent="0.25">
      <c r="A69" s="935"/>
      <c r="B69" s="935"/>
      <c r="C69" s="935"/>
      <c r="D69" s="935"/>
      <c r="E69" s="935"/>
      <c r="F69" s="935"/>
      <c r="G69" s="935"/>
      <c r="H69" s="935"/>
      <c r="I69" s="935"/>
      <c r="J69" s="935"/>
      <c r="K69" s="935"/>
      <c r="L69" s="935"/>
      <c r="M69" s="935"/>
      <c r="N69" s="935"/>
      <c r="O69" s="935"/>
      <c r="P69" s="935"/>
      <c r="Q69" s="935"/>
      <c r="R69" s="935"/>
      <c r="S69" s="935"/>
      <c r="T69" s="935"/>
      <c r="U69" s="935"/>
      <c r="V69" s="935"/>
      <c r="W69" s="935"/>
      <c r="X69" s="935"/>
      <c r="Y69" s="935"/>
      <c r="Z69" s="935"/>
      <c r="AA69" s="935"/>
      <c r="AB69" s="935"/>
      <c r="AC69" s="935"/>
      <c r="AD69" s="935"/>
      <c r="AE69" s="935"/>
      <c r="AF69" s="935"/>
      <c r="AG69" s="935"/>
      <c r="AH69" s="935"/>
      <c r="AI69" s="935"/>
      <c r="AJ69" s="935"/>
      <c r="AK69" s="935"/>
      <c r="AL69" s="935"/>
      <c r="AM69" s="935"/>
      <c r="AN69" s="935"/>
      <c r="AO69" s="935"/>
      <c r="AP69" s="935"/>
      <c r="AQ69" s="935"/>
      <c r="AR69" s="935"/>
      <c r="AS69" s="935"/>
      <c r="AT69" s="935"/>
      <c r="AU69" s="935"/>
      <c r="AV69" s="935"/>
      <c r="AW69" s="935"/>
      <c r="AX69" s="935"/>
      <c r="AY69" s="935"/>
      <c r="AZ69" s="935"/>
      <c r="BA69" s="935"/>
      <c r="BB69" s="935"/>
      <c r="BC69" s="935"/>
      <c r="BD69" s="935"/>
      <c r="BE69" s="935"/>
      <c r="BF69" s="935"/>
      <c r="BG69" s="935"/>
      <c r="BH69" s="935"/>
      <c r="BI69" s="935"/>
      <c r="BJ69" s="935"/>
      <c r="BK69" s="935"/>
      <c r="BL69" s="935"/>
      <c r="BM69" s="935"/>
      <c r="BN69" s="935"/>
      <c r="BO69" s="935"/>
      <c r="BP69" s="935"/>
      <c r="BQ69" s="935"/>
      <c r="BR69" s="935"/>
      <c r="BS69" s="935"/>
      <c r="BT69" s="935"/>
    </row>
    <row r="70" spans="1:72" x14ac:dyDescent="0.25">
      <c r="A70" s="935"/>
      <c r="B70" s="935"/>
      <c r="C70" s="935"/>
      <c r="D70" s="935"/>
      <c r="E70" s="935"/>
      <c r="F70" s="935"/>
      <c r="G70" s="935"/>
      <c r="H70" s="935"/>
      <c r="I70" s="935"/>
      <c r="J70" s="935"/>
      <c r="K70" s="935"/>
      <c r="L70" s="935"/>
      <c r="M70" s="935"/>
      <c r="N70" s="935"/>
      <c r="O70" s="935"/>
      <c r="P70" s="935"/>
      <c r="Q70" s="935"/>
      <c r="R70" s="935"/>
      <c r="S70" s="935"/>
      <c r="T70" s="935"/>
      <c r="U70" s="935"/>
      <c r="V70" s="935"/>
      <c r="W70" s="935"/>
      <c r="X70" s="935"/>
      <c r="Y70" s="935"/>
      <c r="Z70" s="935"/>
      <c r="AA70" s="935"/>
      <c r="AB70" s="935"/>
      <c r="AC70" s="935"/>
      <c r="AD70" s="935"/>
      <c r="AE70" s="935"/>
      <c r="AF70" s="935"/>
      <c r="AG70" s="935"/>
      <c r="AH70" s="935"/>
      <c r="AI70" s="935"/>
      <c r="AJ70" s="935"/>
      <c r="AK70" s="935"/>
      <c r="AL70" s="935"/>
      <c r="AM70" s="935"/>
      <c r="AN70" s="935"/>
      <c r="AO70" s="935"/>
      <c r="AP70" s="935"/>
      <c r="AQ70" s="935"/>
      <c r="AR70" s="935"/>
      <c r="AS70" s="935"/>
      <c r="AT70" s="935"/>
      <c r="AU70" s="935"/>
      <c r="AV70" s="935"/>
      <c r="AW70" s="935"/>
      <c r="AX70" s="935"/>
      <c r="AY70" s="935"/>
      <c r="AZ70" s="935"/>
      <c r="BA70" s="935"/>
      <c r="BB70" s="935"/>
      <c r="BC70" s="935"/>
      <c r="BD70" s="935"/>
      <c r="BE70" s="935"/>
      <c r="BF70" s="935"/>
      <c r="BG70" s="935"/>
      <c r="BH70" s="935"/>
      <c r="BI70" s="935"/>
      <c r="BJ70" s="935"/>
      <c r="BK70" s="935"/>
      <c r="BL70" s="935"/>
      <c r="BM70" s="935"/>
      <c r="BN70" s="935"/>
      <c r="BO70" s="935"/>
      <c r="BP70" s="935"/>
      <c r="BQ70" s="935"/>
      <c r="BR70" s="935"/>
      <c r="BS70" s="935"/>
      <c r="BT70" s="935"/>
    </row>
    <row r="71" spans="1:72" x14ac:dyDescent="0.25">
      <c r="A71" s="935"/>
      <c r="B71" s="935"/>
      <c r="C71" s="935"/>
      <c r="D71" s="935"/>
      <c r="E71" s="935"/>
      <c r="F71" s="935"/>
      <c r="G71" s="935"/>
      <c r="H71" s="935"/>
      <c r="I71" s="935"/>
      <c r="J71" s="935"/>
      <c r="K71" s="935"/>
      <c r="L71" s="935"/>
      <c r="M71" s="935"/>
      <c r="N71" s="935"/>
      <c r="O71" s="935"/>
      <c r="P71" s="935"/>
      <c r="Q71" s="935"/>
      <c r="R71" s="935"/>
      <c r="S71" s="935"/>
      <c r="T71" s="935"/>
      <c r="U71" s="935"/>
      <c r="V71" s="935"/>
      <c r="W71" s="935"/>
      <c r="X71" s="935"/>
      <c r="Y71" s="935"/>
      <c r="Z71" s="935"/>
      <c r="AA71" s="935"/>
      <c r="AB71" s="935"/>
      <c r="AC71" s="935"/>
      <c r="AD71" s="935"/>
      <c r="AE71" s="935"/>
      <c r="AF71" s="935"/>
      <c r="AG71" s="935"/>
      <c r="AH71" s="935"/>
      <c r="AI71" s="935"/>
      <c r="AJ71" s="935"/>
      <c r="AK71" s="935"/>
      <c r="AL71" s="935"/>
      <c r="AM71" s="935"/>
      <c r="AN71" s="935"/>
      <c r="AO71" s="935"/>
      <c r="AP71" s="935"/>
      <c r="AQ71" s="935"/>
      <c r="AR71" s="935"/>
      <c r="AS71" s="935"/>
      <c r="AT71" s="935"/>
      <c r="AU71" s="935"/>
      <c r="AV71" s="935"/>
      <c r="AW71" s="935"/>
      <c r="AX71" s="935"/>
      <c r="AY71" s="935"/>
      <c r="AZ71" s="935"/>
      <c r="BA71" s="935"/>
      <c r="BB71" s="935"/>
      <c r="BC71" s="935"/>
      <c r="BD71" s="935"/>
      <c r="BE71" s="935"/>
      <c r="BF71" s="935"/>
      <c r="BG71" s="935"/>
      <c r="BH71" s="935"/>
      <c r="BI71" s="935"/>
      <c r="BJ71" s="935"/>
      <c r="BK71" s="935"/>
      <c r="BL71" s="935"/>
      <c r="BM71" s="935"/>
      <c r="BN71" s="935"/>
      <c r="BO71" s="935"/>
      <c r="BP71" s="935"/>
      <c r="BQ71" s="935"/>
      <c r="BR71" s="935"/>
      <c r="BS71" s="935"/>
      <c r="BT71" s="935"/>
    </row>
    <row r="72" spans="1:72" x14ac:dyDescent="0.25">
      <c r="A72" s="935" t="s">
        <v>783</v>
      </c>
      <c r="B72" s="935"/>
      <c r="C72" s="935"/>
      <c r="D72" s="935"/>
      <c r="E72" s="935"/>
      <c r="F72" s="935"/>
      <c r="G72" s="935"/>
      <c r="H72" s="935"/>
      <c r="I72" s="935"/>
      <c r="J72" s="935"/>
      <c r="K72" s="935"/>
      <c r="L72" s="935"/>
      <c r="M72" s="935"/>
      <c r="N72" s="935"/>
      <c r="O72" s="935"/>
      <c r="P72" s="935"/>
      <c r="Q72" s="935"/>
      <c r="R72" s="935"/>
      <c r="S72" s="935"/>
      <c r="T72" s="935"/>
      <c r="U72" s="935"/>
      <c r="V72" s="935"/>
      <c r="W72" s="935"/>
      <c r="X72" s="935"/>
      <c r="Y72" s="935"/>
      <c r="Z72" s="935"/>
      <c r="AA72" s="935"/>
      <c r="AB72" s="935"/>
      <c r="AC72" s="935"/>
      <c r="AD72" s="935"/>
      <c r="AE72" s="935"/>
      <c r="AF72" s="935"/>
      <c r="AG72" s="935"/>
      <c r="AH72" s="935"/>
      <c r="AI72" s="935"/>
      <c r="AJ72" s="935"/>
      <c r="AK72" s="935"/>
      <c r="AL72" s="935"/>
      <c r="AM72" s="935"/>
      <c r="AN72" s="935"/>
      <c r="AO72" s="935"/>
      <c r="AP72" s="935"/>
      <c r="AQ72" s="935"/>
      <c r="AR72" s="935"/>
      <c r="AS72" s="935"/>
      <c r="AT72" s="935"/>
      <c r="AU72" s="935"/>
      <c r="AV72" s="935"/>
      <c r="AW72" s="935"/>
      <c r="AX72" s="935"/>
      <c r="AY72" s="935"/>
      <c r="AZ72" s="935"/>
      <c r="BA72" s="935"/>
      <c r="BB72" s="935"/>
      <c r="BC72" s="935"/>
      <c r="BD72" s="935"/>
      <c r="BE72" s="935"/>
      <c r="BF72" s="935"/>
      <c r="BG72" s="935"/>
      <c r="BH72" s="935"/>
      <c r="BI72" s="935"/>
      <c r="BJ72" s="935"/>
      <c r="BK72" s="935"/>
      <c r="BL72" s="935"/>
      <c r="BM72" s="935"/>
      <c r="BN72" s="935"/>
      <c r="BO72" s="935"/>
      <c r="BP72" s="935"/>
      <c r="BQ72" s="935"/>
      <c r="BR72" s="935"/>
      <c r="BS72" s="935"/>
      <c r="BT72" s="935"/>
    </row>
    <row r="73" spans="1:72" x14ac:dyDescent="0.25">
      <c r="A73" s="935"/>
      <c r="B73" s="935"/>
      <c r="C73" s="935"/>
      <c r="D73" s="935"/>
      <c r="E73" s="935"/>
      <c r="F73" s="935"/>
      <c r="G73" s="935"/>
      <c r="H73" s="935"/>
      <c r="I73" s="935"/>
      <c r="J73" s="935"/>
      <c r="K73" s="935"/>
      <c r="L73" s="935"/>
      <c r="M73" s="935"/>
      <c r="N73" s="935"/>
      <c r="O73" s="935"/>
      <c r="P73" s="935"/>
      <c r="Q73" s="935"/>
      <c r="R73" s="935"/>
      <c r="S73" s="935"/>
      <c r="T73" s="935"/>
      <c r="U73" s="935"/>
      <c r="V73" s="935"/>
      <c r="W73" s="935"/>
      <c r="X73" s="935"/>
      <c r="Y73" s="935"/>
      <c r="Z73" s="935"/>
      <c r="AA73" s="935"/>
      <c r="AB73" s="935"/>
      <c r="AC73" s="935"/>
      <c r="AD73" s="935"/>
      <c r="AE73" s="935"/>
      <c r="AF73" s="935"/>
      <c r="AG73" s="935"/>
      <c r="AH73" s="935"/>
      <c r="AI73" s="935"/>
      <c r="AJ73" s="935"/>
      <c r="AK73" s="935"/>
      <c r="AL73" s="935"/>
      <c r="AM73" s="935"/>
      <c r="AN73" s="935"/>
      <c r="AO73" s="935"/>
      <c r="AP73" s="935"/>
      <c r="AQ73" s="935"/>
      <c r="AR73" s="935"/>
      <c r="AS73" s="935"/>
      <c r="AT73" s="935"/>
      <c r="AU73" s="935"/>
      <c r="AV73" s="935"/>
      <c r="AW73" s="935"/>
      <c r="AX73" s="935"/>
      <c r="AY73" s="935"/>
      <c r="AZ73" s="935"/>
      <c r="BA73" s="935"/>
      <c r="BB73" s="935"/>
      <c r="BC73" s="935"/>
      <c r="BD73" s="935"/>
      <c r="BE73" s="935"/>
      <c r="BF73" s="935"/>
      <c r="BG73" s="935"/>
      <c r="BH73" s="935"/>
      <c r="BI73" s="935"/>
      <c r="BJ73" s="935"/>
      <c r="BK73" s="935"/>
      <c r="BL73" s="935"/>
      <c r="BM73" s="935"/>
      <c r="BN73" s="935"/>
      <c r="BO73" s="935"/>
      <c r="BP73" s="935"/>
      <c r="BQ73" s="935"/>
      <c r="BR73" s="935"/>
      <c r="BS73" s="935"/>
      <c r="BT73" s="935"/>
    </row>
    <row r="74" spans="1:72" x14ac:dyDescent="0.25">
      <c r="A74" s="935" t="s">
        <v>784</v>
      </c>
      <c r="B74" s="935"/>
      <c r="C74" s="935"/>
      <c r="D74" s="935"/>
      <c r="E74" s="935"/>
      <c r="F74" s="935"/>
      <c r="G74" s="935"/>
      <c r="H74" s="935"/>
      <c r="I74" s="935"/>
      <c r="J74" s="935"/>
      <c r="K74" s="935"/>
      <c r="L74" s="935"/>
      <c r="M74" s="935"/>
      <c r="N74" s="935"/>
      <c r="O74" s="935"/>
      <c r="P74" s="935"/>
      <c r="Q74" s="935"/>
      <c r="R74" s="935"/>
      <c r="S74" s="935"/>
      <c r="T74" s="935"/>
      <c r="U74" s="935"/>
      <c r="V74" s="935"/>
      <c r="W74" s="935"/>
      <c r="X74" s="935"/>
      <c r="Y74" s="935"/>
      <c r="Z74" s="935"/>
      <c r="AA74" s="935"/>
      <c r="AB74" s="935"/>
      <c r="AC74" s="935"/>
      <c r="AD74" s="935"/>
      <c r="AE74" s="935"/>
      <c r="AF74" s="935"/>
      <c r="AG74" s="935"/>
      <c r="AH74" s="935"/>
      <c r="AI74" s="935"/>
      <c r="AJ74" s="935"/>
      <c r="AK74" s="935"/>
      <c r="AL74" s="935"/>
      <c r="AM74" s="935"/>
      <c r="AN74" s="935"/>
      <c r="AO74" s="935"/>
      <c r="AP74" s="935"/>
      <c r="AQ74" s="935"/>
      <c r="AR74" s="935"/>
      <c r="AS74" s="935"/>
      <c r="AT74" s="935"/>
      <c r="AU74" s="935"/>
      <c r="AV74" s="935"/>
      <c r="AW74" s="935"/>
      <c r="AX74" s="935"/>
      <c r="AY74" s="935"/>
      <c r="AZ74" s="935"/>
      <c r="BA74" s="935"/>
      <c r="BB74" s="935"/>
      <c r="BC74" s="935"/>
      <c r="BD74" s="935"/>
      <c r="BE74" s="935"/>
      <c r="BF74" s="935"/>
      <c r="BG74" s="935"/>
      <c r="BH74" s="935"/>
      <c r="BI74" s="935"/>
      <c r="BJ74" s="935"/>
      <c r="BK74" s="935"/>
      <c r="BL74" s="935"/>
      <c r="BM74" s="935"/>
      <c r="BN74" s="935"/>
      <c r="BO74" s="935"/>
      <c r="BP74" s="935"/>
      <c r="BQ74" s="935"/>
      <c r="BR74" s="935"/>
      <c r="BS74" s="935"/>
      <c r="BT74" s="935"/>
    </row>
    <row r="75" spans="1:72" x14ac:dyDescent="0.25">
      <c r="A75" s="935" t="s">
        <v>785</v>
      </c>
      <c r="B75" s="935"/>
      <c r="C75" s="935"/>
      <c r="D75" s="935"/>
      <c r="E75" s="935"/>
      <c r="F75" s="935"/>
      <c r="G75" s="935"/>
      <c r="H75" s="935"/>
      <c r="I75" s="935"/>
      <c r="J75" s="935"/>
      <c r="K75" s="935"/>
      <c r="L75" s="935"/>
      <c r="M75" s="935"/>
      <c r="N75" s="935"/>
      <c r="O75" s="935"/>
      <c r="P75" s="935"/>
      <c r="Q75" s="935"/>
      <c r="R75" s="935"/>
      <c r="S75" s="935"/>
      <c r="T75" s="935"/>
      <c r="U75" s="935"/>
      <c r="V75" s="935"/>
      <c r="W75" s="935"/>
      <c r="X75" s="935"/>
      <c r="Y75" s="935"/>
      <c r="Z75" s="935"/>
      <c r="AA75" s="935"/>
      <c r="AB75" s="935"/>
      <c r="AC75" s="935"/>
      <c r="AD75" s="935"/>
      <c r="AE75" s="935"/>
      <c r="AF75" s="935"/>
      <c r="AG75" s="935"/>
      <c r="AH75" s="935"/>
      <c r="AI75" s="935"/>
      <c r="AJ75" s="935"/>
      <c r="AK75" s="935"/>
      <c r="AL75" s="935"/>
      <c r="AM75" s="935"/>
      <c r="AN75" s="935"/>
      <c r="AO75" s="935"/>
      <c r="AP75" s="935"/>
      <c r="AQ75" s="935"/>
      <c r="AR75" s="935"/>
      <c r="AS75" s="935"/>
      <c r="AT75" s="935"/>
      <c r="AU75" s="935"/>
      <c r="AV75" s="935"/>
      <c r="AW75" s="935"/>
      <c r="AX75" s="935"/>
      <c r="AY75" s="935"/>
      <c r="AZ75" s="935"/>
      <c r="BA75" s="935"/>
      <c r="BB75" s="935"/>
      <c r="BC75" s="935"/>
      <c r="BD75" s="935"/>
      <c r="BE75" s="935"/>
      <c r="BF75" s="935"/>
      <c r="BG75" s="935"/>
      <c r="BH75" s="935"/>
      <c r="BI75" s="935"/>
      <c r="BJ75" s="935"/>
      <c r="BK75" s="935"/>
      <c r="BL75" s="935"/>
      <c r="BM75" s="935"/>
      <c r="BN75" s="935"/>
      <c r="BO75" s="935"/>
      <c r="BP75" s="935"/>
      <c r="BQ75" s="935"/>
      <c r="BR75" s="935"/>
      <c r="BS75" s="935"/>
      <c r="BT75" s="935"/>
    </row>
    <row r="76" spans="1:72" x14ac:dyDescent="0.25">
      <c r="A76" s="935"/>
      <c r="B76" s="935"/>
      <c r="C76" s="935"/>
      <c r="D76" s="935"/>
      <c r="E76" s="935"/>
      <c r="F76" s="935"/>
      <c r="G76" s="935"/>
      <c r="H76" s="935"/>
      <c r="I76" s="935"/>
      <c r="J76" s="935"/>
      <c r="K76" s="935"/>
      <c r="L76" s="935"/>
      <c r="M76" s="935"/>
      <c r="N76" s="935"/>
      <c r="O76" s="935"/>
      <c r="P76" s="935"/>
      <c r="Q76" s="935"/>
      <c r="R76" s="935"/>
      <c r="S76" s="935"/>
      <c r="T76" s="935"/>
      <c r="U76" s="935"/>
      <c r="V76" s="935"/>
      <c r="W76" s="935"/>
      <c r="X76" s="935"/>
      <c r="Y76" s="935"/>
      <c r="Z76" s="935"/>
      <c r="AA76" s="935"/>
      <c r="AB76" s="935"/>
      <c r="AC76" s="935"/>
      <c r="AD76" s="935"/>
      <c r="AE76" s="935" t="s">
        <v>786</v>
      </c>
      <c r="AF76" s="935"/>
      <c r="AG76" s="935"/>
      <c r="AH76" s="935"/>
      <c r="AI76" s="935"/>
      <c r="AJ76" s="935"/>
      <c r="AK76" s="935"/>
      <c r="AL76" s="935"/>
      <c r="AM76" s="935"/>
      <c r="AN76" s="935"/>
      <c r="AO76" s="935"/>
      <c r="AP76" s="935"/>
      <c r="AQ76" s="935"/>
      <c r="AR76" s="935"/>
      <c r="AS76" s="935"/>
      <c r="AT76" s="935"/>
      <c r="AU76" s="935"/>
      <c r="AV76" s="935"/>
      <c r="AW76" s="935"/>
      <c r="AX76" s="935"/>
      <c r="AY76" s="935"/>
      <c r="AZ76" s="935"/>
      <c r="BA76" s="935"/>
      <c r="BB76" s="935"/>
      <c r="BC76" s="935"/>
      <c r="BD76" s="935"/>
      <c r="BE76" s="935"/>
      <c r="BF76" s="935"/>
      <c r="BG76" s="935"/>
      <c r="BH76" s="935"/>
      <c r="BI76" s="935"/>
      <c r="BJ76" s="935"/>
      <c r="BK76" s="935"/>
      <c r="BL76" s="935"/>
      <c r="BM76" s="935"/>
      <c r="BN76" s="935"/>
      <c r="BO76" s="935"/>
      <c r="BP76" s="935"/>
      <c r="BQ76" s="935"/>
      <c r="BR76" s="935"/>
      <c r="BS76" s="935"/>
      <c r="BT76" s="935"/>
    </row>
    <row r="77" spans="1:72" x14ac:dyDescent="0.25">
      <c r="A77" s="935" t="s">
        <v>787</v>
      </c>
      <c r="B77" s="935">
        <v>2007</v>
      </c>
      <c r="C77" s="935">
        <v>2008</v>
      </c>
      <c r="D77" s="935">
        <v>2009</v>
      </c>
      <c r="E77" s="935">
        <v>2010</v>
      </c>
      <c r="F77" s="935">
        <v>2011</v>
      </c>
      <c r="G77" s="935">
        <v>2012</v>
      </c>
      <c r="H77" s="935">
        <v>2013</v>
      </c>
      <c r="I77" s="935">
        <v>2014</v>
      </c>
      <c r="J77" s="935">
        <v>2015</v>
      </c>
      <c r="K77" s="935">
        <v>2016</v>
      </c>
      <c r="L77" s="935">
        <v>2017</v>
      </c>
      <c r="M77" s="935">
        <v>2018</v>
      </c>
      <c r="N77" s="935">
        <v>2019</v>
      </c>
      <c r="O77" s="935">
        <v>2020</v>
      </c>
      <c r="P77" s="935">
        <v>2021</v>
      </c>
      <c r="Q77" s="935">
        <v>2022</v>
      </c>
      <c r="R77" s="935">
        <v>2023</v>
      </c>
      <c r="S77" s="935">
        <v>2024</v>
      </c>
      <c r="T77" s="935">
        <v>2025</v>
      </c>
      <c r="U77" s="935">
        <v>2026</v>
      </c>
      <c r="V77" s="935">
        <v>2027</v>
      </c>
      <c r="W77" s="935">
        <v>2028</v>
      </c>
      <c r="X77" s="935">
        <v>2029</v>
      </c>
      <c r="Y77" s="935">
        <v>2030</v>
      </c>
      <c r="Z77" s="935">
        <v>2031</v>
      </c>
      <c r="AA77" s="935">
        <v>2032</v>
      </c>
      <c r="AB77" s="935">
        <v>2033</v>
      </c>
      <c r="AC77" s="935">
        <v>2034</v>
      </c>
      <c r="AD77" s="935">
        <v>2035</v>
      </c>
      <c r="AE77" s="935">
        <v>2035</v>
      </c>
      <c r="AF77" s="935"/>
      <c r="AG77" s="935"/>
      <c r="AH77" s="935"/>
      <c r="AI77" s="935"/>
      <c r="AJ77" s="935"/>
      <c r="AK77" s="935"/>
      <c r="AL77" s="935"/>
      <c r="AM77" s="935"/>
      <c r="AN77" s="935"/>
      <c r="AO77" s="935"/>
      <c r="AP77" s="935"/>
      <c r="AQ77" s="935"/>
      <c r="AR77" s="935"/>
      <c r="AS77" s="935"/>
      <c r="AT77" s="935"/>
      <c r="AU77" s="935"/>
      <c r="AV77" s="935"/>
      <c r="AW77" s="935"/>
      <c r="AX77" s="935"/>
      <c r="AY77" s="935"/>
      <c r="AZ77" s="935"/>
      <c r="BA77" s="935"/>
      <c r="BB77" s="935"/>
      <c r="BC77" s="935"/>
      <c r="BD77" s="935"/>
      <c r="BE77" s="935"/>
      <c r="BF77" s="935"/>
      <c r="BG77" s="935"/>
      <c r="BH77" s="935"/>
      <c r="BI77" s="935"/>
      <c r="BJ77" s="935"/>
      <c r="BK77" s="935"/>
      <c r="BL77" s="935"/>
      <c r="BM77" s="935"/>
      <c r="BN77" s="935"/>
      <c r="BO77" s="935"/>
      <c r="BP77" s="935"/>
      <c r="BQ77" s="935"/>
      <c r="BR77" s="935"/>
      <c r="BS77" s="935"/>
      <c r="BT77" s="935"/>
    </row>
    <row r="78" spans="1:72" x14ac:dyDescent="0.25">
      <c r="A78" s="935"/>
      <c r="B78" s="935"/>
      <c r="C78" s="935"/>
      <c r="D78" s="935"/>
      <c r="E78" s="935"/>
      <c r="F78" s="935"/>
      <c r="G78" s="935"/>
      <c r="H78" s="935"/>
      <c r="I78" s="935"/>
      <c r="J78" s="935"/>
      <c r="K78" s="935"/>
      <c r="L78" s="935"/>
      <c r="M78" s="935"/>
      <c r="N78" s="935"/>
      <c r="O78" s="935"/>
      <c r="P78" s="935"/>
      <c r="Q78" s="935"/>
      <c r="R78" s="935"/>
      <c r="S78" s="935"/>
      <c r="T78" s="935"/>
      <c r="U78" s="935"/>
      <c r="V78" s="935"/>
      <c r="W78" s="935"/>
      <c r="X78" s="935"/>
      <c r="Y78" s="935"/>
      <c r="Z78" s="935"/>
      <c r="AA78" s="935"/>
      <c r="AB78" s="935"/>
      <c r="AC78" s="935"/>
      <c r="AD78" s="935"/>
      <c r="AE78" s="935"/>
      <c r="AF78" s="935"/>
      <c r="AG78" s="935"/>
      <c r="AH78" s="935"/>
      <c r="AI78" s="935"/>
      <c r="AJ78" s="935"/>
      <c r="AK78" s="935"/>
      <c r="AL78" s="935"/>
      <c r="AM78" s="935"/>
      <c r="AN78" s="935"/>
      <c r="AO78" s="935"/>
      <c r="AP78" s="935"/>
      <c r="AQ78" s="935"/>
      <c r="AR78" s="935"/>
      <c r="AS78" s="935"/>
      <c r="AT78" s="935"/>
      <c r="AU78" s="935"/>
      <c r="AV78" s="935"/>
      <c r="AW78" s="935"/>
      <c r="AX78" s="935"/>
      <c r="AY78" s="935"/>
      <c r="AZ78" s="935"/>
      <c r="BA78" s="935"/>
      <c r="BB78" s="935"/>
      <c r="BC78" s="935"/>
      <c r="BD78" s="935"/>
      <c r="BE78" s="935"/>
      <c r="BF78" s="935"/>
      <c r="BG78" s="935"/>
      <c r="BH78" s="935"/>
      <c r="BI78" s="935"/>
      <c r="BJ78" s="935"/>
      <c r="BK78" s="935"/>
      <c r="BL78" s="935"/>
      <c r="BM78" s="935"/>
      <c r="BN78" s="935"/>
      <c r="BO78" s="935"/>
      <c r="BP78" s="935"/>
      <c r="BQ78" s="935"/>
      <c r="BR78" s="935"/>
      <c r="BS78" s="935"/>
      <c r="BT78" s="935"/>
    </row>
    <row r="79" spans="1:72" x14ac:dyDescent="0.25">
      <c r="A79" s="935" t="s">
        <v>473</v>
      </c>
      <c r="B79" s="935"/>
      <c r="C79" s="935"/>
      <c r="D79" s="935"/>
      <c r="E79" s="935"/>
      <c r="F79" s="935"/>
      <c r="G79" s="935"/>
      <c r="H79" s="935"/>
      <c r="I79" s="935"/>
      <c r="J79" s="935"/>
      <c r="K79" s="935"/>
      <c r="L79" s="935"/>
      <c r="M79" s="935"/>
      <c r="N79" s="935"/>
      <c r="O79" s="935"/>
      <c r="P79" s="935"/>
      <c r="Q79" s="935"/>
      <c r="R79" s="935"/>
      <c r="S79" s="935"/>
      <c r="T79" s="935"/>
      <c r="U79" s="935"/>
      <c r="V79" s="935"/>
      <c r="W79" s="935"/>
      <c r="X79" s="935"/>
      <c r="Y79" s="935"/>
      <c r="Z79" s="935"/>
      <c r="AA79" s="935"/>
      <c r="AB79" s="935"/>
      <c r="AC79" s="935"/>
      <c r="AD79" s="935"/>
      <c r="AE79" s="935"/>
      <c r="AF79" s="935"/>
      <c r="AG79" s="935"/>
      <c r="AH79" s="935"/>
      <c r="AI79" s="935"/>
      <c r="AJ79" s="935"/>
      <c r="AK79" s="935"/>
      <c r="AL79" s="935"/>
      <c r="AM79" s="935"/>
      <c r="AN79" s="935"/>
      <c r="AO79" s="935"/>
      <c r="AP79" s="935"/>
      <c r="AQ79" s="935"/>
      <c r="AR79" s="935"/>
      <c r="AS79" s="935"/>
      <c r="AT79" s="935"/>
      <c r="AU79" s="935"/>
      <c r="AV79" s="935"/>
      <c r="AW79" s="935"/>
      <c r="AX79" s="935"/>
      <c r="AY79" s="935"/>
      <c r="AZ79" s="935"/>
      <c r="BA79" s="935"/>
      <c r="BB79" s="935"/>
      <c r="BC79" s="935"/>
      <c r="BD79" s="935"/>
      <c r="BE79" s="935"/>
      <c r="BF79" s="935"/>
      <c r="BG79" s="935"/>
      <c r="BH79" s="935"/>
      <c r="BI79" s="935"/>
      <c r="BJ79" s="935"/>
      <c r="BK79" s="935"/>
      <c r="BL79" s="935"/>
      <c r="BM79" s="935"/>
      <c r="BN79" s="935"/>
      <c r="BO79" s="935"/>
      <c r="BP79" s="935"/>
      <c r="BQ79" s="935"/>
      <c r="BR79" s="935"/>
      <c r="BS79" s="935"/>
      <c r="BT79" s="935"/>
    </row>
    <row r="80" spans="1:72" x14ac:dyDescent="0.25">
      <c r="A80" s="935" t="s">
        <v>609</v>
      </c>
      <c r="B80" s="935">
        <v>26.25</v>
      </c>
      <c r="C80" s="935">
        <v>29.35</v>
      </c>
      <c r="D80" s="935">
        <v>24.9</v>
      </c>
      <c r="E80" s="935">
        <v>24.01</v>
      </c>
      <c r="F80" s="935">
        <v>24.09</v>
      </c>
      <c r="G80" s="935">
        <v>25.25</v>
      </c>
      <c r="H80" s="935">
        <v>26.47</v>
      </c>
      <c r="I80" s="935">
        <v>27.44</v>
      </c>
      <c r="J80" s="935">
        <v>28.03</v>
      </c>
      <c r="K80" s="935">
        <v>28.67</v>
      </c>
      <c r="L80" s="935">
        <v>29.21</v>
      </c>
      <c r="M80" s="935">
        <v>29.8</v>
      </c>
      <c r="N80" s="935">
        <v>30.06</v>
      </c>
      <c r="O80" s="935">
        <v>30.29</v>
      </c>
      <c r="P80" s="935">
        <v>30.53</v>
      </c>
      <c r="Q80" s="935">
        <v>30.73</v>
      </c>
      <c r="R80" s="935">
        <v>31.01</v>
      </c>
      <c r="S80" s="935">
        <v>31.28</v>
      </c>
      <c r="T80" s="935">
        <v>31.55</v>
      </c>
      <c r="U80" s="935">
        <v>31.7</v>
      </c>
      <c r="V80" s="935">
        <v>31.98</v>
      </c>
      <c r="W80" s="935">
        <v>32.229999999999997</v>
      </c>
      <c r="X80" s="935">
        <v>32.590000000000003</v>
      </c>
      <c r="Y80" s="935">
        <v>32.81</v>
      </c>
      <c r="Z80" s="935">
        <v>33.17</v>
      </c>
      <c r="AA80" s="935">
        <v>33.51</v>
      </c>
      <c r="AB80" s="935">
        <v>33.9</v>
      </c>
      <c r="AC80" s="935">
        <v>34.26</v>
      </c>
      <c r="AD80" s="935">
        <v>34.65</v>
      </c>
      <c r="AE80" s="974">
        <v>6.0000000000000001E-3</v>
      </c>
      <c r="AF80" s="935"/>
      <c r="AG80" s="935"/>
      <c r="AH80" s="935"/>
      <c r="AI80" s="935"/>
      <c r="AJ80" s="935"/>
      <c r="AK80" s="935"/>
      <c r="AL80" s="935"/>
      <c r="AM80" s="935"/>
      <c r="AN80" s="935"/>
      <c r="AO80" s="935"/>
      <c r="AP80" s="935"/>
      <c r="AQ80" s="935"/>
      <c r="AR80" s="935"/>
      <c r="AS80" s="935"/>
      <c r="AT80" s="935"/>
      <c r="AU80" s="935"/>
      <c r="AV80" s="935"/>
      <c r="AW80" s="935"/>
      <c r="AX80" s="935"/>
      <c r="AY80" s="935"/>
      <c r="AZ80" s="935"/>
      <c r="BA80" s="935"/>
      <c r="BB80" s="935"/>
      <c r="BC80" s="935"/>
      <c r="BD80" s="935"/>
      <c r="BE80" s="935"/>
      <c r="BF80" s="935"/>
      <c r="BG80" s="935"/>
      <c r="BH80" s="935"/>
      <c r="BI80" s="935"/>
      <c r="BJ80" s="935"/>
      <c r="BK80" s="935"/>
      <c r="BL80" s="935"/>
      <c r="BM80" s="935"/>
      <c r="BN80" s="935"/>
      <c r="BO80" s="935"/>
      <c r="BP80" s="935"/>
      <c r="BQ80" s="935"/>
      <c r="BR80" s="935"/>
      <c r="BS80" s="935"/>
      <c r="BT80" s="935"/>
    </row>
    <row r="81" spans="1:72" x14ac:dyDescent="0.25">
      <c r="A81" s="935" t="s">
        <v>610</v>
      </c>
      <c r="B81" s="935">
        <v>20.3</v>
      </c>
      <c r="C81" s="935">
        <v>24.47</v>
      </c>
      <c r="D81" s="935">
        <v>17.98</v>
      </c>
      <c r="E81" s="935">
        <v>17.57</v>
      </c>
      <c r="F81" s="935">
        <v>17.72</v>
      </c>
      <c r="G81" s="935">
        <v>18.84</v>
      </c>
      <c r="H81" s="935">
        <v>19.86</v>
      </c>
      <c r="I81" s="935">
        <v>20.58</v>
      </c>
      <c r="J81" s="935">
        <v>21.08</v>
      </c>
      <c r="K81" s="935">
        <v>22</v>
      </c>
      <c r="L81" s="935">
        <v>22.66</v>
      </c>
      <c r="M81" s="935">
        <v>23.32</v>
      </c>
      <c r="N81" s="935">
        <v>23.74</v>
      </c>
      <c r="O81" s="935">
        <v>24.1</v>
      </c>
      <c r="P81" s="935">
        <v>24.24</v>
      </c>
      <c r="Q81" s="935">
        <v>24.44</v>
      </c>
      <c r="R81" s="935">
        <v>24.76</v>
      </c>
      <c r="S81" s="935">
        <v>24.94</v>
      </c>
      <c r="T81" s="935">
        <v>25.23</v>
      </c>
      <c r="U81" s="935">
        <v>25.5</v>
      </c>
      <c r="V81" s="935">
        <v>25.72</v>
      </c>
      <c r="W81" s="935">
        <v>26.04</v>
      </c>
      <c r="X81" s="935">
        <v>26.44</v>
      </c>
      <c r="Y81" s="935">
        <v>26.61</v>
      </c>
      <c r="Z81" s="935">
        <v>27.05</v>
      </c>
      <c r="AA81" s="935">
        <v>27.45</v>
      </c>
      <c r="AB81" s="935">
        <v>27.82</v>
      </c>
      <c r="AC81" s="935">
        <v>28.24</v>
      </c>
      <c r="AD81" s="935">
        <v>28.66</v>
      </c>
      <c r="AE81" s="974">
        <v>6.0000000000000001E-3</v>
      </c>
      <c r="AF81" s="935"/>
      <c r="AG81" s="935"/>
      <c r="AH81" s="935"/>
      <c r="AI81" s="935"/>
      <c r="AJ81" s="935"/>
      <c r="AK81" s="935"/>
      <c r="AL81" s="935"/>
      <c r="AM81" s="935"/>
      <c r="AN81" s="935"/>
      <c r="AO81" s="935"/>
      <c r="AP81" s="935"/>
      <c r="AQ81" s="935"/>
      <c r="AR81" s="935"/>
      <c r="AS81" s="935"/>
      <c r="AT81" s="935"/>
      <c r="AU81" s="935"/>
      <c r="AV81" s="935"/>
      <c r="AW81" s="935"/>
      <c r="AX81" s="935"/>
      <c r="AY81" s="935"/>
      <c r="AZ81" s="935"/>
      <c r="BA81" s="935"/>
      <c r="BB81" s="935"/>
      <c r="BC81" s="935"/>
      <c r="BD81" s="935"/>
      <c r="BE81" s="935"/>
      <c r="BF81" s="935"/>
      <c r="BG81" s="935"/>
      <c r="BH81" s="935"/>
      <c r="BI81" s="935"/>
      <c r="BJ81" s="935"/>
      <c r="BK81" s="935"/>
      <c r="BL81" s="935"/>
      <c r="BM81" s="935"/>
      <c r="BN81" s="935"/>
      <c r="BO81" s="935"/>
      <c r="BP81" s="935"/>
      <c r="BQ81" s="935"/>
      <c r="BR81" s="935"/>
      <c r="BS81" s="935"/>
      <c r="BT81" s="935"/>
    </row>
    <row r="82" spans="1:72" x14ac:dyDescent="0.25">
      <c r="A82" s="935" t="s">
        <v>510</v>
      </c>
      <c r="B82" s="935">
        <v>12.94</v>
      </c>
      <c r="C82" s="935">
        <v>13.48</v>
      </c>
      <c r="D82" s="935">
        <v>11.39</v>
      </c>
      <c r="E82" s="935">
        <v>10.89</v>
      </c>
      <c r="F82" s="935">
        <v>11.78</v>
      </c>
      <c r="G82" s="935">
        <v>11.87</v>
      </c>
      <c r="H82" s="935">
        <v>11.48</v>
      </c>
      <c r="I82" s="935">
        <v>11.41</v>
      </c>
      <c r="J82" s="935">
        <v>11.56</v>
      </c>
      <c r="K82" s="935">
        <v>11.65</v>
      </c>
      <c r="L82" s="935">
        <v>11.69</v>
      </c>
      <c r="M82" s="935">
        <v>11.76</v>
      </c>
      <c r="N82" s="935">
        <v>11.83</v>
      </c>
      <c r="O82" s="935">
        <v>11.95</v>
      </c>
      <c r="P82" s="935">
        <v>12.07</v>
      </c>
      <c r="Q82" s="935">
        <v>12.26</v>
      </c>
      <c r="R82" s="935">
        <v>12.29</v>
      </c>
      <c r="S82" s="935">
        <v>12.2</v>
      </c>
      <c r="T82" s="935">
        <v>12.29</v>
      </c>
      <c r="U82" s="935">
        <v>12.46</v>
      </c>
      <c r="V82" s="935">
        <v>12.66</v>
      </c>
      <c r="W82" s="935">
        <v>12.9</v>
      </c>
      <c r="X82" s="935">
        <v>13.16</v>
      </c>
      <c r="Y82" s="935">
        <v>13.44</v>
      </c>
      <c r="Z82" s="935">
        <v>13.78</v>
      </c>
      <c r="AA82" s="935">
        <v>13.93</v>
      </c>
      <c r="AB82" s="935">
        <v>14.03</v>
      </c>
      <c r="AC82" s="935">
        <v>14.25</v>
      </c>
      <c r="AD82" s="935">
        <v>14.4</v>
      </c>
      <c r="AE82" s="974">
        <v>2E-3</v>
      </c>
      <c r="AF82" s="935"/>
      <c r="AG82" s="935"/>
      <c r="AH82" s="935"/>
      <c r="AI82" s="935"/>
      <c r="AJ82" s="935"/>
      <c r="AK82" s="935"/>
      <c r="AL82" s="935"/>
      <c r="AM82" s="935"/>
      <c r="AN82" s="935"/>
      <c r="AO82" s="935"/>
      <c r="AP82" s="935"/>
      <c r="AQ82" s="935"/>
      <c r="AR82" s="935"/>
      <c r="AS82" s="935"/>
      <c r="AT82" s="935"/>
      <c r="AU82" s="935"/>
      <c r="AV82" s="935"/>
      <c r="AW82" s="935"/>
      <c r="AX82" s="935"/>
      <c r="AY82" s="935"/>
      <c r="AZ82" s="935"/>
      <c r="BA82" s="935"/>
      <c r="BB82" s="935"/>
      <c r="BC82" s="935"/>
      <c r="BD82" s="935"/>
      <c r="BE82" s="935"/>
      <c r="BF82" s="935"/>
      <c r="BG82" s="935"/>
      <c r="BH82" s="935"/>
      <c r="BI82" s="935"/>
      <c r="BJ82" s="935"/>
      <c r="BK82" s="935"/>
      <c r="BL82" s="935"/>
      <c r="BM82" s="935"/>
      <c r="BN82" s="935"/>
      <c r="BO82" s="935"/>
      <c r="BP82" s="935"/>
      <c r="BQ82" s="935"/>
      <c r="BR82" s="935"/>
      <c r="BS82" s="935"/>
      <c r="BT82" s="935"/>
    </row>
    <row r="83" spans="1:72" x14ac:dyDescent="0.25">
      <c r="A83" s="935" t="s">
        <v>479</v>
      </c>
      <c r="B83" s="935">
        <v>31.82</v>
      </c>
      <c r="C83" s="935">
        <v>33.29</v>
      </c>
      <c r="D83" s="935">
        <v>32.33</v>
      </c>
      <c r="E83" s="935">
        <v>30.94</v>
      </c>
      <c r="F83" s="935">
        <v>29.9</v>
      </c>
      <c r="G83" s="935">
        <v>31.08</v>
      </c>
      <c r="H83" s="935">
        <v>31.47</v>
      </c>
      <c r="I83" s="935">
        <v>31.49</v>
      </c>
      <c r="J83" s="935">
        <v>31.43</v>
      </c>
      <c r="K83" s="935">
        <v>31.64</v>
      </c>
      <c r="L83" s="935">
        <v>31.8</v>
      </c>
      <c r="M83" s="935">
        <v>31.78</v>
      </c>
      <c r="N83" s="935">
        <v>31.68</v>
      </c>
      <c r="O83" s="935">
        <v>31.84</v>
      </c>
      <c r="P83" s="935">
        <v>32.01</v>
      </c>
      <c r="Q83" s="935">
        <v>32.08</v>
      </c>
      <c r="R83" s="935">
        <v>32.200000000000003</v>
      </c>
      <c r="S83" s="935">
        <v>32.28</v>
      </c>
      <c r="T83" s="935">
        <v>32.26</v>
      </c>
      <c r="U83" s="935">
        <v>32.4</v>
      </c>
      <c r="V83" s="935">
        <v>32.57</v>
      </c>
      <c r="W83" s="935">
        <v>32.729999999999997</v>
      </c>
      <c r="X83" s="935">
        <v>33.130000000000003</v>
      </c>
      <c r="Y83" s="935">
        <v>33.46</v>
      </c>
      <c r="Z83" s="935">
        <v>33.81</v>
      </c>
      <c r="AA83" s="935">
        <v>34.11</v>
      </c>
      <c r="AB83" s="935">
        <v>34.26</v>
      </c>
      <c r="AC83" s="935">
        <v>34.49</v>
      </c>
      <c r="AD83" s="935">
        <v>34.71</v>
      </c>
      <c r="AE83" s="974">
        <v>2E-3</v>
      </c>
      <c r="AF83" s="935"/>
      <c r="AG83" s="935"/>
      <c r="AH83" s="935"/>
      <c r="AI83" s="935"/>
      <c r="AJ83" s="935"/>
      <c r="AK83" s="935"/>
      <c r="AL83" s="935"/>
      <c r="AM83" s="935"/>
      <c r="AN83" s="935"/>
      <c r="AO83" s="935"/>
      <c r="AP83" s="935"/>
      <c r="AQ83" s="935"/>
      <c r="AR83" s="935"/>
      <c r="AS83" s="935"/>
      <c r="AT83" s="935"/>
      <c r="AU83" s="935"/>
      <c r="AV83" s="935"/>
      <c r="AW83" s="935"/>
      <c r="AX83" s="935"/>
      <c r="AY83" s="935"/>
      <c r="AZ83" s="935"/>
      <c r="BA83" s="935"/>
      <c r="BB83" s="935"/>
      <c r="BC83" s="935"/>
      <c r="BD83" s="935"/>
      <c r="BE83" s="935"/>
      <c r="BF83" s="935"/>
      <c r="BG83" s="935"/>
      <c r="BH83" s="935"/>
      <c r="BI83" s="935"/>
      <c r="BJ83" s="935"/>
      <c r="BK83" s="935"/>
      <c r="BL83" s="935"/>
      <c r="BM83" s="935"/>
      <c r="BN83" s="935"/>
      <c r="BO83" s="935"/>
      <c r="BP83" s="935"/>
      <c r="BQ83" s="935"/>
      <c r="BR83" s="935"/>
      <c r="BS83" s="935"/>
      <c r="BT83" s="935"/>
    </row>
    <row r="84" spans="1:72" x14ac:dyDescent="0.25">
      <c r="A84" s="935"/>
      <c r="B84" s="935"/>
      <c r="C84" s="935"/>
      <c r="D84" s="935"/>
      <c r="E84" s="935"/>
      <c r="F84" s="935"/>
      <c r="G84" s="935"/>
      <c r="H84" s="935"/>
      <c r="I84" s="935"/>
      <c r="J84" s="935"/>
      <c r="K84" s="935"/>
      <c r="L84" s="935"/>
      <c r="M84" s="935"/>
      <c r="N84" s="935"/>
      <c r="O84" s="935"/>
      <c r="P84" s="935"/>
      <c r="Q84" s="935"/>
      <c r="R84" s="935"/>
      <c r="S84" s="935"/>
      <c r="T84" s="935"/>
      <c r="U84" s="935"/>
      <c r="V84" s="935"/>
      <c r="W84" s="935"/>
      <c r="X84" s="935"/>
      <c r="Y84" s="935"/>
      <c r="Z84" s="935"/>
      <c r="AA84" s="935"/>
      <c r="AB84" s="935"/>
      <c r="AC84" s="935"/>
      <c r="AD84" s="935"/>
      <c r="AE84" s="935"/>
      <c r="AF84" s="935"/>
      <c r="AG84" s="935"/>
      <c r="AH84" s="935"/>
      <c r="AI84" s="935"/>
      <c r="AJ84" s="935"/>
      <c r="AK84" s="935"/>
      <c r="AL84" s="935"/>
      <c r="AM84" s="935"/>
      <c r="AN84" s="935"/>
      <c r="AO84" s="935"/>
      <c r="AP84" s="935"/>
      <c r="AQ84" s="935"/>
      <c r="AR84" s="935"/>
      <c r="AS84" s="935"/>
      <c r="AT84" s="935"/>
      <c r="AU84" s="935"/>
      <c r="AV84" s="935"/>
      <c r="AW84" s="935"/>
      <c r="AX84" s="935"/>
      <c r="AY84" s="935"/>
      <c r="AZ84" s="935"/>
      <c r="BA84" s="935"/>
      <c r="BB84" s="935"/>
      <c r="BC84" s="935"/>
      <c r="BD84" s="935"/>
      <c r="BE84" s="935"/>
      <c r="BF84" s="935"/>
      <c r="BG84" s="935"/>
      <c r="BH84" s="935"/>
      <c r="BI84" s="935"/>
      <c r="BJ84" s="935"/>
      <c r="BK84" s="935"/>
      <c r="BL84" s="935"/>
      <c r="BM84" s="935"/>
      <c r="BN84" s="935"/>
      <c r="BO84" s="935"/>
      <c r="BP84" s="935"/>
      <c r="BQ84" s="935"/>
      <c r="BR84" s="935"/>
      <c r="BS84" s="935"/>
      <c r="BT84" s="935"/>
    </row>
    <row r="85" spans="1:72" x14ac:dyDescent="0.25">
      <c r="A85" s="935" t="s">
        <v>480</v>
      </c>
      <c r="B85" s="935"/>
      <c r="C85" s="935"/>
      <c r="D85" s="935"/>
      <c r="E85" s="935"/>
      <c r="F85" s="935"/>
      <c r="G85" s="935"/>
      <c r="H85" s="935"/>
      <c r="I85" s="935"/>
      <c r="J85" s="935"/>
      <c r="K85" s="935"/>
      <c r="L85" s="935"/>
      <c r="M85" s="935"/>
      <c r="N85" s="935"/>
      <c r="O85" s="935"/>
      <c r="P85" s="935"/>
      <c r="Q85" s="935"/>
      <c r="R85" s="935"/>
      <c r="S85" s="935"/>
      <c r="T85" s="935"/>
      <c r="U85" s="935"/>
      <c r="V85" s="935"/>
      <c r="W85" s="935"/>
      <c r="X85" s="935"/>
      <c r="Y85" s="935"/>
      <c r="Z85" s="935"/>
      <c r="AA85" s="935"/>
      <c r="AB85" s="935"/>
      <c r="AC85" s="935"/>
      <c r="AD85" s="935"/>
      <c r="AE85" s="935"/>
      <c r="AF85" s="935"/>
      <c r="AG85" s="935"/>
      <c r="AH85" s="935"/>
      <c r="AI85" s="935"/>
      <c r="AJ85" s="935"/>
      <c r="AK85" s="935"/>
      <c r="AL85" s="935"/>
      <c r="AM85" s="935"/>
      <c r="AN85" s="935"/>
      <c r="AO85" s="935"/>
      <c r="AP85" s="935"/>
      <c r="AQ85" s="935"/>
      <c r="AR85" s="935"/>
      <c r="AS85" s="935"/>
      <c r="AT85" s="935"/>
      <c r="AU85" s="935"/>
      <c r="AV85" s="935"/>
      <c r="AW85" s="935"/>
      <c r="AX85" s="935"/>
      <c r="AY85" s="935"/>
      <c r="AZ85" s="935"/>
      <c r="BA85" s="935"/>
      <c r="BB85" s="935"/>
      <c r="BC85" s="935"/>
      <c r="BD85" s="935"/>
      <c r="BE85" s="935"/>
      <c r="BF85" s="935"/>
      <c r="BG85" s="935"/>
      <c r="BH85" s="935"/>
      <c r="BI85" s="935"/>
      <c r="BJ85" s="935"/>
      <c r="BK85" s="935"/>
      <c r="BL85" s="935"/>
      <c r="BM85" s="935"/>
      <c r="BN85" s="935"/>
      <c r="BO85" s="935"/>
      <c r="BP85" s="935"/>
      <c r="BQ85" s="935"/>
      <c r="BR85" s="935"/>
      <c r="BS85" s="935"/>
      <c r="BT85" s="935"/>
    </row>
    <row r="86" spans="1:72" x14ac:dyDescent="0.25">
      <c r="A86" s="935" t="s">
        <v>609</v>
      </c>
      <c r="B86" s="935">
        <v>20.65</v>
      </c>
      <c r="C86" s="935">
        <v>26.15</v>
      </c>
      <c r="D86" s="935">
        <v>19.82</v>
      </c>
      <c r="E86" s="935">
        <v>20.78</v>
      </c>
      <c r="F86" s="935">
        <v>20.86</v>
      </c>
      <c r="G86" s="935">
        <v>22.02</v>
      </c>
      <c r="H86" s="935">
        <v>23.23</v>
      </c>
      <c r="I86" s="935">
        <v>24.19</v>
      </c>
      <c r="J86" s="935">
        <v>24.77</v>
      </c>
      <c r="K86" s="935">
        <v>25.41</v>
      </c>
      <c r="L86" s="935">
        <v>25.95</v>
      </c>
      <c r="M86" s="935">
        <v>26.53</v>
      </c>
      <c r="N86" s="935">
        <v>26.79</v>
      </c>
      <c r="O86" s="935">
        <v>27.02</v>
      </c>
      <c r="P86" s="935">
        <v>27.25</v>
      </c>
      <c r="Q86" s="935">
        <v>27.46</v>
      </c>
      <c r="R86" s="935">
        <v>27.73</v>
      </c>
      <c r="S86" s="935">
        <v>28</v>
      </c>
      <c r="T86" s="935">
        <v>28.26</v>
      </c>
      <c r="U86" s="935">
        <v>28.41</v>
      </c>
      <c r="V86" s="935">
        <v>28.68</v>
      </c>
      <c r="W86" s="935">
        <v>28.93</v>
      </c>
      <c r="X86" s="935">
        <v>29.28</v>
      </c>
      <c r="Y86" s="935">
        <v>29.5</v>
      </c>
      <c r="Z86" s="935">
        <v>29.86</v>
      </c>
      <c r="AA86" s="935">
        <v>30.19</v>
      </c>
      <c r="AB86" s="935">
        <v>30.58</v>
      </c>
      <c r="AC86" s="935">
        <v>30.94</v>
      </c>
      <c r="AD86" s="935">
        <v>31.32</v>
      </c>
      <c r="AE86" s="974">
        <v>7.0000000000000001E-3</v>
      </c>
      <c r="AF86" s="935"/>
      <c r="AG86" s="935"/>
      <c r="AH86" s="935"/>
      <c r="AI86" s="935"/>
      <c r="AJ86" s="935"/>
      <c r="AK86" s="935"/>
      <c r="AL86" s="935"/>
      <c r="AM86" s="935"/>
      <c r="AN86" s="935"/>
      <c r="AO86" s="935"/>
      <c r="AP86" s="935"/>
      <c r="AQ86" s="935"/>
      <c r="AR86" s="935"/>
      <c r="AS86" s="935"/>
      <c r="AT86" s="935"/>
      <c r="AU86" s="935"/>
      <c r="AV86" s="935"/>
      <c r="AW86" s="935"/>
      <c r="AX86" s="935"/>
      <c r="AY86" s="935"/>
      <c r="AZ86" s="935"/>
      <c r="BA86" s="935"/>
      <c r="BB86" s="935"/>
      <c r="BC86" s="935"/>
      <c r="BD86" s="935"/>
      <c r="BE86" s="935"/>
      <c r="BF86" s="935"/>
      <c r="BG86" s="935"/>
      <c r="BH86" s="935"/>
      <c r="BI86" s="935"/>
      <c r="BJ86" s="935"/>
      <c r="BK86" s="935"/>
      <c r="BL86" s="935"/>
      <c r="BM86" s="935"/>
      <c r="BN86" s="935"/>
      <c r="BO86" s="935"/>
      <c r="BP86" s="935"/>
      <c r="BQ86" s="935"/>
      <c r="BR86" s="935"/>
      <c r="BS86" s="935"/>
      <c r="BT86" s="935"/>
    </row>
    <row r="87" spans="1:72" x14ac:dyDescent="0.25">
      <c r="A87" s="935" t="s">
        <v>610</v>
      </c>
      <c r="B87" s="935">
        <v>17.48</v>
      </c>
      <c r="C87" s="935">
        <v>21.5</v>
      </c>
      <c r="D87" s="935">
        <v>15.8</v>
      </c>
      <c r="E87" s="935">
        <v>14.82</v>
      </c>
      <c r="F87" s="935">
        <v>15.24</v>
      </c>
      <c r="G87" s="935">
        <v>16.38</v>
      </c>
      <c r="H87" s="935">
        <v>17.399999999999999</v>
      </c>
      <c r="I87" s="935">
        <v>18.11</v>
      </c>
      <c r="J87" s="935">
        <v>18.72</v>
      </c>
      <c r="K87" s="935">
        <v>19.559999999999999</v>
      </c>
      <c r="L87" s="935">
        <v>20.2</v>
      </c>
      <c r="M87" s="935">
        <v>20.84</v>
      </c>
      <c r="N87" s="935">
        <v>21.26</v>
      </c>
      <c r="O87" s="935">
        <v>21.6</v>
      </c>
      <c r="P87" s="935">
        <v>21.78</v>
      </c>
      <c r="Q87" s="935">
        <v>22.04</v>
      </c>
      <c r="R87" s="935">
        <v>22.29</v>
      </c>
      <c r="S87" s="935">
        <v>22.43</v>
      </c>
      <c r="T87" s="935">
        <v>22.72</v>
      </c>
      <c r="U87" s="935">
        <v>22.97</v>
      </c>
      <c r="V87" s="935">
        <v>23.21</v>
      </c>
      <c r="W87" s="935">
        <v>23.53</v>
      </c>
      <c r="X87" s="935">
        <v>23.93</v>
      </c>
      <c r="Y87" s="935">
        <v>24.11</v>
      </c>
      <c r="Z87" s="935">
        <v>24.54</v>
      </c>
      <c r="AA87" s="935">
        <v>24.94</v>
      </c>
      <c r="AB87" s="935">
        <v>25.28</v>
      </c>
      <c r="AC87" s="935">
        <v>25.69</v>
      </c>
      <c r="AD87" s="935">
        <v>26.13</v>
      </c>
      <c r="AE87" s="974">
        <v>7.0000000000000001E-3</v>
      </c>
      <c r="AF87" s="935"/>
      <c r="AG87" s="935"/>
      <c r="AH87" s="935"/>
      <c r="AI87" s="935"/>
      <c r="AJ87" s="935"/>
      <c r="AK87" s="935"/>
      <c r="AL87" s="935"/>
      <c r="AM87" s="935"/>
      <c r="AN87" s="935"/>
      <c r="AO87" s="935"/>
      <c r="AP87" s="935"/>
      <c r="AQ87" s="935"/>
      <c r="AR87" s="935"/>
      <c r="AS87" s="935"/>
      <c r="AT87" s="935"/>
      <c r="AU87" s="935"/>
      <c r="AV87" s="935"/>
      <c r="AW87" s="935"/>
      <c r="AX87" s="935"/>
      <c r="AY87" s="935"/>
      <c r="AZ87" s="935"/>
      <c r="BA87" s="935"/>
      <c r="BB87" s="935"/>
      <c r="BC87" s="935"/>
      <c r="BD87" s="935"/>
      <c r="BE87" s="935"/>
      <c r="BF87" s="935"/>
      <c r="BG87" s="935"/>
      <c r="BH87" s="935"/>
      <c r="BI87" s="935"/>
      <c r="BJ87" s="935"/>
      <c r="BK87" s="935"/>
      <c r="BL87" s="935"/>
      <c r="BM87" s="935"/>
      <c r="BN87" s="935"/>
      <c r="BO87" s="935"/>
      <c r="BP87" s="935"/>
      <c r="BQ87" s="935"/>
      <c r="BR87" s="935"/>
      <c r="BS87" s="935"/>
      <c r="BT87" s="935"/>
    </row>
    <row r="88" spans="1:72" x14ac:dyDescent="0.25">
      <c r="A88" s="935" t="s">
        <v>723</v>
      </c>
      <c r="B88" s="935">
        <v>8.39</v>
      </c>
      <c r="C88" s="935">
        <v>15.52</v>
      </c>
      <c r="D88" s="935">
        <v>9.27</v>
      </c>
      <c r="E88" s="935">
        <v>9.4499999999999993</v>
      </c>
      <c r="F88" s="935">
        <v>9.6300000000000008</v>
      </c>
      <c r="G88" s="935">
        <v>10.85</v>
      </c>
      <c r="H88" s="935">
        <v>11.98</v>
      </c>
      <c r="I88" s="935">
        <v>12.76</v>
      </c>
      <c r="J88" s="935">
        <v>13.13</v>
      </c>
      <c r="K88" s="935">
        <v>13.68</v>
      </c>
      <c r="L88" s="935">
        <v>14.17</v>
      </c>
      <c r="M88" s="935">
        <v>14.69</v>
      </c>
      <c r="N88" s="935">
        <v>15.26</v>
      </c>
      <c r="O88" s="935">
        <v>15.46</v>
      </c>
      <c r="P88" s="935">
        <v>15.68</v>
      </c>
      <c r="Q88" s="935">
        <v>15.89</v>
      </c>
      <c r="R88" s="935">
        <v>16.12</v>
      </c>
      <c r="S88" s="935">
        <v>16.34</v>
      </c>
      <c r="T88" s="935">
        <v>16.54</v>
      </c>
      <c r="U88" s="935">
        <v>16.63</v>
      </c>
      <c r="V88" s="935">
        <v>16.82</v>
      </c>
      <c r="W88" s="935">
        <v>17.059999999999999</v>
      </c>
      <c r="X88" s="935">
        <v>17.28</v>
      </c>
      <c r="Y88" s="935">
        <v>17.54</v>
      </c>
      <c r="Z88" s="935">
        <v>17.89</v>
      </c>
      <c r="AA88" s="935">
        <v>18.12</v>
      </c>
      <c r="AB88" s="935">
        <v>18.25</v>
      </c>
      <c r="AC88" s="935">
        <v>18.68</v>
      </c>
      <c r="AD88" s="935">
        <v>18.84</v>
      </c>
      <c r="AE88" s="974">
        <v>7.0000000000000001E-3</v>
      </c>
      <c r="AF88" s="935"/>
      <c r="AG88" s="935"/>
      <c r="AH88" s="935"/>
      <c r="AI88" s="935"/>
      <c r="AJ88" s="935"/>
      <c r="AK88" s="935"/>
      <c r="AL88" s="935"/>
      <c r="AM88" s="935"/>
      <c r="AN88" s="935"/>
      <c r="AO88" s="935"/>
      <c r="AP88" s="935"/>
      <c r="AQ88" s="935"/>
      <c r="AR88" s="935"/>
      <c r="AS88" s="935"/>
      <c r="AT88" s="935"/>
      <c r="AU88" s="935"/>
      <c r="AV88" s="935"/>
      <c r="AW88" s="935"/>
      <c r="AX88" s="935"/>
      <c r="AY88" s="935"/>
      <c r="AZ88" s="935"/>
      <c r="BA88" s="935"/>
      <c r="BB88" s="935"/>
      <c r="BC88" s="935"/>
      <c r="BD88" s="935"/>
      <c r="BE88" s="935"/>
      <c r="BF88" s="935"/>
      <c r="BG88" s="935"/>
      <c r="BH88" s="935"/>
      <c r="BI88" s="935"/>
      <c r="BJ88" s="935"/>
      <c r="BK88" s="935"/>
      <c r="BL88" s="935"/>
      <c r="BM88" s="935"/>
      <c r="BN88" s="935"/>
      <c r="BO88" s="935"/>
      <c r="BP88" s="935"/>
      <c r="BQ88" s="935"/>
      <c r="BR88" s="935"/>
      <c r="BS88" s="935"/>
      <c r="BT88" s="935"/>
    </row>
    <row r="89" spans="1:72" x14ac:dyDescent="0.25">
      <c r="A89" s="935" t="s">
        <v>510</v>
      </c>
      <c r="B89" s="935">
        <v>11.2</v>
      </c>
      <c r="C89" s="935">
        <v>11.94</v>
      </c>
      <c r="D89" s="935">
        <v>9.0500000000000007</v>
      </c>
      <c r="E89" s="935">
        <v>8.67</v>
      </c>
      <c r="F89" s="935">
        <v>9.7200000000000006</v>
      </c>
      <c r="G89" s="935">
        <v>10.07</v>
      </c>
      <c r="H89" s="935">
        <v>9.92</v>
      </c>
      <c r="I89" s="935">
        <v>9.85</v>
      </c>
      <c r="J89" s="935">
        <v>9.99</v>
      </c>
      <c r="K89" s="935">
        <v>10.08</v>
      </c>
      <c r="L89" s="935">
        <v>10.11</v>
      </c>
      <c r="M89" s="935">
        <v>10.16</v>
      </c>
      <c r="N89" s="935">
        <v>10.23</v>
      </c>
      <c r="O89" s="935">
        <v>10.35</v>
      </c>
      <c r="P89" s="935">
        <v>10.46</v>
      </c>
      <c r="Q89" s="935">
        <v>10.65</v>
      </c>
      <c r="R89" s="935">
        <v>10.69</v>
      </c>
      <c r="S89" s="935">
        <v>10.62</v>
      </c>
      <c r="T89" s="935">
        <v>10.7</v>
      </c>
      <c r="U89" s="935">
        <v>10.86</v>
      </c>
      <c r="V89" s="935">
        <v>11.04</v>
      </c>
      <c r="W89" s="935">
        <v>11.28</v>
      </c>
      <c r="X89" s="935">
        <v>11.52</v>
      </c>
      <c r="Y89" s="935">
        <v>11.78</v>
      </c>
      <c r="Z89" s="935">
        <v>12.11</v>
      </c>
      <c r="AA89" s="935">
        <v>12.26</v>
      </c>
      <c r="AB89" s="935">
        <v>12.32</v>
      </c>
      <c r="AC89" s="935">
        <v>12.52</v>
      </c>
      <c r="AD89" s="935">
        <v>12.66</v>
      </c>
      <c r="AE89" s="974">
        <v>2E-3</v>
      </c>
      <c r="AF89" s="935"/>
      <c r="AG89" s="935"/>
      <c r="AH89" s="935"/>
      <c r="AI89" s="935"/>
      <c r="AJ89" s="935"/>
      <c r="AK89" s="935"/>
      <c r="AL89" s="935"/>
      <c r="AM89" s="935"/>
      <c r="AN89" s="935"/>
      <c r="AO89" s="935"/>
      <c r="AP89" s="935"/>
      <c r="AQ89" s="935"/>
      <c r="AR89" s="935"/>
      <c r="AS89" s="935"/>
      <c r="AT89" s="935"/>
      <c r="AU89" s="935"/>
      <c r="AV89" s="935"/>
      <c r="AW89" s="935"/>
      <c r="AX89" s="935"/>
      <c r="AY89" s="935"/>
      <c r="AZ89" s="935"/>
      <c r="BA89" s="935"/>
      <c r="BB89" s="935"/>
      <c r="BC89" s="935"/>
      <c r="BD89" s="935"/>
      <c r="BE89" s="935"/>
      <c r="BF89" s="935"/>
      <c r="BG89" s="935"/>
      <c r="BH89" s="935"/>
      <c r="BI89" s="935"/>
      <c r="BJ89" s="935"/>
      <c r="BK89" s="935"/>
      <c r="BL89" s="935"/>
      <c r="BM89" s="935"/>
      <c r="BN89" s="935"/>
      <c r="BO89" s="935"/>
      <c r="BP89" s="935"/>
      <c r="BQ89" s="935"/>
      <c r="BR89" s="935"/>
      <c r="BS89" s="935"/>
      <c r="BT89" s="935"/>
    </row>
    <row r="90" spans="1:72" x14ac:dyDescent="0.25">
      <c r="A90" s="935" t="s">
        <v>479</v>
      </c>
      <c r="B90" s="935">
        <v>28.81</v>
      </c>
      <c r="C90" s="935">
        <v>30.47</v>
      </c>
      <c r="D90" s="935">
        <v>28.94</v>
      </c>
      <c r="E90" s="935">
        <v>27.37</v>
      </c>
      <c r="F90" s="935">
        <v>25.72</v>
      </c>
      <c r="G90" s="935">
        <v>26.72</v>
      </c>
      <c r="H90" s="935">
        <v>26.81</v>
      </c>
      <c r="I90" s="935">
        <v>26.55</v>
      </c>
      <c r="J90" s="935">
        <v>26.55</v>
      </c>
      <c r="K90" s="935">
        <v>26.81</v>
      </c>
      <c r="L90" s="935">
        <v>26.97</v>
      </c>
      <c r="M90" s="935">
        <v>26.98</v>
      </c>
      <c r="N90" s="935">
        <v>26.93</v>
      </c>
      <c r="O90" s="935">
        <v>27.12</v>
      </c>
      <c r="P90" s="935">
        <v>27.31</v>
      </c>
      <c r="Q90" s="935">
        <v>27.42</v>
      </c>
      <c r="R90" s="935">
        <v>27.62</v>
      </c>
      <c r="S90" s="935">
        <v>27.77</v>
      </c>
      <c r="T90" s="935">
        <v>27.72</v>
      </c>
      <c r="U90" s="935">
        <v>27.87</v>
      </c>
      <c r="V90" s="935">
        <v>28.05</v>
      </c>
      <c r="W90" s="935">
        <v>28.25</v>
      </c>
      <c r="X90" s="935">
        <v>28.67</v>
      </c>
      <c r="Y90" s="935">
        <v>28.99</v>
      </c>
      <c r="Z90" s="935">
        <v>29.37</v>
      </c>
      <c r="AA90" s="935">
        <v>29.73</v>
      </c>
      <c r="AB90" s="935">
        <v>29.9</v>
      </c>
      <c r="AC90" s="935">
        <v>30.15</v>
      </c>
      <c r="AD90" s="935">
        <v>30.37</v>
      </c>
      <c r="AE90" s="974">
        <v>0</v>
      </c>
      <c r="AF90" s="935"/>
      <c r="AG90" s="935"/>
      <c r="AH90" s="935"/>
      <c r="AI90" s="935"/>
      <c r="AJ90" s="935"/>
      <c r="AK90" s="935"/>
      <c r="AL90" s="935"/>
      <c r="AM90" s="935"/>
      <c r="AN90" s="935"/>
      <c r="AO90" s="935"/>
      <c r="AP90" s="935"/>
      <c r="AQ90" s="935"/>
      <c r="AR90" s="935"/>
      <c r="AS90" s="935"/>
      <c r="AT90" s="935"/>
      <c r="AU90" s="935"/>
      <c r="AV90" s="935"/>
      <c r="AW90" s="935"/>
      <c r="AX90" s="935"/>
      <c r="AY90" s="935"/>
      <c r="AZ90" s="935"/>
      <c r="BA90" s="935"/>
      <c r="BB90" s="935"/>
      <c r="BC90" s="935"/>
      <c r="BD90" s="935"/>
      <c r="BE90" s="935"/>
      <c r="BF90" s="935"/>
      <c r="BG90" s="935"/>
      <c r="BH90" s="935"/>
      <c r="BI90" s="935"/>
      <c r="BJ90" s="935"/>
      <c r="BK90" s="935"/>
      <c r="BL90" s="935"/>
      <c r="BM90" s="935"/>
      <c r="BN90" s="935"/>
      <c r="BO90" s="935"/>
      <c r="BP90" s="935"/>
      <c r="BQ90" s="935"/>
      <c r="BR90" s="935"/>
      <c r="BS90" s="935"/>
      <c r="BT90" s="935"/>
    </row>
    <row r="91" spans="1:72" x14ac:dyDescent="0.25">
      <c r="A91" s="935"/>
      <c r="B91" s="935"/>
      <c r="C91" s="935"/>
      <c r="D91" s="935"/>
      <c r="E91" s="935"/>
      <c r="F91" s="935"/>
      <c r="G91" s="935"/>
      <c r="H91" s="935"/>
      <c r="I91" s="935"/>
      <c r="J91" s="935"/>
      <c r="K91" s="935"/>
      <c r="L91" s="935"/>
      <c r="M91" s="935"/>
      <c r="N91" s="935"/>
      <c r="O91" s="935"/>
      <c r="P91" s="935"/>
      <c r="Q91" s="935"/>
      <c r="R91" s="935"/>
      <c r="S91" s="935"/>
      <c r="T91" s="935"/>
      <c r="U91" s="935"/>
      <c r="V91" s="935"/>
      <c r="W91" s="935"/>
      <c r="X91" s="935"/>
      <c r="Y91" s="935"/>
      <c r="Z91" s="935"/>
      <c r="AA91" s="935"/>
      <c r="AB91" s="935"/>
      <c r="AC91" s="935"/>
      <c r="AD91" s="935"/>
      <c r="AE91" s="935"/>
      <c r="AF91" s="935"/>
      <c r="AG91" s="935"/>
      <c r="AH91" s="935"/>
      <c r="AI91" s="935"/>
      <c r="AJ91" s="935"/>
      <c r="AK91" s="935"/>
      <c r="AL91" s="935"/>
      <c r="AM91" s="935"/>
      <c r="AN91" s="935"/>
      <c r="AO91" s="935"/>
      <c r="AP91" s="935"/>
      <c r="AQ91" s="935"/>
      <c r="AR91" s="935"/>
      <c r="AS91" s="935"/>
      <c r="AT91" s="935"/>
      <c r="AU91" s="935"/>
      <c r="AV91" s="935"/>
      <c r="AW91" s="935"/>
      <c r="AX91" s="935"/>
      <c r="AY91" s="935"/>
      <c r="AZ91" s="935"/>
      <c r="BA91" s="935"/>
      <c r="BB91" s="935"/>
      <c r="BC91" s="935"/>
      <c r="BD91" s="935"/>
      <c r="BE91" s="935"/>
      <c r="BF91" s="935"/>
      <c r="BG91" s="935"/>
      <c r="BH91" s="935"/>
      <c r="BI91" s="935"/>
      <c r="BJ91" s="935"/>
      <c r="BK91" s="935"/>
      <c r="BL91" s="935"/>
      <c r="BM91" s="935"/>
      <c r="BN91" s="935"/>
      <c r="BO91" s="935"/>
      <c r="BP91" s="935"/>
      <c r="BQ91" s="935"/>
      <c r="BR91" s="935"/>
      <c r="BS91" s="935"/>
      <c r="BT91" s="935"/>
    </row>
    <row r="92" spans="1:72" x14ac:dyDescent="0.25">
      <c r="A92" s="935" t="s">
        <v>612</v>
      </c>
      <c r="B92" s="935"/>
      <c r="C92" s="935"/>
      <c r="D92" s="935"/>
      <c r="E92" s="935"/>
      <c r="F92" s="935"/>
      <c r="G92" s="935"/>
      <c r="H92" s="935"/>
      <c r="I92" s="935"/>
      <c r="J92" s="935"/>
      <c r="K92" s="935"/>
      <c r="L92" s="935"/>
      <c r="M92" s="935"/>
      <c r="N92" s="935"/>
      <c r="O92" s="935"/>
      <c r="P92" s="935"/>
      <c r="Q92" s="935"/>
      <c r="R92" s="935"/>
      <c r="S92" s="935"/>
      <c r="T92" s="935"/>
      <c r="U92" s="935"/>
      <c r="V92" s="935"/>
      <c r="W92" s="935"/>
      <c r="X92" s="935"/>
      <c r="Y92" s="935"/>
      <c r="Z92" s="935"/>
      <c r="AA92" s="935"/>
      <c r="AB92" s="935"/>
      <c r="AC92" s="935"/>
      <c r="AD92" s="935"/>
      <c r="AE92" s="935"/>
      <c r="AF92" s="935"/>
      <c r="AG92" s="935"/>
      <c r="AH92" s="935"/>
      <c r="AI92" s="935"/>
      <c r="AJ92" s="935"/>
      <c r="AK92" s="935"/>
      <c r="AL92" s="935"/>
      <c r="AM92" s="935"/>
      <c r="AN92" s="935"/>
      <c r="AO92" s="935"/>
      <c r="AP92" s="935"/>
      <c r="AQ92" s="935"/>
      <c r="AR92" s="935"/>
      <c r="AS92" s="935"/>
      <c r="AT92" s="935"/>
      <c r="AU92" s="935"/>
      <c r="AV92" s="935"/>
      <c r="AW92" s="935"/>
      <c r="AX92" s="935"/>
      <c r="AY92" s="935"/>
      <c r="AZ92" s="935"/>
      <c r="BA92" s="935"/>
      <c r="BB92" s="935"/>
      <c r="BC92" s="935"/>
      <c r="BD92" s="935"/>
      <c r="BE92" s="935"/>
      <c r="BF92" s="935"/>
      <c r="BG92" s="935"/>
      <c r="BH92" s="935"/>
      <c r="BI92" s="935"/>
      <c r="BJ92" s="935"/>
      <c r="BK92" s="935"/>
      <c r="BL92" s="935"/>
      <c r="BM92" s="935"/>
      <c r="BN92" s="935"/>
      <c r="BO92" s="935"/>
      <c r="BP92" s="935"/>
      <c r="BQ92" s="935"/>
      <c r="BR92" s="935"/>
      <c r="BS92" s="935"/>
      <c r="BT92" s="935"/>
    </row>
    <row r="93" spans="1:72" x14ac:dyDescent="0.25">
      <c r="A93" s="935" t="s">
        <v>609</v>
      </c>
      <c r="B93" s="935">
        <v>22.01</v>
      </c>
      <c r="C93" s="935">
        <v>24.2</v>
      </c>
      <c r="D93" s="935">
        <v>18.64</v>
      </c>
      <c r="E93" s="935">
        <v>18.36</v>
      </c>
      <c r="F93" s="935">
        <v>18.46</v>
      </c>
      <c r="G93" s="935">
        <v>19.61</v>
      </c>
      <c r="H93" s="935">
        <v>20.9</v>
      </c>
      <c r="I93" s="935">
        <v>21.9</v>
      </c>
      <c r="J93" s="935">
        <v>22.49</v>
      </c>
      <c r="K93" s="935">
        <v>23.25</v>
      </c>
      <c r="L93" s="935">
        <v>23.76</v>
      </c>
      <c r="M93" s="935">
        <v>24.31</v>
      </c>
      <c r="N93" s="935">
        <v>24.62</v>
      </c>
      <c r="O93" s="935">
        <v>24.86</v>
      </c>
      <c r="P93" s="935">
        <v>25.09</v>
      </c>
      <c r="Q93" s="935">
        <v>25.3</v>
      </c>
      <c r="R93" s="935">
        <v>25.59</v>
      </c>
      <c r="S93" s="935">
        <v>25.86</v>
      </c>
      <c r="T93" s="935">
        <v>26.12</v>
      </c>
      <c r="U93" s="935">
        <v>26.27</v>
      </c>
      <c r="V93" s="935">
        <v>26.55</v>
      </c>
      <c r="W93" s="935">
        <v>26.8</v>
      </c>
      <c r="X93" s="935">
        <v>27.15</v>
      </c>
      <c r="Y93" s="935">
        <v>27.38</v>
      </c>
      <c r="Z93" s="935">
        <v>27.74</v>
      </c>
      <c r="AA93" s="935">
        <v>28.08</v>
      </c>
      <c r="AB93" s="935">
        <v>28.48</v>
      </c>
      <c r="AC93" s="935">
        <v>28.86</v>
      </c>
      <c r="AD93" s="935">
        <v>29.25</v>
      </c>
      <c r="AE93" s="974">
        <v>7.0000000000000001E-3</v>
      </c>
      <c r="AF93" s="935"/>
      <c r="AG93" s="935"/>
      <c r="AH93" s="935"/>
      <c r="AI93" s="935"/>
      <c r="AJ93" s="935"/>
      <c r="AK93" s="935"/>
      <c r="AL93" s="935"/>
      <c r="AM93" s="935"/>
      <c r="AN93" s="935"/>
      <c r="AO93" s="935"/>
      <c r="AP93" s="935"/>
      <c r="AQ93" s="935"/>
      <c r="AR93" s="935"/>
      <c r="AS93" s="935"/>
      <c r="AT93" s="935"/>
      <c r="AU93" s="935"/>
      <c r="AV93" s="935"/>
      <c r="AW93" s="935"/>
      <c r="AX93" s="935"/>
      <c r="AY93" s="935"/>
      <c r="AZ93" s="935"/>
      <c r="BA93" s="935"/>
      <c r="BB93" s="935"/>
      <c r="BC93" s="935"/>
      <c r="BD93" s="935"/>
      <c r="BE93" s="935"/>
      <c r="BF93" s="935"/>
      <c r="BG93" s="935"/>
      <c r="BH93" s="935"/>
      <c r="BI93" s="935"/>
      <c r="BJ93" s="935"/>
      <c r="BK93" s="935"/>
      <c r="BL93" s="935"/>
      <c r="BM93" s="935"/>
      <c r="BN93" s="935"/>
      <c r="BO93" s="935"/>
      <c r="BP93" s="935"/>
      <c r="BQ93" s="935"/>
      <c r="BR93" s="935"/>
      <c r="BS93" s="935"/>
      <c r="BT93" s="935"/>
    </row>
    <row r="94" spans="1:72" x14ac:dyDescent="0.25">
      <c r="A94" s="935" t="s">
        <v>610</v>
      </c>
      <c r="B94" s="935">
        <v>18.07</v>
      </c>
      <c r="C94" s="935">
        <v>22.31</v>
      </c>
      <c r="D94" s="935">
        <v>16.399999999999999</v>
      </c>
      <c r="E94" s="935">
        <v>14.38</v>
      </c>
      <c r="F94" s="935">
        <v>15.38</v>
      </c>
      <c r="G94" s="935">
        <v>16.55</v>
      </c>
      <c r="H94" s="935">
        <v>17.59</v>
      </c>
      <c r="I94" s="935">
        <v>18.32</v>
      </c>
      <c r="J94" s="935">
        <v>19</v>
      </c>
      <c r="K94" s="935">
        <v>19.8</v>
      </c>
      <c r="L94" s="935">
        <v>20.440000000000001</v>
      </c>
      <c r="M94" s="935">
        <v>21.08</v>
      </c>
      <c r="N94" s="935">
        <v>21.49</v>
      </c>
      <c r="O94" s="935">
        <v>21.83</v>
      </c>
      <c r="P94" s="935">
        <v>22.03</v>
      </c>
      <c r="Q94" s="935">
        <v>22.36</v>
      </c>
      <c r="R94" s="935">
        <v>22.56</v>
      </c>
      <c r="S94" s="935">
        <v>22.67</v>
      </c>
      <c r="T94" s="935">
        <v>22.97</v>
      </c>
      <c r="U94" s="935">
        <v>23.22</v>
      </c>
      <c r="V94" s="935">
        <v>23.48</v>
      </c>
      <c r="W94" s="935">
        <v>23.81</v>
      </c>
      <c r="X94" s="935">
        <v>24.22</v>
      </c>
      <c r="Y94" s="935">
        <v>24.4</v>
      </c>
      <c r="Z94" s="935">
        <v>24.84</v>
      </c>
      <c r="AA94" s="935">
        <v>25.25</v>
      </c>
      <c r="AB94" s="935">
        <v>25.6</v>
      </c>
      <c r="AC94" s="935">
        <v>26.02</v>
      </c>
      <c r="AD94" s="935">
        <v>26.48</v>
      </c>
      <c r="AE94" s="974">
        <v>6.0000000000000001E-3</v>
      </c>
      <c r="AF94" s="935"/>
      <c r="AG94" s="935"/>
      <c r="AH94" s="935"/>
      <c r="AI94" s="935"/>
      <c r="AJ94" s="935"/>
      <c r="AK94" s="935"/>
      <c r="AL94" s="935"/>
      <c r="AM94" s="935"/>
      <c r="AN94" s="935"/>
      <c r="AO94" s="935"/>
      <c r="AP94" s="935"/>
      <c r="AQ94" s="935"/>
      <c r="AR94" s="935"/>
      <c r="AS94" s="935"/>
      <c r="AT94" s="935"/>
      <c r="AU94" s="935"/>
      <c r="AV94" s="935"/>
      <c r="AW94" s="935"/>
      <c r="AX94" s="935"/>
      <c r="AY94" s="935"/>
      <c r="AZ94" s="935"/>
      <c r="BA94" s="935"/>
      <c r="BB94" s="935"/>
      <c r="BC94" s="935"/>
      <c r="BD94" s="935"/>
      <c r="BE94" s="935"/>
      <c r="BF94" s="935"/>
      <c r="BG94" s="935"/>
      <c r="BH94" s="935"/>
      <c r="BI94" s="935"/>
      <c r="BJ94" s="935"/>
      <c r="BK94" s="935"/>
      <c r="BL94" s="935"/>
      <c r="BM94" s="935"/>
      <c r="BN94" s="935"/>
      <c r="BO94" s="935"/>
      <c r="BP94" s="935"/>
      <c r="BQ94" s="935"/>
      <c r="BR94" s="935"/>
      <c r="BS94" s="935"/>
      <c r="BT94" s="935"/>
    </row>
    <row r="95" spans="1:72" x14ac:dyDescent="0.25">
      <c r="A95" s="935" t="s">
        <v>611</v>
      </c>
      <c r="B95" s="935">
        <v>8.84</v>
      </c>
      <c r="C95" s="935">
        <v>16.309999999999999</v>
      </c>
      <c r="D95" s="935">
        <v>9.75</v>
      </c>
      <c r="E95" s="935">
        <v>13.12</v>
      </c>
      <c r="F95" s="935">
        <v>13.24</v>
      </c>
      <c r="G95" s="935">
        <v>14.32</v>
      </c>
      <c r="H95" s="935">
        <v>15.31</v>
      </c>
      <c r="I95" s="935">
        <v>16.079999999999998</v>
      </c>
      <c r="J95" s="935">
        <v>16.47</v>
      </c>
      <c r="K95" s="935">
        <v>16.96</v>
      </c>
      <c r="L95" s="935">
        <v>17.37</v>
      </c>
      <c r="M95" s="935">
        <v>17.82</v>
      </c>
      <c r="N95" s="935">
        <v>18.09</v>
      </c>
      <c r="O95" s="935">
        <v>18.2</v>
      </c>
      <c r="P95" s="935">
        <v>18.43</v>
      </c>
      <c r="Q95" s="935">
        <v>18.61</v>
      </c>
      <c r="R95" s="935">
        <v>18.82</v>
      </c>
      <c r="S95" s="935">
        <v>19.03</v>
      </c>
      <c r="T95" s="935">
        <v>19.23</v>
      </c>
      <c r="U95" s="935">
        <v>19.3</v>
      </c>
      <c r="V95" s="935">
        <v>19.489999999999998</v>
      </c>
      <c r="W95" s="935">
        <v>19.73</v>
      </c>
      <c r="X95" s="935">
        <v>19.98</v>
      </c>
      <c r="Y95" s="935">
        <v>20.27</v>
      </c>
      <c r="Z95" s="935">
        <v>20.61</v>
      </c>
      <c r="AA95" s="935">
        <v>20.87</v>
      </c>
      <c r="AB95" s="935">
        <v>21.12</v>
      </c>
      <c r="AC95" s="935">
        <v>21.44</v>
      </c>
      <c r="AD95" s="935">
        <v>21.72</v>
      </c>
      <c r="AE95" s="974">
        <v>1.0999999999999999E-2</v>
      </c>
      <c r="AF95" s="935"/>
      <c r="AG95" s="935"/>
      <c r="AH95" s="935"/>
      <c r="AI95" s="935"/>
      <c r="AJ95" s="935"/>
      <c r="AK95" s="935"/>
      <c r="AL95" s="935"/>
      <c r="AM95" s="935"/>
      <c r="AN95" s="935"/>
      <c r="AO95" s="935"/>
      <c r="AP95" s="935"/>
      <c r="AQ95" s="935"/>
      <c r="AR95" s="935"/>
      <c r="AS95" s="935"/>
      <c r="AT95" s="935"/>
      <c r="AU95" s="935"/>
      <c r="AV95" s="935"/>
      <c r="AW95" s="935"/>
      <c r="AX95" s="935"/>
      <c r="AY95" s="935"/>
      <c r="AZ95" s="935"/>
      <c r="BA95" s="935"/>
      <c r="BB95" s="935"/>
      <c r="BC95" s="935"/>
      <c r="BD95" s="935"/>
      <c r="BE95" s="935"/>
      <c r="BF95" s="935"/>
      <c r="BG95" s="935"/>
      <c r="BH95" s="935"/>
      <c r="BI95" s="935"/>
      <c r="BJ95" s="935"/>
      <c r="BK95" s="935"/>
      <c r="BL95" s="935"/>
      <c r="BM95" s="935"/>
      <c r="BN95" s="935"/>
      <c r="BO95" s="935"/>
      <c r="BP95" s="935"/>
      <c r="BQ95" s="935"/>
      <c r="BR95" s="935"/>
      <c r="BS95" s="935"/>
      <c r="BT95" s="935"/>
    </row>
    <row r="96" spans="1:72" x14ac:dyDescent="0.25">
      <c r="A96" s="935" t="s">
        <v>613</v>
      </c>
      <c r="B96" s="935">
        <v>7.58</v>
      </c>
      <c r="C96" s="935">
        <v>9.11</v>
      </c>
      <c r="D96" s="935">
        <v>4.2</v>
      </c>
      <c r="E96" s="935">
        <v>4.87</v>
      </c>
      <c r="F96" s="935">
        <v>5.97</v>
      </c>
      <c r="G96" s="935">
        <v>6.39</v>
      </c>
      <c r="H96" s="935">
        <v>6.33</v>
      </c>
      <c r="I96" s="935">
        <v>6.28</v>
      </c>
      <c r="J96" s="935">
        <v>6.45</v>
      </c>
      <c r="K96" s="935">
        <v>6.52</v>
      </c>
      <c r="L96" s="935">
        <v>6.51</v>
      </c>
      <c r="M96" s="935">
        <v>6.55</v>
      </c>
      <c r="N96" s="935">
        <v>6.6</v>
      </c>
      <c r="O96" s="935">
        <v>6.7</v>
      </c>
      <c r="P96" s="935">
        <v>6.78</v>
      </c>
      <c r="Q96" s="935">
        <v>6.96</v>
      </c>
      <c r="R96" s="935">
        <v>7.01</v>
      </c>
      <c r="S96" s="935">
        <v>6.96</v>
      </c>
      <c r="T96" s="935">
        <v>7.02</v>
      </c>
      <c r="U96" s="935">
        <v>7.15</v>
      </c>
      <c r="V96" s="935">
        <v>7.29</v>
      </c>
      <c r="W96" s="935">
        <v>7.51</v>
      </c>
      <c r="X96" s="935">
        <v>7.73</v>
      </c>
      <c r="Y96" s="935">
        <v>7.98</v>
      </c>
      <c r="Z96" s="935">
        <v>8.2899999999999991</v>
      </c>
      <c r="AA96" s="935">
        <v>8.4</v>
      </c>
      <c r="AB96" s="935">
        <v>8.42</v>
      </c>
      <c r="AC96" s="935">
        <v>8.61</v>
      </c>
      <c r="AD96" s="935">
        <v>8.73</v>
      </c>
      <c r="AE96" s="974">
        <v>-2E-3</v>
      </c>
      <c r="AF96" s="935"/>
      <c r="AG96" s="935"/>
      <c r="AH96" s="935"/>
      <c r="AI96" s="935"/>
      <c r="AJ96" s="935"/>
      <c r="AK96" s="935"/>
      <c r="AL96" s="935"/>
      <c r="AM96" s="935"/>
      <c r="AN96" s="935"/>
      <c r="AO96" s="935"/>
      <c r="AP96" s="935"/>
      <c r="AQ96" s="935"/>
      <c r="AR96" s="935"/>
      <c r="AS96" s="935"/>
      <c r="AT96" s="935"/>
      <c r="AU96" s="935"/>
      <c r="AV96" s="935"/>
      <c r="AW96" s="935"/>
      <c r="AX96" s="935"/>
      <c r="AY96" s="935"/>
      <c r="AZ96" s="935"/>
      <c r="BA96" s="935"/>
      <c r="BB96" s="935"/>
      <c r="BC96" s="935"/>
      <c r="BD96" s="935"/>
      <c r="BE96" s="935"/>
      <c r="BF96" s="935"/>
      <c r="BG96" s="935"/>
      <c r="BH96" s="935"/>
      <c r="BI96" s="935"/>
      <c r="BJ96" s="935"/>
      <c r="BK96" s="935"/>
      <c r="BL96" s="935"/>
      <c r="BM96" s="935"/>
      <c r="BN96" s="935"/>
      <c r="BO96" s="935"/>
      <c r="BP96" s="935"/>
      <c r="BQ96" s="935"/>
      <c r="BR96" s="935"/>
      <c r="BS96" s="935"/>
      <c r="BT96" s="935"/>
    </row>
    <row r="97" spans="1:72" x14ac:dyDescent="0.25">
      <c r="A97" s="935" t="s">
        <v>614</v>
      </c>
      <c r="B97" s="935">
        <v>3.69</v>
      </c>
      <c r="C97" s="935">
        <v>4.49</v>
      </c>
      <c r="D97" s="935">
        <v>4.72</v>
      </c>
      <c r="E97" s="935">
        <v>4.8</v>
      </c>
      <c r="F97" s="935">
        <v>4.8600000000000003</v>
      </c>
      <c r="G97" s="935">
        <v>5.0199999999999996</v>
      </c>
      <c r="H97" s="935">
        <v>5.05</v>
      </c>
      <c r="I97" s="935">
        <v>5.08</v>
      </c>
      <c r="J97" s="935">
        <v>5.08</v>
      </c>
      <c r="K97" s="935">
        <v>5.09</v>
      </c>
      <c r="L97" s="935">
        <v>5.16</v>
      </c>
      <c r="M97" s="935">
        <v>5.22</v>
      </c>
      <c r="N97" s="935">
        <v>5.29</v>
      </c>
      <c r="O97" s="935">
        <v>5.32</v>
      </c>
      <c r="P97" s="935">
        <v>5.35</v>
      </c>
      <c r="Q97" s="935">
        <v>5.36</v>
      </c>
      <c r="R97" s="935">
        <v>5.35</v>
      </c>
      <c r="S97" s="935">
        <v>5.32</v>
      </c>
      <c r="T97" s="935">
        <v>5.24</v>
      </c>
      <c r="U97" s="935">
        <v>5.16</v>
      </c>
      <c r="V97" s="935">
        <v>5.14</v>
      </c>
      <c r="W97" s="935">
        <v>5.14</v>
      </c>
      <c r="X97" s="935">
        <v>5.1100000000000003</v>
      </c>
      <c r="Y97" s="935">
        <v>5.1100000000000003</v>
      </c>
      <c r="Z97" s="935">
        <v>5.09</v>
      </c>
      <c r="AA97" s="935">
        <v>5.08</v>
      </c>
      <c r="AB97" s="935">
        <v>5.08</v>
      </c>
      <c r="AC97" s="935">
        <v>5.0599999999999996</v>
      </c>
      <c r="AD97" s="935">
        <v>5.0599999999999996</v>
      </c>
      <c r="AE97" s="974">
        <v>4.0000000000000001E-3</v>
      </c>
      <c r="AF97" s="935"/>
      <c r="AG97" s="935"/>
      <c r="AH97" s="935"/>
      <c r="AI97" s="935"/>
      <c r="AJ97" s="935"/>
      <c r="AK97" s="935"/>
      <c r="AL97" s="935"/>
      <c r="AM97" s="935"/>
      <c r="AN97" s="935"/>
      <c r="AO97" s="935"/>
      <c r="AP97" s="935"/>
      <c r="AQ97" s="935"/>
      <c r="AR97" s="935"/>
      <c r="AS97" s="935"/>
      <c r="AT97" s="935"/>
      <c r="AU97" s="935"/>
      <c r="AV97" s="935"/>
      <c r="AW97" s="935"/>
      <c r="AX97" s="935"/>
      <c r="AY97" s="935"/>
      <c r="AZ97" s="935"/>
      <c r="BA97" s="935"/>
      <c r="BB97" s="935"/>
      <c r="BC97" s="935"/>
      <c r="BD97" s="935"/>
      <c r="BE97" s="935"/>
      <c r="BF97" s="935"/>
      <c r="BG97" s="935"/>
      <c r="BH97" s="935"/>
      <c r="BI97" s="935"/>
      <c r="BJ97" s="935"/>
      <c r="BK97" s="935"/>
      <c r="BL97" s="935"/>
      <c r="BM97" s="935"/>
      <c r="BN97" s="935"/>
      <c r="BO97" s="935"/>
      <c r="BP97" s="935"/>
      <c r="BQ97" s="935"/>
      <c r="BR97" s="935"/>
      <c r="BS97" s="935"/>
      <c r="BT97" s="935"/>
    </row>
    <row r="98" spans="1:72" x14ac:dyDescent="0.25">
      <c r="A98" s="935" t="s">
        <v>615</v>
      </c>
      <c r="B98" s="935">
        <v>2.48</v>
      </c>
      <c r="C98" s="935">
        <v>2.84</v>
      </c>
      <c r="D98" s="935">
        <v>2.79</v>
      </c>
      <c r="E98" s="935">
        <v>2.69</v>
      </c>
      <c r="F98" s="935">
        <v>2.69</v>
      </c>
      <c r="G98" s="935">
        <v>2.69</v>
      </c>
      <c r="H98" s="935">
        <v>2.66</v>
      </c>
      <c r="I98" s="935">
        <v>2.68</v>
      </c>
      <c r="J98" s="935">
        <v>2.69</v>
      </c>
      <c r="K98" s="935">
        <v>2.68</v>
      </c>
      <c r="L98" s="935">
        <v>2.69</v>
      </c>
      <c r="M98" s="935">
        <v>2.68</v>
      </c>
      <c r="N98" s="935">
        <v>2.67</v>
      </c>
      <c r="O98" s="935">
        <v>2.66</v>
      </c>
      <c r="P98" s="935">
        <v>2.65</v>
      </c>
      <c r="Q98" s="935">
        <v>2.65</v>
      </c>
      <c r="R98" s="935">
        <v>2.63</v>
      </c>
      <c r="S98" s="935">
        <v>2.63</v>
      </c>
      <c r="T98" s="935">
        <v>2.63</v>
      </c>
      <c r="U98" s="935">
        <v>2.64</v>
      </c>
      <c r="V98" s="935">
        <v>2.63</v>
      </c>
      <c r="W98" s="935">
        <v>2.64</v>
      </c>
      <c r="X98" s="935">
        <v>2.65</v>
      </c>
      <c r="Y98" s="935">
        <v>2.66</v>
      </c>
      <c r="Z98" s="935">
        <v>2.67</v>
      </c>
      <c r="AA98" s="935">
        <v>2.67</v>
      </c>
      <c r="AB98" s="935">
        <v>2.69</v>
      </c>
      <c r="AC98" s="935">
        <v>2.7</v>
      </c>
      <c r="AD98" s="935">
        <v>2.71</v>
      </c>
      <c r="AE98" s="974">
        <v>-2E-3</v>
      </c>
      <c r="AF98" s="935"/>
      <c r="AG98" s="935"/>
      <c r="AH98" s="935"/>
      <c r="AI98" s="935"/>
      <c r="AJ98" s="935"/>
      <c r="AK98" s="935"/>
      <c r="AL98" s="935"/>
      <c r="AM98" s="935"/>
      <c r="AN98" s="935"/>
      <c r="AO98" s="935"/>
      <c r="AP98" s="935"/>
      <c r="AQ98" s="935"/>
      <c r="AR98" s="935"/>
      <c r="AS98" s="935"/>
      <c r="AT98" s="935"/>
      <c r="AU98" s="935"/>
      <c r="AV98" s="935"/>
      <c r="AW98" s="935"/>
      <c r="AX98" s="935"/>
      <c r="AY98" s="935"/>
      <c r="AZ98" s="935"/>
      <c r="BA98" s="935"/>
      <c r="BB98" s="935"/>
      <c r="BC98" s="935"/>
      <c r="BD98" s="935"/>
      <c r="BE98" s="935"/>
      <c r="BF98" s="935"/>
      <c r="BG98" s="935"/>
      <c r="BH98" s="935"/>
      <c r="BI98" s="935"/>
      <c r="BJ98" s="935"/>
      <c r="BK98" s="935"/>
      <c r="BL98" s="935"/>
      <c r="BM98" s="935"/>
      <c r="BN98" s="935"/>
      <c r="BO98" s="935"/>
      <c r="BP98" s="935"/>
      <c r="BQ98" s="935"/>
      <c r="BR98" s="935"/>
      <c r="BS98" s="935"/>
      <c r="BT98" s="935"/>
    </row>
    <row r="99" spans="1:72" x14ac:dyDescent="0.25">
      <c r="A99" s="935" t="s">
        <v>616</v>
      </c>
      <c r="B99" s="935" t="s">
        <v>788</v>
      </c>
      <c r="C99" s="935" t="s">
        <v>788</v>
      </c>
      <c r="D99" s="935" t="s">
        <v>788</v>
      </c>
      <c r="E99" s="935" t="s">
        <v>788</v>
      </c>
      <c r="F99" s="935">
        <v>1.26</v>
      </c>
      <c r="G99" s="935">
        <v>1.04</v>
      </c>
      <c r="H99" s="935">
        <v>1.04</v>
      </c>
      <c r="I99" s="935">
        <v>1.41</v>
      </c>
      <c r="J99" s="935">
        <v>1.42</v>
      </c>
      <c r="K99" s="935">
        <v>1.46</v>
      </c>
      <c r="L99" s="935">
        <v>1.48</v>
      </c>
      <c r="M99" s="935">
        <v>1.48</v>
      </c>
      <c r="N99" s="935">
        <v>1.47</v>
      </c>
      <c r="O99" s="935">
        <v>1.46</v>
      </c>
      <c r="P99" s="935">
        <v>1.49</v>
      </c>
      <c r="Q99" s="935">
        <v>1.5</v>
      </c>
      <c r="R99" s="935">
        <v>1.52</v>
      </c>
      <c r="S99" s="935">
        <v>1.49</v>
      </c>
      <c r="T99" s="935">
        <v>1.49</v>
      </c>
      <c r="U99" s="935">
        <v>1.47</v>
      </c>
      <c r="V99" s="935">
        <v>1.46</v>
      </c>
      <c r="W99" s="935">
        <v>1.45</v>
      </c>
      <c r="X99" s="935">
        <v>1.44</v>
      </c>
      <c r="Y99" s="935">
        <v>1.44</v>
      </c>
      <c r="Z99" s="935">
        <v>1.44</v>
      </c>
      <c r="AA99" s="935">
        <v>1.44</v>
      </c>
      <c r="AB99" s="935">
        <v>1.46</v>
      </c>
      <c r="AC99" s="935">
        <v>1.48</v>
      </c>
      <c r="AD99" s="935">
        <v>1.51</v>
      </c>
      <c r="AE99" s="935" t="s">
        <v>788</v>
      </c>
      <c r="AF99" s="935"/>
      <c r="AG99" s="935"/>
      <c r="AH99" s="935"/>
      <c r="AI99" s="935"/>
      <c r="AJ99" s="935"/>
      <c r="AK99" s="935"/>
      <c r="AL99" s="935"/>
      <c r="AM99" s="935"/>
      <c r="AN99" s="935"/>
      <c r="AO99" s="935"/>
      <c r="AP99" s="935"/>
      <c r="AQ99" s="935"/>
      <c r="AR99" s="935"/>
      <c r="AS99" s="935"/>
      <c r="AT99" s="935"/>
      <c r="AU99" s="935"/>
      <c r="AV99" s="935"/>
      <c r="AW99" s="935"/>
      <c r="AX99" s="935"/>
      <c r="AY99" s="935"/>
      <c r="AZ99" s="935"/>
      <c r="BA99" s="935"/>
      <c r="BB99" s="935"/>
      <c r="BC99" s="935"/>
      <c r="BD99" s="935"/>
      <c r="BE99" s="935"/>
      <c r="BF99" s="935"/>
      <c r="BG99" s="935"/>
      <c r="BH99" s="935"/>
      <c r="BI99" s="935"/>
      <c r="BJ99" s="935"/>
      <c r="BK99" s="935"/>
      <c r="BL99" s="935"/>
      <c r="BM99" s="935"/>
      <c r="BN99" s="935"/>
      <c r="BO99" s="935"/>
      <c r="BP99" s="935"/>
      <c r="BQ99" s="935"/>
      <c r="BR99" s="935"/>
      <c r="BS99" s="935"/>
      <c r="BT99" s="935"/>
    </row>
    <row r="100" spans="1:72" x14ac:dyDescent="0.25">
      <c r="A100" s="935" t="s">
        <v>479</v>
      </c>
      <c r="B100" s="935">
        <v>19.02</v>
      </c>
      <c r="C100" s="935">
        <v>20.21</v>
      </c>
      <c r="D100" s="935">
        <v>20.04</v>
      </c>
      <c r="E100" s="935">
        <v>19.149999999999999</v>
      </c>
      <c r="F100" s="935">
        <v>17.11</v>
      </c>
      <c r="G100" s="935">
        <v>17.73</v>
      </c>
      <c r="H100" s="935">
        <v>17.62</v>
      </c>
      <c r="I100" s="935">
        <v>17.350000000000001</v>
      </c>
      <c r="J100" s="935">
        <v>17.37</v>
      </c>
      <c r="K100" s="935">
        <v>17.62</v>
      </c>
      <c r="L100" s="935">
        <v>17.75</v>
      </c>
      <c r="M100" s="935">
        <v>17.77</v>
      </c>
      <c r="N100" s="935">
        <v>17.75</v>
      </c>
      <c r="O100" s="935">
        <v>17.920000000000002</v>
      </c>
      <c r="P100" s="935">
        <v>18.07</v>
      </c>
      <c r="Q100" s="935">
        <v>18.190000000000001</v>
      </c>
      <c r="R100" s="935">
        <v>18.38</v>
      </c>
      <c r="S100" s="935">
        <v>18.53</v>
      </c>
      <c r="T100" s="935">
        <v>18.5</v>
      </c>
      <c r="U100" s="935">
        <v>18.61</v>
      </c>
      <c r="V100" s="935">
        <v>18.78</v>
      </c>
      <c r="W100" s="935">
        <v>18.97</v>
      </c>
      <c r="X100" s="935">
        <v>19.3</v>
      </c>
      <c r="Y100" s="935">
        <v>19.579999999999998</v>
      </c>
      <c r="Z100" s="935">
        <v>19.88</v>
      </c>
      <c r="AA100" s="935">
        <v>20.16</v>
      </c>
      <c r="AB100" s="935">
        <v>20.3</v>
      </c>
      <c r="AC100" s="935">
        <v>20.52</v>
      </c>
      <c r="AD100" s="935">
        <v>20.71</v>
      </c>
      <c r="AE100" s="974">
        <v>1E-3</v>
      </c>
      <c r="AF100" s="935"/>
      <c r="AG100" s="935"/>
      <c r="AH100" s="935"/>
      <c r="AI100" s="935"/>
      <c r="AJ100" s="935"/>
      <c r="AK100" s="935"/>
      <c r="AL100" s="935"/>
      <c r="AM100" s="935"/>
      <c r="AN100" s="935"/>
      <c r="AO100" s="935"/>
      <c r="AP100" s="935"/>
      <c r="AQ100" s="935"/>
      <c r="AR100" s="935"/>
      <c r="AS100" s="935"/>
      <c r="AT100" s="935"/>
      <c r="AU100" s="935"/>
      <c r="AV100" s="935"/>
      <c r="AW100" s="935"/>
      <c r="AX100" s="935"/>
      <c r="AY100" s="935"/>
      <c r="AZ100" s="935"/>
      <c r="BA100" s="935"/>
      <c r="BB100" s="935"/>
      <c r="BC100" s="935"/>
      <c r="BD100" s="935"/>
      <c r="BE100" s="935"/>
      <c r="BF100" s="935"/>
      <c r="BG100" s="935"/>
      <c r="BH100" s="935"/>
      <c r="BI100" s="935"/>
      <c r="BJ100" s="935"/>
      <c r="BK100" s="935"/>
      <c r="BL100" s="935"/>
      <c r="BM100" s="935"/>
      <c r="BN100" s="935"/>
      <c r="BO100" s="935"/>
      <c r="BP100" s="935"/>
      <c r="BQ100" s="935"/>
      <c r="BR100" s="935"/>
      <c r="BS100" s="935"/>
      <c r="BT100" s="935"/>
    </row>
    <row r="101" spans="1:72" x14ac:dyDescent="0.25">
      <c r="A101" s="935"/>
      <c r="B101" s="935"/>
      <c r="C101" s="935"/>
      <c r="D101" s="935"/>
      <c r="E101" s="935"/>
      <c r="F101" s="935"/>
      <c r="G101" s="935"/>
      <c r="H101" s="935"/>
      <c r="I101" s="935"/>
      <c r="J101" s="935"/>
      <c r="K101" s="935"/>
      <c r="L101" s="935"/>
      <c r="M101" s="935"/>
      <c r="N101" s="935"/>
      <c r="O101" s="935"/>
      <c r="P101" s="935"/>
      <c r="Q101" s="935"/>
      <c r="R101" s="935"/>
      <c r="S101" s="935"/>
      <c r="T101" s="935"/>
      <c r="U101" s="935"/>
      <c r="V101" s="935"/>
      <c r="W101" s="935"/>
      <c r="X101" s="935"/>
      <c r="Y101" s="935"/>
      <c r="Z101" s="935"/>
      <c r="AA101" s="935"/>
      <c r="AB101" s="935"/>
      <c r="AC101" s="935"/>
      <c r="AD101" s="935"/>
      <c r="AE101" s="935"/>
      <c r="AF101" s="935"/>
      <c r="AG101" s="935"/>
      <c r="AH101" s="935"/>
      <c r="AI101" s="935"/>
      <c r="AJ101" s="935"/>
      <c r="AK101" s="935"/>
      <c r="AL101" s="935"/>
      <c r="AM101" s="935"/>
      <c r="AN101" s="935"/>
      <c r="AO101" s="935"/>
      <c r="AP101" s="935"/>
      <c r="AQ101" s="935"/>
      <c r="AR101" s="935"/>
      <c r="AS101" s="935"/>
      <c r="AT101" s="935"/>
      <c r="AU101" s="935"/>
      <c r="AV101" s="935"/>
      <c r="AW101" s="935"/>
      <c r="AX101" s="935"/>
      <c r="AY101" s="935"/>
      <c r="AZ101" s="935"/>
      <c r="BA101" s="935"/>
      <c r="BB101" s="935"/>
      <c r="BC101" s="935"/>
      <c r="BD101" s="935"/>
      <c r="BE101" s="935"/>
      <c r="BF101" s="935"/>
      <c r="BG101" s="935"/>
      <c r="BH101" s="935"/>
      <c r="BI101" s="935"/>
      <c r="BJ101" s="935"/>
      <c r="BK101" s="935"/>
      <c r="BL101" s="935"/>
      <c r="BM101" s="935"/>
      <c r="BN101" s="935"/>
      <c r="BO101" s="935"/>
      <c r="BP101" s="935"/>
      <c r="BQ101" s="935"/>
      <c r="BR101" s="935"/>
      <c r="BS101" s="935"/>
      <c r="BT101" s="935"/>
    </row>
    <row r="102" spans="1:72" x14ac:dyDescent="0.25">
      <c r="A102" s="935" t="s">
        <v>487</v>
      </c>
      <c r="B102" s="935"/>
      <c r="C102" s="935"/>
      <c r="D102" s="935"/>
      <c r="E102" s="935"/>
      <c r="F102" s="935"/>
      <c r="G102" s="935"/>
      <c r="H102" s="935"/>
      <c r="I102" s="935"/>
      <c r="J102" s="935"/>
      <c r="K102" s="935"/>
      <c r="L102" s="935"/>
      <c r="M102" s="935"/>
      <c r="N102" s="935"/>
      <c r="O102" s="935"/>
      <c r="P102" s="935"/>
      <c r="Q102" s="935"/>
      <c r="R102" s="935"/>
      <c r="S102" s="935"/>
      <c r="T102" s="935"/>
      <c r="U102" s="935"/>
      <c r="V102" s="935"/>
      <c r="W102" s="935"/>
      <c r="X102" s="935"/>
      <c r="Y102" s="935"/>
      <c r="Z102" s="935"/>
      <c r="AA102" s="935"/>
      <c r="AB102" s="935"/>
      <c r="AC102" s="935"/>
      <c r="AD102" s="935"/>
      <c r="AE102" s="935"/>
      <c r="AF102" s="935"/>
      <c r="AG102" s="935"/>
      <c r="AH102" s="935"/>
      <c r="AI102" s="935"/>
      <c r="AJ102" s="935"/>
      <c r="AK102" s="935"/>
      <c r="AL102" s="935"/>
      <c r="AM102" s="935"/>
      <c r="AN102" s="935"/>
      <c r="AO102" s="935"/>
      <c r="AP102" s="935"/>
      <c r="AQ102" s="935"/>
      <c r="AR102" s="935"/>
      <c r="AS102" s="935"/>
      <c r="AT102" s="935"/>
      <c r="AU102" s="935"/>
      <c r="AV102" s="935"/>
      <c r="AW102" s="935"/>
      <c r="AX102" s="935"/>
      <c r="AY102" s="935"/>
      <c r="AZ102" s="935"/>
      <c r="BA102" s="935"/>
      <c r="BB102" s="935"/>
      <c r="BC102" s="935"/>
      <c r="BD102" s="935"/>
      <c r="BE102" s="935"/>
      <c r="BF102" s="935"/>
      <c r="BG102" s="935"/>
      <c r="BH102" s="935"/>
      <c r="BI102" s="935"/>
      <c r="BJ102" s="935"/>
      <c r="BK102" s="935"/>
      <c r="BL102" s="935"/>
      <c r="BM102" s="935"/>
      <c r="BN102" s="935"/>
      <c r="BO102" s="935"/>
      <c r="BP102" s="935"/>
      <c r="BQ102" s="935"/>
      <c r="BR102" s="935"/>
      <c r="BS102" s="935"/>
      <c r="BT102" s="935"/>
    </row>
    <row r="103" spans="1:72" x14ac:dyDescent="0.25">
      <c r="A103" s="935" t="s">
        <v>617</v>
      </c>
      <c r="B103" s="935">
        <v>23.83</v>
      </c>
      <c r="C103" s="935">
        <v>29.93</v>
      </c>
      <c r="D103" s="935">
        <v>25.2</v>
      </c>
      <c r="E103" s="935">
        <v>23.89</v>
      </c>
      <c r="F103" s="935">
        <v>23.98</v>
      </c>
      <c r="G103" s="935">
        <v>25.13</v>
      </c>
      <c r="H103" s="935">
        <v>26.33</v>
      </c>
      <c r="I103" s="935">
        <v>27.29</v>
      </c>
      <c r="J103" s="935">
        <v>27.88</v>
      </c>
      <c r="K103" s="935">
        <v>28.53</v>
      </c>
      <c r="L103" s="935">
        <v>29.07</v>
      </c>
      <c r="M103" s="935">
        <v>29.65</v>
      </c>
      <c r="N103" s="935">
        <v>29.91</v>
      </c>
      <c r="O103" s="935">
        <v>30.13</v>
      </c>
      <c r="P103" s="935">
        <v>30.36</v>
      </c>
      <c r="Q103" s="935">
        <v>30.56</v>
      </c>
      <c r="R103" s="935">
        <v>30.83</v>
      </c>
      <c r="S103" s="935">
        <v>31.1</v>
      </c>
      <c r="T103" s="935">
        <v>31.36</v>
      </c>
      <c r="U103" s="935">
        <v>31.5</v>
      </c>
      <c r="V103" s="935">
        <v>31.77</v>
      </c>
      <c r="W103" s="935">
        <v>32.01</v>
      </c>
      <c r="X103" s="935">
        <v>32.36</v>
      </c>
      <c r="Y103" s="935">
        <v>32.58</v>
      </c>
      <c r="Z103" s="935">
        <v>32.93</v>
      </c>
      <c r="AA103" s="935">
        <v>33.26</v>
      </c>
      <c r="AB103" s="935">
        <v>33.64</v>
      </c>
      <c r="AC103" s="935">
        <v>34</v>
      </c>
      <c r="AD103" s="935">
        <v>34.380000000000003</v>
      </c>
      <c r="AE103" s="974">
        <v>5.0000000000000001E-3</v>
      </c>
      <c r="AF103" s="935"/>
      <c r="AG103" s="935"/>
      <c r="AH103" s="935"/>
      <c r="AI103" s="935"/>
      <c r="AJ103" s="935"/>
      <c r="AK103" s="935"/>
      <c r="AL103" s="935"/>
      <c r="AM103" s="935"/>
      <c r="AN103" s="935"/>
      <c r="AO103" s="935"/>
      <c r="AP103" s="935"/>
      <c r="AQ103" s="935"/>
      <c r="AR103" s="935"/>
      <c r="AS103" s="935"/>
      <c r="AT103" s="935"/>
      <c r="AU103" s="935"/>
      <c r="AV103" s="935"/>
      <c r="AW103" s="935"/>
      <c r="AX103" s="935"/>
      <c r="AY103" s="935"/>
      <c r="AZ103" s="935"/>
      <c r="BA103" s="935"/>
      <c r="BB103" s="935"/>
      <c r="BC103" s="935"/>
      <c r="BD103" s="935"/>
      <c r="BE103" s="935"/>
      <c r="BF103" s="935"/>
      <c r="BG103" s="935"/>
      <c r="BH103" s="935"/>
      <c r="BI103" s="935"/>
      <c r="BJ103" s="935"/>
      <c r="BK103" s="935"/>
      <c r="BL103" s="935"/>
      <c r="BM103" s="935"/>
      <c r="BN103" s="935"/>
      <c r="BO103" s="935"/>
      <c r="BP103" s="935"/>
      <c r="BQ103" s="935"/>
      <c r="BR103" s="935"/>
      <c r="BS103" s="935"/>
      <c r="BT103" s="935"/>
    </row>
    <row r="104" spans="1:72" x14ac:dyDescent="0.25">
      <c r="A104" s="935" t="s">
        <v>618</v>
      </c>
      <c r="B104" s="935">
        <v>27.43</v>
      </c>
      <c r="C104" s="935">
        <v>26.93</v>
      </c>
      <c r="D104" s="935">
        <v>23.29</v>
      </c>
      <c r="E104" s="935">
        <v>20.64</v>
      </c>
      <c r="F104" s="935">
        <v>20.97</v>
      </c>
      <c r="G104" s="935">
        <v>22.13</v>
      </c>
      <c r="H104" s="935">
        <v>24.21</v>
      </c>
      <c r="I104" s="935">
        <v>25.23</v>
      </c>
      <c r="J104" s="935">
        <v>25.55</v>
      </c>
      <c r="K104" s="935">
        <v>25.08</v>
      </c>
      <c r="L104" s="935">
        <v>25.9</v>
      </c>
      <c r="M104" s="935">
        <v>26.54</v>
      </c>
      <c r="N104" s="935">
        <v>26.68</v>
      </c>
      <c r="O104" s="935">
        <v>26.95</v>
      </c>
      <c r="P104" s="935">
        <v>27.32</v>
      </c>
      <c r="Q104" s="935">
        <v>27.82</v>
      </c>
      <c r="R104" s="935">
        <v>28.31</v>
      </c>
      <c r="S104" s="935">
        <v>28.55</v>
      </c>
      <c r="T104" s="935">
        <v>28.86</v>
      </c>
      <c r="U104" s="935">
        <v>29.22</v>
      </c>
      <c r="V104" s="935">
        <v>29.49</v>
      </c>
      <c r="W104" s="935">
        <v>30.03</v>
      </c>
      <c r="X104" s="935">
        <v>30.44</v>
      </c>
      <c r="Y104" s="935">
        <v>30.64</v>
      </c>
      <c r="Z104" s="935">
        <v>30.86</v>
      </c>
      <c r="AA104" s="935">
        <v>31.29</v>
      </c>
      <c r="AB104" s="935">
        <v>31.49</v>
      </c>
      <c r="AC104" s="935">
        <v>31.77</v>
      </c>
      <c r="AD104" s="935">
        <v>32.229999999999997</v>
      </c>
      <c r="AE104" s="974">
        <v>7.0000000000000001E-3</v>
      </c>
      <c r="AF104" s="935"/>
      <c r="AG104" s="935"/>
      <c r="AH104" s="935"/>
      <c r="AI104" s="935"/>
      <c r="AJ104" s="935"/>
      <c r="AK104" s="935"/>
      <c r="AL104" s="935"/>
      <c r="AM104" s="935"/>
      <c r="AN104" s="935"/>
      <c r="AO104" s="935"/>
      <c r="AP104" s="935"/>
      <c r="AQ104" s="935"/>
      <c r="AR104" s="935"/>
      <c r="AS104" s="935"/>
      <c r="AT104" s="935"/>
      <c r="AU104" s="935"/>
      <c r="AV104" s="935"/>
      <c r="AW104" s="935"/>
      <c r="AX104" s="935"/>
      <c r="AY104" s="935"/>
      <c r="AZ104" s="935"/>
      <c r="BA104" s="935"/>
      <c r="BB104" s="935"/>
      <c r="BC104" s="935"/>
      <c r="BD104" s="935"/>
      <c r="BE104" s="935"/>
      <c r="BF104" s="935"/>
      <c r="BG104" s="935"/>
      <c r="BH104" s="935"/>
      <c r="BI104" s="935"/>
      <c r="BJ104" s="935"/>
      <c r="BK104" s="935"/>
      <c r="BL104" s="935"/>
      <c r="BM104" s="935"/>
      <c r="BN104" s="935"/>
      <c r="BO104" s="935"/>
      <c r="BP104" s="935"/>
      <c r="BQ104" s="935"/>
      <c r="BR104" s="935"/>
      <c r="BS104" s="935"/>
      <c r="BT104" s="935"/>
    </row>
    <row r="105" spans="1:72" x14ac:dyDescent="0.25">
      <c r="A105" s="935" t="s">
        <v>619</v>
      </c>
      <c r="B105" s="935">
        <v>23.66</v>
      </c>
      <c r="C105" s="935">
        <v>26.76</v>
      </c>
      <c r="D105" s="935">
        <v>19.14</v>
      </c>
      <c r="E105" s="935">
        <v>20.55</v>
      </c>
      <c r="F105" s="935">
        <v>20.88</v>
      </c>
      <c r="G105" s="935">
        <v>22.03</v>
      </c>
      <c r="H105" s="935">
        <v>24.02</v>
      </c>
      <c r="I105" s="935">
        <v>24.94</v>
      </c>
      <c r="J105" s="935">
        <v>25.37</v>
      </c>
      <c r="K105" s="935">
        <v>25.94</v>
      </c>
      <c r="L105" s="935">
        <v>26.47</v>
      </c>
      <c r="M105" s="935">
        <v>26.89</v>
      </c>
      <c r="N105" s="935">
        <v>27.2</v>
      </c>
      <c r="O105" s="935">
        <v>27.59</v>
      </c>
      <c r="P105" s="935">
        <v>27.82</v>
      </c>
      <c r="Q105" s="935">
        <v>28.18</v>
      </c>
      <c r="R105" s="935">
        <v>28.42</v>
      </c>
      <c r="S105" s="935">
        <v>28.54</v>
      </c>
      <c r="T105" s="935">
        <v>28.87</v>
      </c>
      <c r="U105" s="935">
        <v>29.19</v>
      </c>
      <c r="V105" s="935">
        <v>29.47</v>
      </c>
      <c r="W105" s="935">
        <v>29.9</v>
      </c>
      <c r="X105" s="935">
        <v>30.27</v>
      </c>
      <c r="Y105" s="935">
        <v>30.42</v>
      </c>
      <c r="Z105" s="935">
        <v>30.77</v>
      </c>
      <c r="AA105" s="935">
        <v>31.16</v>
      </c>
      <c r="AB105" s="935">
        <v>31.44</v>
      </c>
      <c r="AC105" s="935">
        <v>31.81</v>
      </c>
      <c r="AD105" s="935">
        <v>32.33</v>
      </c>
      <c r="AE105" s="974">
        <v>7.0000000000000001E-3</v>
      </c>
      <c r="AF105" s="935"/>
      <c r="AG105" s="935"/>
      <c r="AH105" s="935"/>
      <c r="AI105" s="935"/>
      <c r="AJ105" s="935"/>
      <c r="AK105" s="935"/>
      <c r="AL105" s="935"/>
      <c r="AM105" s="935"/>
      <c r="AN105" s="935"/>
      <c r="AO105" s="935"/>
      <c r="AP105" s="935"/>
      <c r="AQ105" s="935"/>
      <c r="AR105" s="935"/>
      <c r="AS105" s="935"/>
      <c r="AT105" s="935"/>
      <c r="AU105" s="935"/>
      <c r="AV105" s="935"/>
      <c r="AW105" s="935"/>
      <c r="AX105" s="935"/>
      <c r="AY105" s="935"/>
      <c r="AZ105" s="935"/>
      <c r="BA105" s="935"/>
      <c r="BB105" s="935"/>
      <c r="BC105" s="935"/>
      <c r="BD105" s="935"/>
      <c r="BE105" s="935"/>
      <c r="BF105" s="935"/>
      <c r="BG105" s="935"/>
      <c r="BH105" s="935"/>
      <c r="BI105" s="935"/>
      <c r="BJ105" s="935"/>
      <c r="BK105" s="935"/>
      <c r="BL105" s="935"/>
      <c r="BM105" s="935"/>
      <c r="BN105" s="935"/>
      <c r="BO105" s="935"/>
      <c r="BP105" s="935"/>
      <c r="BQ105" s="935"/>
      <c r="BR105" s="935"/>
      <c r="BS105" s="935"/>
      <c r="BT105" s="935"/>
    </row>
    <row r="106" spans="1:72" x14ac:dyDescent="0.25">
      <c r="A106" s="935" t="s">
        <v>620</v>
      </c>
      <c r="B106" s="935">
        <v>15.77</v>
      </c>
      <c r="C106" s="935">
        <v>22.71</v>
      </c>
      <c r="D106" s="935">
        <v>12.73</v>
      </c>
      <c r="E106" s="935">
        <v>14.79</v>
      </c>
      <c r="F106" s="935">
        <v>15.16</v>
      </c>
      <c r="G106" s="935">
        <v>16.54</v>
      </c>
      <c r="H106" s="935">
        <v>17.690000000000001</v>
      </c>
      <c r="I106" s="935">
        <v>18.46</v>
      </c>
      <c r="J106" s="935">
        <v>19.04</v>
      </c>
      <c r="K106" s="935">
        <v>19.760000000000002</v>
      </c>
      <c r="L106" s="935">
        <v>20.41</v>
      </c>
      <c r="M106" s="935">
        <v>20.97</v>
      </c>
      <c r="N106" s="935">
        <v>21.35</v>
      </c>
      <c r="O106" s="935">
        <v>21.69</v>
      </c>
      <c r="P106" s="935">
        <v>21.85</v>
      </c>
      <c r="Q106" s="935">
        <v>22.09</v>
      </c>
      <c r="R106" s="935">
        <v>22.41</v>
      </c>
      <c r="S106" s="935">
        <v>22.61</v>
      </c>
      <c r="T106" s="935">
        <v>22.92</v>
      </c>
      <c r="U106" s="935">
        <v>23.19</v>
      </c>
      <c r="V106" s="935">
        <v>23.48</v>
      </c>
      <c r="W106" s="935">
        <v>23.9</v>
      </c>
      <c r="X106" s="935">
        <v>24.26</v>
      </c>
      <c r="Y106" s="935">
        <v>24.51</v>
      </c>
      <c r="Z106" s="935">
        <v>24.9</v>
      </c>
      <c r="AA106" s="935">
        <v>25.3</v>
      </c>
      <c r="AB106" s="935">
        <v>25.64</v>
      </c>
      <c r="AC106" s="935">
        <v>26.05</v>
      </c>
      <c r="AD106" s="935">
        <v>26.48</v>
      </c>
      <c r="AE106" s="974">
        <v>6.0000000000000001E-3</v>
      </c>
      <c r="AF106" s="935"/>
      <c r="AG106" s="935"/>
      <c r="AH106" s="935"/>
      <c r="AI106" s="935"/>
      <c r="AJ106" s="935"/>
      <c r="AK106" s="935"/>
      <c r="AL106" s="935"/>
      <c r="AM106" s="935"/>
      <c r="AN106" s="935"/>
      <c r="AO106" s="935"/>
      <c r="AP106" s="935"/>
      <c r="AQ106" s="935"/>
      <c r="AR106" s="935"/>
      <c r="AS106" s="935"/>
      <c r="AT106" s="935"/>
      <c r="AU106" s="935"/>
      <c r="AV106" s="935"/>
      <c r="AW106" s="935"/>
      <c r="AX106" s="935"/>
      <c r="AY106" s="935"/>
      <c r="AZ106" s="935"/>
      <c r="BA106" s="935"/>
      <c r="BB106" s="935"/>
      <c r="BC106" s="935"/>
      <c r="BD106" s="935"/>
      <c r="BE106" s="935"/>
      <c r="BF106" s="935"/>
      <c r="BG106" s="935"/>
      <c r="BH106" s="935"/>
      <c r="BI106" s="935"/>
      <c r="BJ106" s="935"/>
      <c r="BK106" s="935"/>
      <c r="BL106" s="935"/>
      <c r="BM106" s="935"/>
      <c r="BN106" s="935"/>
      <c r="BO106" s="935"/>
      <c r="BP106" s="935"/>
      <c r="BQ106" s="935"/>
      <c r="BR106" s="935"/>
      <c r="BS106" s="935"/>
      <c r="BT106" s="935"/>
    </row>
    <row r="107" spans="1:72" x14ac:dyDescent="0.25">
      <c r="A107" s="935" t="s">
        <v>724</v>
      </c>
      <c r="B107" s="935">
        <v>21.55</v>
      </c>
      <c r="C107" s="935">
        <v>27.65</v>
      </c>
      <c r="D107" s="935">
        <v>17.77</v>
      </c>
      <c r="E107" s="935">
        <v>19.12</v>
      </c>
      <c r="F107" s="935">
        <v>19.309999999999999</v>
      </c>
      <c r="G107" s="935">
        <v>20.51</v>
      </c>
      <c r="H107" s="935">
        <v>21.54</v>
      </c>
      <c r="I107" s="935">
        <v>22.25</v>
      </c>
      <c r="J107" s="935">
        <v>22.93</v>
      </c>
      <c r="K107" s="935">
        <v>23.68</v>
      </c>
      <c r="L107" s="935">
        <v>24.26</v>
      </c>
      <c r="M107" s="935">
        <v>24.91</v>
      </c>
      <c r="N107" s="935">
        <v>25.29</v>
      </c>
      <c r="O107" s="935">
        <v>25.6</v>
      </c>
      <c r="P107" s="935">
        <v>25.79</v>
      </c>
      <c r="Q107" s="935">
        <v>26.12</v>
      </c>
      <c r="R107" s="935">
        <v>26.26</v>
      </c>
      <c r="S107" s="935">
        <v>26.34</v>
      </c>
      <c r="T107" s="935">
        <v>26.63</v>
      </c>
      <c r="U107" s="935">
        <v>26.83</v>
      </c>
      <c r="V107" s="935">
        <v>27.09</v>
      </c>
      <c r="W107" s="935">
        <v>27.4</v>
      </c>
      <c r="X107" s="935">
        <v>27.8</v>
      </c>
      <c r="Y107" s="935">
        <v>27.96</v>
      </c>
      <c r="Z107" s="935">
        <v>28.38</v>
      </c>
      <c r="AA107" s="935">
        <v>28.78</v>
      </c>
      <c r="AB107" s="935">
        <v>29.09</v>
      </c>
      <c r="AC107" s="935">
        <v>29.49</v>
      </c>
      <c r="AD107" s="935">
        <v>29.96</v>
      </c>
      <c r="AE107" s="974">
        <v>3.0000000000000001E-3</v>
      </c>
      <c r="AF107" s="935"/>
      <c r="AG107" s="935"/>
      <c r="AH107" s="935"/>
      <c r="AI107" s="935"/>
      <c r="AJ107" s="935"/>
      <c r="AK107" s="935"/>
      <c r="AL107" s="935"/>
      <c r="AM107" s="935"/>
      <c r="AN107" s="935"/>
      <c r="AO107" s="935"/>
      <c r="AP107" s="935"/>
      <c r="AQ107" s="935"/>
      <c r="AR107" s="935"/>
      <c r="AS107" s="935"/>
      <c r="AT107" s="935"/>
      <c r="AU107" s="935"/>
      <c r="AV107" s="935"/>
      <c r="AW107" s="935"/>
      <c r="AX107" s="935"/>
      <c r="AY107" s="935"/>
      <c r="AZ107" s="935"/>
      <c r="BA107" s="935"/>
      <c r="BB107" s="935"/>
      <c r="BC107" s="935"/>
      <c r="BD107" s="935"/>
      <c r="BE107" s="935"/>
      <c r="BF107" s="935"/>
      <c r="BG107" s="935"/>
      <c r="BH107" s="935"/>
      <c r="BI107" s="935"/>
      <c r="BJ107" s="935"/>
      <c r="BK107" s="935"/>
      <c r="BL107" s="935"/>
      <c r="BM107" s="935"/>
      <c r="BN107" s="935"/>
      <c r="BO107" s="935"/>
      <c r="BP107" s="935"/>
      <c r="BQ107" s="935"/>
      <c r="BR107" s="935"/>
      <c r="BS107" s="935"/>
      <c r="BT107" s="935"/>
    </row>
    <row r="108" spans="1:72" x14ac:dyDescent="0.25">
      <c r="A108" s="935" t="s">
        <v>611</v>
      </c>
      <c r="B108" s="935">
        <v>9.19</v>
      </c>
      <c r="C108" s="935">
        <v>14.49</v>
      </c>
      <c r="D108" s="935">
        <v>8.86</v>
      </c>
      <c r="E108" s="935">
        <v>10.210000000000001</v>
      </c>
      <c r="F108" s="935">
        <v>10.32</v>
      </c>
      <c r="G108" s="935">
        <v>11.5</v>
      </c>
      <c r="H108" s="935">
        <v>12.44</v>
      </c>
      <c r="I108" s="935">
        <v>13.18</v>
      </c>
      <c r="J108" s="935">
        <v>13.58</v>
      </c>
      <c r="K108" s="935">
        <v>13.9</v>
      </c>
      <c r="L108" s="935">
        <v>14.43</v>
      </c>
      <c r="M108" s="935">
        <v>14.81</v>
      </c>
      <c r="N108" s="935">
        <v>14.97</v>
      </c>
      <c r="O108" s="935">
        <v>14.99</v>
      </c>
      <c r="P108" s="935">
        <v>15.23</v>
      </c>
      <c r="Q108" s="935">
        <v>15.34</v>
      </c>
      <c r="R108" s="935">
        <v>15.55</v>
      </c>
      <c r="S108" s="935">
        <v>15.75</v>
      </c>
      <c r="T108" s="935">
        <v>15.93</v>
      </c>
      <c r="U108" s="935">
        <v>15.98</v>
      </c>
      <c r="V108" s="935">
        <v>16.27</v>
      </c>
      <c r="W108" s="935">
        <v>16.5</v>
      </c>
      <c r="X108" s="935">
        <v>16.8</v>
      </c>
      <c r="Y108" s="935">
        <v>17.100000000000001</v>
      </c>
      <c r="Z108" s="935">
        <v>17.420000000000002</v>
      </c>
      <c r="AA108" s="935">
        <v>17.690000000000001</v>
      </c>
      <c r="AB108" s="935">
        <v>17.93</v>
      </c>
      <c r="AC108" s="935">
        <v>18.239999999999998</v>
      </c>
      <c r="AD108" s="935">
        <v>18.600000000000001</v>
      </c>
      <c r="AE108" s="974">
        <v>8.9999999999999993E-3</v>
      </c>
      <c r="AF108" s="935"/>
      <c r="AG108" s="935"/>
      <c r="AH108" s="935"/>
      <c r="AI108" s="935"/>
      <c r="AJ108" s="935"/>
      <c r="AK108" s="935"/>
      <c r="AL108" s="935"/>
      <c r="AM108" s="935"/>
      <c r="AN108" s="935"/>
      <c r="AO108" s="935"/>
      <c r="AP108" s="935"/>
      <c r="AQ108" s="935"/>
      <c r="AR108" s="935"/>
      <c r="AS108" s="935"/>
      <c r="AT108" s="935"/>
      <c r="AU108" s="935"/>
      <c r="AV108" s="935"/>
      <c r="AW108" s="935"/>
      <c r="AX108" s="935"/>
      <c r="AY108" s="935"/>
      <c r="AZ108" s="935"/>
      <c r="BA108" s="935"/>
      <c r="BB108" s="935"/>
      <c r="BC108" s="935"/>
      <c r="BD108" s="935"/>
      <c r="BE108" s="935"/>
      <c r="BF108" s="935"/>
      <c r="BG108" s="935"/>
      <c r="BH108" s="935"/>
      <c r="BI108" s="935"/>
      <c r="BJ108" s="935"/>
      <c r="BK108" s="935"/>
      <c r="BL108" s="935"/>
      <c r="BM108" s="935"/>
      <c r="BN108" s="935"/>
      <c r="BO108" s="935"/>
      <c r="BP108" s="935"/>
      <c r="BQ108" s="935"/>
      <c r="BR108" s="935"/>
      <c r="BS108" s="935"/>
      <c r="BT108" s="935"/>
    </row>
    <row r="109" spans="1:72" x14ac:dyDescent="0.25">
      <c r="A109" s="935" t="s">
        <v>622</v>
      </c>
      <c r="B109" s="935">
        <v>13.84</v>
      </c>
      <c r="C109" s="935">
        <v>15.96</v>
      </c>
      <c r="D109" s="935">
        <v>11.36</v>
      </c>
      <c r="E109" s="935">
        <v>12</v>
      </c>
      <c r="F109" s="935">
        <v>13.09</v>
      </c>
      <c r="G109" s="935">
        <v>13.49</v>
      </c>
      <c r="H109" s="935">
        <v>13.36</v>
      </c>
      <c r="I109" s="935">
        <v>13.25</v>
      </c>
      <c r="J109" s="935">
        <v>13.37</v>
      </c>
      <c r="K109" s="935">
        <v>13.41</v>
      </c>
      <c r="L109" s="935">
        <v>13.38</v>
      </c>
      <c r="M109" s="935">
        <v>13.37</v>
      </c>
      <c r="N109" s="935">
        <v>13.38</v>
      </c>
      <c r="O109" s="935">
        <v>13.44</v>
      </c>
      <c r="P109" s="935">
        <v>13.46</v>
      </c>
      <c r="Q109" s="935">
        <v>13.58</v>
      </c>
      <c r="R109" s="935">
        <v>13.54</v>
      </c>
      <c r="S109" s="935">
        <v>13.41</v>
      </c>
      <c r="T109" s="935">
        <v>13.43</v>
      </c>
      <c r="U109" s="935">
        <v>13.54</v>
      </c>
      <c r="V109" s="935">
        <v>13.65</v>
      </c>
      <c r="W109" s="935">
        <v>13.83</v>
      </c>
      <c r="X109" s="935">
        <v>14</v>
      </c>
      <c r="Y109" s="935">
        <v>14.19</v>
      </c>
      <c r="Z109" s="935">
        <v>14.46</v>
      </c>
      <c r="AA109" s="935">
        <v>14.54</v>
      </c>
      <c r="AB109" s="935">
        <v>14.55</v>
      </c>
      <c r="AC109" s="935">
        <v>14.7</v>
      </c>
      <c r="AD109" s="935">
        <v>14.78</v>
      </c>
      <c r="AE109" s="974">
        <v>-3.0000000000000001E-3</v>
      </c>
      <c r="AF109" s="935"/>
      <c r="AG109" s="935"/>
      <c r="AH109" s="935"/>
      <c r="AI109" s="935"/>
      <c r="AJ109" s="935"/>
      <c r="AK109" s="935"/>
      <c r="AL109" s="935"/>
      <c r="AM109" s="935"/>
      <c r="AN109" s="935"/>
      <c r="AO109" s="935"/>
      <c r="AP109" s="935"/>
      <c r="AQ109" s="935"/>
      <c r="AR109" s="935"/>
      <c r="AS109" s="935"/>
      <c r="AT109" s="935"/>
      <c r="AU109" s="935"/>
      <c r="AV109" s="935"/>
      <c r="AW109" s="935"/>
      <c r="AX109" s="935"/>
      <c r="AY109" s="935"/>
      <c r="AZ109" s="935"/>
      <c r="BA109" s="935"/>
      <c r="BB109" s="935"/>
      <c r="BC109" s="935"/>
      <c r="BD109" s="935"/>
      <c r="BE109" s="935"/>
      <c r="BF109" s="935"/>
      <c r="BG109" s="935"/>
      <c r="BH109" s="935"/>
      <c r="BI109" s="935"/>
      <c r="BJ109" s="935"/>
      <c r="BK109" s="935"/>
      <c r="BL109" s="935"/>
      <c r="BM109" s="935"/>
      <c r="BN109" s="935"/>
      <c r="BO109" s="935"/>
      <c r="BP109" s="935"/>
      <c r="BQ109" s="935"/>
      <c r="BR109" s="935"/>
      <c r="BS109" s="935"/>
      <c r="BT109" s="935"/>
    </row>
    <row r="110" spans="1:72" x14ac:dyDescent="0.25">
      <c r="A110" s="935" t="s">
        <v>479</v>
      </c>
      <c r="B110" s="935">
        <v>32.03</v>
      </c>
      <c r="C110" s="935">
        <v>33.729999999999997</v>
      </c>
      <c r="D110" s="935">
        <v>32.299999999999997</v>
      </c>
      <c r="E110" s="935">
        <v>30.29</v>
      </c>
      <c r="F110" s="935">
        <v>27.63</v>
      </c>
      <c r="G110" s="935">
        <v>29.66</v>
      </c>
      <c r="H110" s="935">
        <v>29.72</v>
      </c>
      <c r="I110" s="935">
        <v>29.07</v>
      </c>
      <c r="J110" s="935">
        <v>28.79</v>
      </c>
      <c r="K110" s="935">
        <v>29.01</v>
      </c>
      <c r="L110" s="935">
        <v>29.04</v>
      </c>
      <c r="M110" s="935">
        <v>28.87</v>
      </c>
      <c r="N110" s="935">
        <v>28.59</v>
      </c>
      <c r="O110" s="935">
        <v>28.55</v>
      </c>
      <c r="P110" s="935">
        <v>28.54</v>
      </c>
      <c r="Q110" s="935">
        <v>28.43</v>
      </c>
      <c r="R110" s="935">
        <v>28.48</v>
      </c>
      <c r="S110" s="935">
        <v>28.64</v>
      </c>
      <c r="T110" s="935">
        <v>28.63</v>
      </c>
      <c r="U110" s="935">
        <v>28.88</v>
      </c>
      <c r="V110" s="935">
        <v>29.32</v>
      </c>
      <c r="W110" s="935">
        <v>29.79</v>
      </c>
      <c r="X110" s="935">
        <v>30.51</v>
      </c>
      <c r="Y110" s="935">
        <v>31.01</v>
      </c>
      <c r="Z110" s="935">
        <v>31.61</v>
      </c>
      <c r="AA110" s="935">
        <v>32.15</v>
      </c>
      <c r="AB110" s="935">
        <v>32.47</v>
      </c>
      <c r="AC110" s="935">
        <v>32.89</v>
      </c>
      <c r="AD110" s="935">
        <v>33.26</v>
      </c>
      <c r="AE110" s="974">
        <v>-1E-3</v>
      </c>
      <c r="AF110" s="935"/>
      <c r="AG110" s="935"/>
      <c r="AH110" s="935"/>
      <c r="AI110" s="935"/>
      <c r="AJ110" s="935"/>
      <c r="AK110" s="935"/>
      <c r="AL110" s="935"/>
      <c r="AM110" s="935"/>
      <c r="AN110" s="935"/>
      <c r="AO110" s="935"/>
      <c r="AP110" s="935"/>
      <c r="AQ110" s="935"/>
      <c r="AR110" s="935"/>
      <c r="AS110" s="935"/>
      <c r="AT110" s="935"/>
      <c r="AU110" s="935"/>
      <c r="AV110" s="935"/>
      <c r="AW110" s="935"/>
      <c r="AX110" s="935"/>
      <c r="AY110" s="935"/>
      <c r="AZ110" s="935"/>
      <c r="BA110" s="935"/>
      <c r="BB110" s="935"/>
      <c r="BC110" s="935"/>
      <c r="BD110" s="935"/>
      <c r="BE110" s="935"/>
      <c r="BF110" s="935"/>
      <c r="BG110" s="935"/>
      <c r="BH110" s="935"/>
      <c r="BI110" s="935"/>
      <c r="BJ110" s="935"/>
      <c r="BK110" s="935"/>
      <c r="BL110" s="935"/>
      <c r="BM110" s="935"/>
      <c r="BN110" s="935"/>
      <c r="BO110" s="935"/>
      <c r="BP110" s="935"/>
      <c r="BQ110" s="935"/>
      <c r="BR110" s="935"/>
      <c r="BS110" s="935"/>
      <c r="BT110" s="935"/>
    </row>
    <row r="111" spans="1:72" x14ac:dyDescent="0.25">
      <c r="A111" s="935"/>
      <c r="B111" s="935"/>
      <c r="C111" s="935"/>
      <c r="D111" s="935"/>
      <c r="E111" s="935"/>
      <c r="F111" s="935"/>
      <c r="G111" s="935"/>
      <c r="H111" s="935"/>
      <c r="I111" s="935"/>
      <c r="J111" s="935"/>
      <c r="K111" s="935"/>
      <c r="L111" s="935"/>
      <c r="M111" s="935"/>
      <c r="N111" s="935"/>
      <c r="O111" s="935"/>
      <c r="P111" s="935"/>
      <c r="Q111" s="935"/>
      <c r="R111" s="935"/>
      <c r="S111" s="935"/>
      <c r="T111" s="935"/>
      <c r="U111" s="935"/>
      <c r="V111" s="935"/>
      <c r="W111" s="935"/>
      <c r="X111" s="935"/>
      <c r="Y111" s="935"/>
      <c r="Z111" s="935"/>
      <c r="AA111" s="935"/>
      <c r="AB111" s="935"/>
      <c r="AC111" s="935"/>
      <c r="AD111" s="935"/>
      <c r="AE111" s="935"/>
      <c r="AF111" s="935"/>
      <c r="AG111" s="935"/>
      <c r="AH111" s="935"/>
      <c r="AI111" s="935"/>
      <c r="AJ111" s="935"/>
      <c r="AK111" s="935"/>
      <c r="AL111" s="935"/>
      <c r="AM111" s="935"/>
      <c r="AN111" s="935"/>
      <c r="AO111" s="935"/>
      <c r="AP111" s="935"/>
      <c r="AQ111" s="935"/>
      <c r="AR111" s="935"/>
      <c r="AS111" s="935"/>
      <c r="AT111" s="935"/>
      <c r="AU111" s="935"/>
      <c r="AV111" s="935"/>
      <c r="AW111" s="935"/>
      <c r="AX111" s="935"/>
      <c r="AY111" s="935"/>
      <c r="AZ111" s="935"/>
      <c r="BA111" s="935"/>
      <c r="BB111" s="935"/>
      <c r="BC111" s="935"/>
      <c r="BD111" s="935"/>
      <c r="BE111" s="935"/>
      <c r="BF111" s="935"/>
      <c r="BG111" s="935"/>
      <c r="BH111" s="935"/>
      <c r="BI111" s="935"/>
      <c r="BJ111" s="935"/>
      <c r="BK111" s="935"/>
      <c r="BL111" s="935"/>
      <c r="BM111" s="935"/>
      <c r="BN111" s="935"/>
      <c r="BO111" s="935"/>
      <c r="BP111" s="935"/>
      <c r="BQ111" s="935"/>
      <c r="BR111" s="935"/>
      <c r="BS111" s="935"/>
      <c r="BT111" s="935"/>
    </row>
    <row r="112" spans="1:72" x14ac:dyDescent="0.25">
      <c r="A112" s="935" t="s">
        <v>623</v>
      </c>
      <c r="B112" s="935"/>
      <c r="C112" s="935"/>
      <c r="D112" s="935"/>
      <c r="E112" s="935"/>
      <c r="F112" s="935"/>
      <c r="G112" s="935"/>
      <c r="H112" s="935"/>
      <c r="I112" s="935"/>
      <c r="J112" s="935"/>
      <c r="K112" s="935"/>
      <c r="L112" s="935"/>
      <c r="M112" s="935"/>
      <c r="N112" s="935"/>
      <c r="O112" s="935"/>
      <c r="P112" s="935"/>
      <c r="Q112" s="935"/>
      <c r="R112" s="935"/>
      <c r="S112" s="935"/>
      <c r="T112" s="935"/>
      <c r="U112" s="935"/>
      <c r="V112" s="935"/>
      <c r="W112" s="935"/>
      <c r="X112" s="935"/>
      <c r="Y112" s="935"/>
      <c r="Z112" s="935"/>
      <c r="AA112" s="935"/>
      <c r="AB112" s="935"/>
      <c r="AC112" s="935"/>
      <c r="AD112" s="935"/>
      <c r="AE112" s="935"/>
      <c r="AF112" s="935"/>
      <c r="AG112" s="935"/>
      <c r="AH112" s="935"/>
      <c r="AI112" s="935"/>
      <c r="AJ112" s="935"/>
      <c r="AK112" s="935"/>
      <c r="AL112" s="935"/>
      <c r="AM112" s="935"/>
      <c r="AN112" s="935"/>
      <c r="AO112" s="935"/>
      <c r="AP112" s="935"/>
      <c r="AQ112" s="935"/>
      <c r="AR112" s="935"/>
      <c r="AS112" s="935"/>
      <c r="AT112" s="935"/>
      <c r="AU112" s="935"/>
      <c r="AV112" s="935"/>
      <c r="AW112" s="935"/>
      <c r="AX112" s="935"/>
      <c r="AY112" s="935"/>
      <c r="AZ112" s="935"/>
      <c r="BA112" s="935"/>
      <c r="BB112" s="935"/>
      <c r="BC112" s="935"/>
      <c r="BD112" s="935"/>
      <c r="BE112" s="935"/>
      <c r="BF112" s="935"/>
      <c r="BG112" s="935"/>
      <c r="BH112" s="935"/>
      <c r="BI112" s="935"/>
      <c r="BJ112" s="935"/>
      <c r="BK112" s="935"/>
      <c r="BL112" s="935"/>
      <c r="BM112" s="935"/>
      <c r="BN112" s="935"/>
      <c r="BO112" s="935"/>
      <c r="BP112" s="935"/>
      <c r="BQ112" s="935"/>
      <c r="BR112" s="935"/>
      <c r="BS112" s="935"/>
      <c r="BT112" s="935"/>
    </row>
    <row r="113" spans="1:72" x14ac:dyDescent="0.25">
      <c r="A113" s="935" t="s">
        <v>610</v>
      </c>
      <c r="B113" s="935">
        <v>15.75</v>
      </c>
      <c r="C113" s="935">
        <v>19.37</v>
      </c>
      <c r="D113" s="935">
        <v>14.24</v>
      </c>
      <c r="E113" s="935">
        <v>13.91</v>
      </c>
      <c r="F113" s="935">
        <v>14.06</v>
      </c>
      <c r="G113" s="935">
        <v>15.2</v>
      </c>
      <c r="H113" s="935">
        <v>16.21</v>
      </c>
      <c r="I113" s="935">
        <v>16.89</v>
      </c>
      <c r="J113" s="935">
        <v>17.36</v>
      </c>
      <c r="K113" s="935">
        <v>18.22</v>
      </c>
      <c r="L113" s="935">
        <v>18.88</v>
      </c>
      <c r="M113" s="935">
        <v>19.510000000000002</v>
      </c>
      <c r="N113" s="935">
        <v>19.920000000000002</v>
      </c>
      <c r="O113" s="935">
        <v>20.25</v>
      </c>
      <c r="P113" s="935">
        <v>20.399999999999999</v>
      </c>
      <c r="Q113" s="935">
        <v>20.58</v>
      </c>
      <c r="R113" s="935">
        <v>20.89</v>
      </c>
      <c r="S113" s="935">
        <v>21.07</v>
      </c>
      <c r="T113" s="935">
        <v>21.35</v>
      </c>
      <c r="U113" s="935">
        <v>21.6</v>
      </c>
      <c r="V113" s="935">
        <v>21.83</v>
      </c>
      <c r="W113" s="935">
        <v>22.14</v>
      </c>
      <c r="X113" s="935">
        <v>22.54</v>
      </c>
      <c r="Y113" s="935">
        <v>22.71</v>
      </c>
      <c r="Z113" s="935">
        <v>23.14</v>
      </c>
      <c r="AA113" s="935">
        <v>23.54</v>
      </c>
      <c r="AB113" s="935">
        <v>23.87</v>
      </c>
      <c r="AC113" s="935">
        <v>24.28</v>
      </c>
      <c r="AD113" s="935">
        <v>24.7</v>
      </c>
      <c r="AE113" s="974">
        <v>8.9999999999999993E-3</v>
      </c>
      <c r="AF113" s="935"/>
      <c r="AG113" s="935"/>
      <c r="AH113" s="935"/>
      <c r="AI113" s="935"/>
      <c r="AJ113" s="935"/>
      <c r="AK113" s="935"/>
      <c r="AL113" s="935"/>
      <c r="AM113" s="935"/>
      <c r="AN113" s="935"/>
      <c r="AO113" s="935"/>
      <c r="AP113" s="935"/>
      <c r="AQ113" s="935"/>
      <c r="AR113" s="935"/>
      <c r="AS113" s="935"/>
      <c r="AT113" s="935"/>
      <c r="AU113" s="935"/>
      <c r="AV113" s="935"/>
      <c r="AW113" s="935"/>
      <c r="AX113" s="935"/>
      <c r="AY113" s="935"/>
      <c r="AZ113" s="935"/>
      <c r="BA113" s="935"/>
      <c r="BB113" s="935"/>
      <c r="BC113" s="935"/>
      <c r="BD113" s="935"/>
      <c r="BE113" s="935"/>
      <c r="BF113" s="935"/>
      <c r="BG113" s="935"/>
      <c r="BH113" s="935"/>
      <c r="BI113" s="935"/>
      <c r="BJ113" s="935"/>
      <c r="BK113" s="935"/>
      <c r="BL113" s="935"/>
      <c r="BM113" s="935"/>
      <c r="BN113" s="935"/>
      <c r="BO113" s="935"/>
      <c r="BP113" s="935"/>
      <c r="BQ113" s="935"/>
      <c r="BR113" s="935"/>
      <c r="BS113" s="935"/>
      <c r="BT113" s="935"/>
    </row>
    <row r="114" spans="1:72" x14ac:dyDescent="0.25">
      <c r="A114" s="935" t="s">
        <v>611</v>
      </c>
      <c r="B114" s="935">
        <v>9.0399999999999991</v>
      </c>
      <c r="C114" s="935">
        <v>14.56</v>
      </c>
      <c r="D114" s="935">
        <v>8.7799999999999994</v>
      </c>
      <c r="E114" s="935">
        <v>12</v>
      </c>
      <c r="F114" s="935">
        <v>12.17</v>
      </c>
      <c r="G114" s="935">
        <v>13.34</v>
      </c>
      <c r="H114" s="935">
        <v>14.37</v>
      </c>
      <c r="I114" s="935">
        <v>15.11</v>
      </c>
      <c r="J114" s="935">
        <v>15.53</v>
      </c>
      <c r="K114" s="935">
        <v>15.93</v>
      </c>
      <c r="L114" s="935">
        <v>16.45</v>
      </c>
      <c r="M114" s="935">
        <v>16.89</v>
      </c>
      <c r="N114" s="935">
        <v>17.14</v>
      </c>
      <c r="O114" s="935">
        <v>17.22</v>
      </c>
      <c r="P114" s="935">
        <v>17.47</v>
      </c>
      <c r="Q114" s="935">
        <v>17.63</v>
      </c>
      <c r="R114" s="935">
        <v>17.850000000000001</v>
      </c>
      <c r="S114" s="935">
        <v>18.079999999999998</v>
      </c>
      <c r="T114" s="935">
        <v>18.3</v>
      </c>
      <c r="U114" s="935">
        <v>18.38</v>
      </c>
      <c r="V114" s="935">
        <v>18.68</v>
      </c>
      <c r="W114" s="935">
        <v>18.940000000000001</v>
      </c>
      <c r="X114" s="935">
        <v>19.23</v>
      </c>
      <c r="Y114" s="935">
        <v>19.55</v>
      </c>
      <c r="Z114" s="935">
        <v>19.899999999999999</v>
      </c>
      <c r="AA114" s="935">
        <v>20.190000000000001</v>
      </c>
      <c r="AB114" s="935">
        <v>20.43</v>
      </c>
      <c r="AC114" s="935">
        <v>20.77</v>
      </c>
      <c r="AD114" s="935">
        <v>21.12</v>
      </c>
      <c r="AE114" s="974">
        <v>1.4E-2</v>
      </c>
      <c r="AF114" s="935"/>
      <c r="AG114" s="935"/>
      <c r="AH114" s="935"/>
      <c r="AI114" s="935"/>
      <c r="AJ114" s="935"/>
      <c r="AK114" s="935"/>
      <c r="AL114" s="935"/>
      <c r="AM114" s="935"/>
      <c r="AN114" s="935"/>
      <c r="AO114" s="935"/>
      <c r="AP114" s="935"/>
      <c r="AQ114" s="935"/>
      <c r="AR114" s="935"/>
      <c r="AS114" s="935"/>
      <c r="AT114" s="935"/>
      <c r="AU114" s="935"/>
      <c r="AV114" s="935"/>
      <c r="AW114" s="935"/>
      <c r="AX114" s="935"/>
      <c r="AY114" s="935"/>
      <c r="AZ114" s="935"/>
      <c r="BA114" s="935"/>
      <c r="BB114" s="935"/>
      <c r="BC114" s="935"/>
      <c r="BD114" s="935"/>
      <c r="BE114" s="935"/>
      <c r="BF114" s="935"/>
      <c r="BG114" s="935"/>
      <c r="BH114" s="935"/>
      <c r="BI114" s="935"/>
      <c r="BJ114" s="935"/>
      <c r="BK114" s="935"/>
      <c r="BL114" s="935"/>
      <c r="BM114" s="935"/>
      <c r="BN114" s="935"/>
      <c r="BO114" s="935"/>
      <c r="BP114" s="935"/>
      <c r="BQ114" s="935"/>
      <c r="BR114" s="935"/>
      <c r="BS114" s="935"/>
      <c r="BT114" s="935"/>
    </row>
    <row r="115" spans="1:72" x14ac:dyDescent="0.25">
      <c r="A115" s="935" t="s">
        <v>510</v>
      </c>
      <c r="B115" s="935">
        <v>7.26</v>
      </c>
      <c r="C115" s="935">
        <v>9.09</v>
      </c>
      <c r="D115" s="935">
        <v>4.1399999999999997</v>
      </c>
      <c r="E115" s="935">
        <v>4.8499999999999996</v>
      </c>
      <c r="F115" s="935">
        <v>5.82</v>
      </c>
      <c r="G115" s="935">
        <v>6.17</v>
      </c>
      <c r="H115" s="935">
        <v>5.94</v>
      </c>
      <c r="I115" s="935">
        <v>5.9</v>
      </c>
      <c r="J115" s="935">
        <v>6.08</v>
      </c>
      <c r="K115" s="935">
        <v>6.16</v>
      </c>
      <c r="L115" s="935">
        <v>6.17</v>
      </c>
      <c r="M115" s="935">
        <v>6.22</v>
      </c>
      <c r="N115" s="935">
        <v>6.29</v>
      </c>
      <c r="O115" s="935">
        <v>6.42</v>
      </c>
      <c r="P115" s="935">
        <v>6.52</v>
      </c>
      <c r="Q115" s="935">
        <v>6.69</v>
      </c>
      <c r="R115" s="935">
        <v>6.74</v>
      </c>
      <c r="S115" s="935">
        <v>6.7</v>
      </c>
      <c r="T115" s="935">
        <v>6.75</v>
      </c>
      <c r="U115" s="935">
        <v>6.91</v>
      </c>
      <c r="V115" s="935">
        <v>7.05</v>
      </c>
      <c r="W115" s="935">
        <v>7.27</v>
      </c>
      <c r="X115" s="935">
        <v>7.51</v>
      </c>
      <c r="Y115" s="935">
        <v>7.73</v>
      </c>
      <c r="Z115" s="935">
        <v>8.02</v>
      </c>
      <c r="AA115" s="935">
        <v>8.14</v>
      </c>
      <c r="AB115" s="935">
        <v>8.17</v>
      </c>
      <c r="AC115" s="935">
        <v>8.35</v>
      </c>
      <c r="AD115" s="935">
        <v>8.4600000000000009</v>
      </c>
      <c r="AE115" s="974">
        <v>-3.0000000000000001E-3</v>
      </c>
      <c r="AF115" s="935"/>
      <c r="AG115" s="935"/>
      <c r="AH115" s="935"/>
      <c r="AI115" s="935"/>
      <c r="AJ115" s="935"/>
      <c r="AK115" s="935"/>
      <c r="AL115" s="935"/>
      <c r="AM115" s="935"/>
      <c r="AN115" s="935"/>
      <c r="AO115" s="935"/>
      <c r="AP115" s="935"/>
      <c r="AQ115" s="935"/>
      <c r="AR115" s="935"/>
      <c r="AS115" s="935"/>
      <c r="AT115" s="935"/>
      <c r="AU115" s="935"/>
      <c r="AV115" s="935"/>
      <c r="AW115" s="935"/>
      <c r="AX115" s="935"/>
      <c r="AY115" s="935"/>
      <c r="AZ115" s="935"/>
      <c r="BA115" s="935"/>
      <c r="BB115" s="935"/>
      <c r="BC115" s="935"/>
      <c r="BD115" s="935"/>
      <c r="BE115" s="935"/>
      <c r="BF115" s="935"/>
      <c r="BG115" s="935"/>
      <c r="BH115" s="935"/>
      <c r="BI115" s="935"/>
      <c r="BJ115" s="935"/>
      <c r="BK115" s="935"/>
      <c r="BL115" s="935"/>
      <c r="BM115" s="935"/>
      <c r="BN115" s="935"/>
      <c r="BO115" s="935"/>
      <c r="BP115" s="935"/>
      <c r="BQ115" s="935"/>
      <c r="BR115" s="935"/>
      <c r="BS115" s="935"/>
      <c r="BT115" s="935"/>
    </row>
    <row r="116" spans="1:72" x14ac:dyDescent="0.25">
      <c r="A116" s="935" t="s">
        <v>624</v>
      </c>
      <c r="B116" s="935">
        <v>1.8</v>
      </c>
      <c r="C116" s="935">
        <v>2.0499999999999998</v>
      </c>
      <c r="D116" s="935">
        <v>2.15</v>
      </c>
      <c r="E116" s="935">
        <v>1.99</v>
      </c>
      <c r="F116" s="935">
        <v>1.98</v>
      </c>
      <c r="G116" s="935">
        <v>1.99</v>
      </c>
      <c r="H116" s="935">
        <v>1.99</v>
      </c>
      <c r="I116" s="935">
        <v>1.99</v>
      </c>
      <c r="J116" s="935">
        <v>2.0099999999999998</v>
      </c>
      <c r="K116" s="935">
        <v>1.99</v>
      </c>
      <c r="L116" s="935">
        <v>2</v>
      </c>
      <c r="M116" s="935">
        <v>1.99</v>
      </c>
      <c r="N116" s="935">
        <v>1.99</v>
      </c>
      <c r="O116" s="935">
        <v>1.98</v>
      </c>
      <c r="P116" s="935">
        <v>1.98</v>
      </c>
      <c r="Q116" s="935">
        <v>1.99</v>
      </c>
      <c r="R116" s="935">
        <v>1.99</v>
      </c>
      <c r="S116" s="935">
        <v>1.99</v>
      </c>
      <c r="T116" s="935">
        <v>1.99</v>
      </c>
      <c r="U116" s="935">
        <v>2</v>
      </c>
      <c r="V116" s="935">
        <v>2</v>
      </c>
      <c r="W116" s="935">
        <v>2.0099999999999998</v>
      </c>
      <c r="X116" s="935">
        <v>2.02</v>
      </c>
      <c r="Y116" s="935">
        <v>2.0299999999999998</v>
      </c>
      <c r="Z116" s="935">
        <v>2.04</v>
      </c>
      <c r="AA116" s="935">
        <v>2.0499999999999998</v>
      </c>
      <c r="AB116" s="935">
        <v>2.06</v>
      </c>
      <c r="AC116" s="935">
        <v>2.0699999999999998</v>
      </c>
      <c r="AD116" s="935">
        <v>2.09</v>
      </c>
      <c r="AE116" s="974">
        <v>1E-3</v>
      </c>
      <c r="AF116" s="935"/>
      <c r="AG116" s="935"/>
      <c r="AH116" s="935"/>
      <c r="AI116" s="935"/>
      <c r="AJ116" s="935"/>
      <c r="AK116" s="935"/>
      <c r="AL116" s="935"/>
      <c r="AM116" s="935"/>
      <c r="AN116" s="935"/>
      <c r="AO116" s="935"/>
      <c r="AP116" s="935"/>
      <c r="AQ116" s="935"/>
      <c r="AR116" s="935"/>
      <c r="AS116" s="935"/>
      <c r="AT116" s="935"/>
      <c r="AU116" s="935"/>
      <c r="AV116" s="935"/>
      <c r="AW116" s="935"/>
      <c r="AX116" s="935"/>
      <c r="AY116" s="935"/>
      <c r="AZ116" s="935"/>
      <c r="BA116" s="935"/>
      <c r="BB116" s="935"/>
      <c r="BC116" s="935"/>
      <c r="BD116" s="935"/>
      <c r="BE116" s="935"/>
      <c r="BF116" s="935"/>
      <c r="BG116" s="935"/>
      <c r="BH116" s="935"/>
      <c r="BI116" s="935"/>
      <c r="BJ116" s="935"/>
      <c r="BK116" s="935"/>
      <c r="BL116" s="935"/>
      <c r="BM116" s="935"/>
      <c r="BN116" s="935"/>
      <c r="BO116" s="935"/>
      <c r="BP116" s="935"/>
      <c r="BQ116" s="935"/>
      <c r="BR116" s="935"/>
      <c r="BS116" s="935"/>
      <c r="BT116" s="935"/>
    </row>
    <row r="117" spans="1:72" x14ac:dyDescent="0.25">
      <c r="A117" s="935"/>
      <c r="B117" s="935"/>
      <c r="C117" s="935"/>
      <c r="D117" s="935"/>
      <c r="E117" s="935"/>
      <c r="F117" s="935"/>
      <c r="G117" s="935"/>
      <c r="H117" s="935"/>
      <c r="I117" s="935"/>
      <c r="J117" s="935"/>
      <c r="K117" s="935"/>
      <c r="L117" s="935"/>
      <c r="M117" s="935"/>
      <c r="N117" s="935"/>
      <c r="O117" s="935"/>
      <c r="P117" s="935"/>
      <c r="Q117" s="935"/>
      <c r="R117" s="935"/>
      <c r="S117" s="935"/>
      <c r="T117" s="935"/>
      <c r="U117" s="935"/>
      <c r="V117" s="935"/>
      <c r="W117" s="935"/>
      <c r="X117" s="935"/>
      <c r="Y117" s="935"/>
      <c r="Z117" s="935"/>
      <c r="AA117" s="935"/>
      <c r="AB117" s="935"/>
      <c r="AC117" s="935"/>
      <c r="AD117" s="935"/>
      <c r="AE117" s="935"/>
      <c r="AF117" s="935"/>
      <c r="AG117" s="935"/>
      <c r="AH117" s="935"/>
      <c r="AI117" s="935"/>
      <c r="AJ117" s="935"/>
      <c r="AK117" s="935"/>
      <c r="AL117" s="935"/>
      <c r="AM117" s="935"/>
      <c r="AN117" s="935"/>
      <c r="AO117" s="935"/>
      <c r="AP117" s="935"/>
      <c r="AQ117" s="935"/>
      <c r="AR117" s="935"/>
      <c r="AS117" s="935"/>
      <c r="AT117" s="935"/>
      <c r="AU117" s="935"/>
      <c r="AV117" s="935"/>
      <c r="AW117" s="935"/>
      <c r="AX117" s="935"/>
      <c r="AY117" s="935"/>
      <c r="AZ117" s="935"/>
      <c r="BA117" s="935"/>
      <c r="BB117" s="935"/>
      <c r="BC117" s="935"/>
      <c r="BD117" s="935"/>
      <c r="BE117" s="935"/>
      <c r="BF117" s="935"/>
      <c r="BG117" s="935"/>
      <c r="BH117" s="935"/>
      <c r="BI117" s="935"/>
      <c r="BJ117" s="935"/>
      <c r="BK117" s="935"/>
      <c r="BL117" s="935"/>
      <c r="BM117" s="935"/>
      <c r="BN117" s="935"/>
      <c r="BO117" s="935"/>
      <c r="BP117" s="935"/>
      <c r="BQ117" s="935"/>
      <c r="BR117" s="935"/>
      <c r="BS117" s="935"/>
      <c r="BT117" s="935"/>
    </row>
    <row r="118" spans="1:72" x14ac:dyDescent="0.25">
      <c r="A118" s="935" t="s">
        <v>625</v>
      </c>
      <c r="B118" s="935"/>
      <c r="C118" s="935"/>
      <c r="D118" s="935"/>
      <c r="E118" s="935"/>
      <c r="F118" s="935"/>
      <c r="G118" s="935"/>
      <c r="H118" s="935"/>
      <c r="I118" s="935"/>
      <c r="J118" s="935"/>
      <c r="K118" s="935"/>
      <c r="L118" s="935"/>
      <c r="M118" s="935"/>
      <c r="N118" s="935"/>
      <c r="O118" s="935"/>
      <c r="P118" s="935"/>
      <c r="Q118" s="935"/>
      <c r="R118" s="935"/>
      <c r="S118" s="935"/>
      <c r="T118" s="935"/>
      <c r="U118" s="935"/>
      <c r="V118" s="935"/>
      <c r="W118" s="935"/>
      <c r="X118" s="935"/>
      <c r="Y118" s="935"/>
      <c r="Z118" s="935"/>
      <c r="AA118" s="935"/>
      <c r="AB118" s="935"/>
      <c r="AC118" s="935"/>
      <c r="AD118" s="935"/>
      <c r="AE118" s="935"/>
      <c r="AF118" s="935"/>
      <c r="AG118" s="935"/>
      <c r="AH118" s="935"/>
      <c r="AI118" s="935"/>
      <c r="AJ118" s="935"/>
      <c r="AK118" s="935"/>
      <c r="AL118" s="935"/>
      <c r="AM118" s="935"/>
      <c r="AN118" s="935"/>
      <c r="AO118" s="935"/>
      <c r="AP118" s="935"/>
      <c r="AQ118" s="935"/>
      <c r="AR118" s="935"/>
      <c r="AS118" s="935"/>
      <c r="AT118" s="935"/>
      <c r="AU118" s="935"/>
      <c r="AV118" s="935"/>
      <c r="AW118" s="935"/>
      <c r="AX118" s="935"/>
      <c r="AY118" s="935"/>
      <c r="AZ118" s="935"/>
      <c r="BA118" s="935"/>
      <c r="BB118" s="935"/>
      <c r="BC118" s="935"/>
      <c r="BD118" s="935"/>
      <c r="BE118" s="935"/>
      <c r="BF118" s="935"/>
      <c r="BG118" s="935"/>
      <c r="BH118" s="935"/>
      <c r="BI118" s="935"/>
      <c r="BJ118" s="935"/>
      <c r="BK118" s="935"/>
      <c r="BL118" s="935"/>
      <c r="BM118" s="935"/>
      <c r="BN118" s="935"/>
      <c r="BO118" s="935"/>
      <c r="BP118" s="935"/>
      <c r="BQ118" s="935"/>
      <c r="BR118" s="935"/>
      <c r="BS118" s="935"/>
      <c r="BT118" s="935"/>
    </row>
    <row r="119" spans="1:72" x14ac:dyDescent="0.25">
      <c r="A119" s="935" t="s">
        <v>609</v>
      </c>
      <c r="B119" s="935">
        <v>18.940000000000001</v>
      </c>
      <c r="C119" s="935">
        <v>20.190000000000001</v>
      </c>
      <c r="D119" s="935">
        <v>18.36</v>
      </c>
      <c r="E119" s="935">
        <v>16.850000000000001</v>
      </c>
      <c r="F119" s="935">
        <v>16.87</v>
      </c>
      <c r="G119" s="935">
        <v>17.87</v>
      </c>
      <c r="H119" s="935">
        <v>18.97</v>
      </c>
      <c r="I119" s="935">
        <v>19.82</v>
      </c>
      <c r="J119" s="935">
        <v>20.3</v>
      </c>
      <c r="K119" s="935">
        <v>20.84</v>
      </c>
      <c r="L119" s="935">
        <v>21.26</v>
      </c>
      <c r="M119" s="935">
        <v>21.71</v>
      </c>
      <c r="N119" s="935">
        <v>21.93</v>
      </c>
      <c r="O119" s="935">
        <v>22.15</v>
      </c>
      <c r="P119" s="935">
        <v>22.36</v>
      </c>
      <c r="Q119" s="935">
        <v>22.56</v>
      </c>
      <c r="R119" s="935">
        <v>22.83</v>
      </c>
      <c r="S119" s="935">
        <v>23.09</v>
      </c>
      <c r="T119" s="935">
        <v>23.34</v>
      </c>
      <c r="U119" s="935">
        <v>23.49</v>
      </c>
      <c r="V119" s="935">
        <v>23.75</v>
      </c>
      <c r="W119" s="935">
        <v>24</v>
      </c>
      <c r="X119" s="935">
        <v>24.34</v>
      </c>
      <c r="Y119" s="935">
        <v>24.55</v>
      </c>
      <c r="Z119" s="935">
        <v>24.91</v>
      </c>
      <c r="AA119" s="935">
        <v>25.25</v>
      </c>
      <c r="AB119" s="935">
        <v>25.63</v>
      </c>
      <c r="AC119" s="935">
        <v>25.99</v>
      </c>
      <c r="AD119" s="935">
        <v>26.37</v>
      </c>
      <c r="AE119" s="974">
        <v>0.01</v>
      </c>
      <c r="AF119" s="935"/>
      <c r="AG119" s="935"/>
      <c r="AH119" s="935"/>
      <c r="AI119" s="935"/>
      <c r="AJ119" s="935"/>
      <c r="AK119" s="935"/>
      <c r="AL119" s="935"/>
      <c r="AM119" s="935"/>
      <c r="AN119" s="935"/>
      <c r="AO119" s="935"/>
      <c r="AP119" s="935"/>
      <c r="AQ119" s="935"/>
      <c r="AR119" s="935"/>
      <c r="AS119" s="935"/>
      <c r="AT119" s="935"/>
      <c r="AU119" s="935"/>
      <c r="AV119" s="935"/>
      <c r="AW119" s="935"/>
      <c r="AX119" s="935"/>
      <c r="AY119" s="935"/>
      <c r="AZ119" s="935"/>
      <c r="BA119" s="935"/>
      <c r="BB119" s="935"/>
      <c r="BC119" s="935"/>
      <c r="BD119" s="935"/>
      <c r="BE119" s="935"/>
      <c r="BF119" s="935"/>
      <c r="BG119" s="935"/>
      <c r="BH119" s="935"/>
      <c r="BI119" s="935"/>
      <c r="BJ119" s="935"/>
      <c r="BK119" s="935"/>
      <c r="BL119" s="935"/>
      <c r="BM119" s="935"/>
      <c r="BN119" s="935"/>
      <c r="BO119" s="935"/>
      <c r="BP119" s="935"/>
      <c r="BQ119" s="935"/>
      <c r="BR119" s="935"/>
      <c r="BS119" s="935"/>
      <c r="BT119" s="935"/>
    </row>
    <row r="120" spans="1:72" x14ac:dyDescent="0.25">
      <c r="A120" s="935" t="s">
        <v>618</v>
      </c>
      <c r="B120" s="935">
        <v>27.43</v>
      </c>
      <c r="C120" s="935">
        <v>26.93</v>
      </c>
      <c r="D120" s="935">
        <v>23.29</v>
      </c>
      <c r="E120" s="935">
        <v>20.64</v>
      </c>
      <c r="F120" s="935">
        <v>20.97</v>
      </c>
      <c r="G120" s="935">
        <v>22.13</v>
      </c>
      <c r="H120" s="935">
        <v>24.21</v>
      </c>
      <c r="I120" s="935">
        <v>25.23</v>
      </c>
      <c r="J120" s="935">
        <v>25.55</v>
      </c>
      <c r="K120" s="935">
        <v>25.08</v>
      </c>
      <c r="L120" s="935">
        <v>25.9</v>
      </c>
      <c r="M120" s="935">
        <v>26.54</v>
      </c>
      <c r="N120" s="935">
        <v>26.68</v>
      </c>
      <c r="O120" s="935">
        <v>26.95</v>
      </c>
      <c r="P120" s="935">
        <v>27.32</v>
      </c>
      <c r="Q120" s="935">
        <v>27.82</v>
      </c>
      <c r="R120" s="935">
        <v>28.31</v>
      </c>
      <c r="S120" s="935">
        <v>28.55</v>
      </c>
      <c r="T120" s="935">
        <v>28.86</v>
      </c>
      <c r="U120" s="935">
        <v>29.22</v>
      </c>
      <c r="V120" s="935">
        <v>29.49</v>
      </c>
      <c r="W120" s="935">
        <v>30.03</v>
      </c>
      <c r="X120" s="935">
        <v>30.44</v>
      </c>
      <c r="Y120" s="935">
        <v>30.64</v>
      </c>
      <c r="Z120" s="935">
        <v>30.86</v>
      </c>
      <c r="AA120" s="935">
        <v>31.29</v>
      </c>
      <c r="AB120" s="935">
        <v>31.49</v>
      </c>
      <c r="AC120" s="935">
        <v>31.77</v>
      </c>
      <c r="AD120" s="935">
        <v>32.229999999999997</v>
      </c>
      <c r="AE120" s="974">
        <v>7.0000000000000001E-3</v>
      </c>
      <c r="AF120" s="935"/>
      <c r="AG120" s="935"/>
      <c r="AH120" s="935"/>
      <c r="AI120" s="935"/>
      <c r="AJ120" s="935"/>
      <c r="AK120" s="935"/>
      <c r="AL120" s="935"/>
      <c r="AM120" s="935"/>
      <c r="AN120" s="935"/>
      <c r="AO120" s="935"/>
      <c r="AP120" s="935"/>
      <c r="AQ120" s="935"/>
      <c r="AR120" s="935"/>
      <c r="AS120" s="935"/>
      <c r="AT120" s="935"/>
      <c r="AU120" s="935"/>
      <c r="AV120" s="935"/>
      <c r="AW120" s="935"/>
      <c r="AX120" s="935"/>
      <c r="AY120" s="935"/>
      <c r="AZ120" s="935"/>
      <c r="BA120" s="935"/>
      <c r="BB120" s="935"/>
      <c r="BC120" s="935"/>
      <c r="BD120" s="935"/>
      <c r="BE120" s="935"/>
      <c r="BF120" s="935"/>
      <c r="BG120" s="935"/>
      <c r="BH120" s="935"/>
      <c r="BI120" s="935"/>
      <c r="BJ120" s="935"/>
      <c r="BK120" s="935"/>
      <c r="BL120" s="935"/>
      <c r="BM120" s="935"/>
      <c r="BN120" s="935"/>
      <c r="BO120" s="935"/>
      <c r="BP120" s="935"/>
      <c r="BQ120" s="935"/>
      <c r="BR120" s="935"/>
      <c r="BS120" s="935"/>
      <c r="BT120" s="935"/>
    </row>
    <row r="121" spans="1:72" x14ac:dyDescent="0.25">
      <c r="A121" s="935" t="s">
        <v>619</v>
      </c>
      <c r="B121" s="935">
        <v>23.55</v>
      </c>
      <c r="C121" s="935">
        <v>26.54</v>
      </c>
      <c r="D121" s="935">
        <v>19.149999999999999</v>
      </c>
      <c r="E121" s="935">
        <v>20.55</v>
      </c>
      <c r="F121" s="935">
        <v>20.88</v>
      </c>
      <c r="G121" s="935">
        <v>22.03</v>
      </c>
      <c r="H121" s="935">
        <v>24.01</v>
      </c>
      <c r="I121" s="935">
        <v>24.94</v>
      </c>
      <c r="J121" s="935">
        <v>25.36</v>
      </c>
      <c r="K121" s="935">
        <v>25.93</v>
      </c>
      <c r="L121" s="935">
        <v>26.46</v>
      </c>
      <c r="M121" s="935">
        <v>26.89</v>
      </c>
      <c r="N121" s="935">
        <v>27.2</v>
      </c>
      <c r="O121" s="935">
        <v>27.59</v>
      </c>
      <c r="P121" s="935">
        <v>27.82</v>
      </c>
      <c r="Q121" s="935">
        <v>28.17</v>
      </c>
      <c r="R121" s="935">
        <v>28.41</v>
      </c>
      <c r="S121" s="935">
        <v>28.54</v>
      </c>
      <c r="T121" s="935">
        <v>28.87</v>
      </c>
      <c r="U121" s="935">
        <v>29.18</v>
      </c>
      <c r="V121" s="935">
        <v>29.47</v>
      </c>
      <c r="W121" s="935">
        <v>29.9</v>
      </c>
      <c r="X121" s="935">
        <v>30.27</v>
      </c>
      <c r="Y121" s="935">
        <v>30.41</v>
      </c>
      <c r="Z121" s="935">
        <v>30.76</v>
      </c>
      <c r="AA121" s="935">
        <v>31.16</v>
      </c>
      <c r="AB121" s="935">
        <v>31.43</v>
      </c>
      <c r="AC121" s="935">
        <v>31.81</v>
      </c>
      <c r="AD121" s="935">
        <v>32.32</v>
      </c>
      <c r="AE121" s="974">
        <v>7.0000000000000001E-3</v>
      </c>
      <c r="AF121" s="935"/>
      <c r="AG121" s="935"/>
      <c r="AH121" s="935"/>
      <c r="AI121" s="935"/>
      <c r="AJ121" s="935"/>
      <c r="AK121" s="935"/>
      <c r="AL121" s="935"/>
      <c r="AM121" s="935"/>
      <c r="AN121" s="935"/>
      <c r="AO121" s="935"/>
      <c r="AP121" s="935"/>
      <c r="AQ121" s="935"/>
      <c r="AR121" s="935"/>
      <c r="AS121" s="935"/>
      <c r="AT121" s="935"/>
      <c r="AU121" s="935"/>
      <c r="AV121" s="935"/>
      <c r="AW121" s="935"/>
      <c r="AX121" s="935"/>
      <c r="AY121" s="935"/>
      <c r="AZ121" s="935"/>
      <c r="BA121" s="935"/>
      <c r="BB121" s="935"/>
      <c r="BC121" s="935"/>
      <c r="BD121" s="935"/>
      <c r="BE121" s="935"/>
      <c r="BF121" s="935"/>
      <c r="BG121" s="935"/>
      <c r="BH121" s="935"/>
      <c r="BI121" s="935"/>
      <c r="BJ121" s="935"/>
      <c r="BK121" s="935"/>
      <c r="BL121" s="935"/>
      <c r="BM121" s="935"/>
      <c r="BN121" s="935"/>
      <c r="BO121" s="935"/>
      <c r="BP121" s="935"/>
      <c r="BQ121" s="935"/>
      <c r="BR121" s="935"/>
      <c r="BS121" s="935"/>
      <c r="BT121" s="935"/>
    </row>
    <row r="122" spans="1:72" x14ac:dyDescent="0.25">
      <c r="A122" s="935" t="s">
        <v>626</v>
      </c>
      <c r="B122" s="935">
        <v>15.77</v>
      </c>
      <c r="C122" s="935">
        <v>22.71</v>
      </c>
      <c r="D122" s="935">
        <v>12.73</v>
      </c>
      <c r="E122" s="935">
        <v>14.79</v>
      </c>
      <c r="F122" s="935">
        <v>15.16</v>
      </c>
      <c r="G122" s="935">
        <v>16.54</v>
      </c>
      <c r="H122" s="935">
        <v>17.690000000000001</v>
      </c>
      <c r="I122" s="935">
        <v>18.46</v>
      </c>
      <c r="J122" s="935">
        <v>19.04</v>
      </c>
      <c r="K122" s="935">
        <v>19.760000000000002</v>
      </c>
      <c r="L122" s="935">
        <v>20.41</v>
      </c>
      <c r="M122" s="935">
        <v>20.97</v>
      </c>
      <c r="N122" s="935">
        <v>21.35</v>
      </c>
      <c r="O122" s="935">
        <v>21.69</v>
      </c>
      <c r="P122" s="935">
        <v>21.85</v>
      </c>
      <c r="Q122" s="935">
        <v>22.09</v>
      </c>
      <c r="R122" s="935">
        <v>22.41</v>
      </c>
      <c r="S122" s="935">
        <v>22.61</v>
      </c>
      <c r="T122" s="935">
        <v>22.92</v>
      </c>
      <c r="U122" s="935">
        <v>23.19</v>
      </c>
      <c r="V122" s="935">
        <v>23.48</v>
      </c>
      <c r="W122" s="935">
        <v>23.9</v>
      </c>
      <c r="X122" s="935">
        <v>24.26</v>
      </c>
      <c r="Y122" s="935">
        <v>24.51</v>
      </c>
      <c r="Z122" s="935">
        <v>24.9</v>
      </c>
      <c r="AA122" s="935">
        <v>25.3</v>
      </c>
      <c r="AB122" s="935">
        <v>25.64</v>
      </c>
      <c r="AC122" s="935">
        <v>26.05</v>
      </c>
      <c r="AD122" s="935">
        <v>26.48</v>
      </c>
      <c r="AE122" s="974">
        <v>6.0000000000000001E-3</v>
      </c>
      <c r="AF122" s="935"/>
      <c r="AG122" s="935"/>
      <c r="AH122" s="935"/>
      <c r="AI122" s="935"/>
      <c r="AJ122" s="935"/>
      <c r="AK122" s="935"/>
      <c r="AL122" s="935"/>
      <c r="AM122" s="935"/>
      <c r="AN122" s="935"/>
      <c r="AO122" s="935"/>
      <c r="AP122" s="935"/>
      <c r="AQ122" s="935"/>
      <c r="AR122" s="935"/>
      <c r="AS122" s="935"/>
      <c r="AT122" s="935"/>
      <c r="AU122" s="935"/>
      <c r="AV122" s="935"/>
      <c r="AW122" s="935"/>
      <c r="AX122" s="935"/>
      <c r="AY122" s="935"/>
      <c r="AZ122" s="935"/>
      <c r="BA122" s="935"/>
      <c r="BB122" s="935"/>
      <c r="BC122" s="935"/>
      <c r="BD122" s="935"/>
      <c r="BE122" s="935"/>
      <c r="BF122" s="935"/>
      <c r="BG122" s="935"/>
      <c r="BH122" s="935"/>
      <c r="BI122" s="935"/>
      <c r="BJ122" s="935"/>
      <c r="BK122" s="935"/>
      <c r="BL122" s="935"/>
      <c r="BM122" s="935"/>
      <c r="BN122" s="935"/>
      <c r="BO122" s="935"/>
      <c r="BP122" s="935"/>
      <c r="BQ122" s="935"/>
      <c r="BR122" s="935"/>
      <c r="BS122" s="935"/>
      <c r="BT122" s="935"/>
    </row>
    <row r="123" spans="1:72" x14ac:dyDescent="0.25">
      <c r="A123" s="935" t="s">
        <v>610</v>
      </c>
      <c r="B123" s="935">
        <v>20.71</v>
      </c>
      <c r="C123" s="935">
        <v>26.27</v>
      </c>
      <c r="D123" s="935">
        <v>17.46</v>
      </c>
      <c r="E123" s="935">
        <v>17.73</v>
      </c>
      <c r="F123" s="935">
        <v>18.149999999999999</v>
      </c>
      <c r="G123" s="935">
        <v>19.45</v>
      </c>
      <c r="H123" s="935">
        <v>20.62</v>
      </c>
      <c r="I123" s="935">
        <v>21.35</v>
      </c>
      <c r="J123" s="935">
        <v>22.03</v>
      </c>
      <c r="K123" s="935">
        <v>22.8</v>
      </c>
      <c r="L123" s="935">
        <v>23.45</v>
      </c>
      <c r="M123" s="935">
        <v>24.07</v>
      </c>
      <c r="N123" s="935">
        <v>24.47</v>
      </c>
      <c r="O123" s="935">
        <v>24.79</v>
      </c>
      <c r="P123" s="935">
        <v>24.99</v>
      </c>
      <c r="Q123" s="935">
        <v>25.32</v>
      </c>
      <c r="R123" s="935">
        <v>25.5</v>
      </c>
      <c r="S123" s="935">
        <v>25.59</v>
      </c>
      <c r="T123" s="935">
        <v>25.89</v>
      </c>
      <c r="U123" s="935">
        <v>26.12</v>
      </c>
      <c r="V123" s="935">
        <v>26.38</v>
      </c>
      <c r="W123" s="935">
        <v>26.71</v>
      </c>
      <c r="X123" s="935">
        <v>27.11</v>
      </c>
      <c r="Y123" s="935">
        <v>27.29</v>
      </c>
      <c r="Z123" s="935">
        <v>27.73</v>
      </c>
      <c r="AA123" s="935">
        <v>28.13</v>
      </c>
      <c r="AB123" s="935">
        <v>28.46</v>
      </c>
      <c r="AC123" s="935">
        <v>28.87</v>
      </c>
      <c r="AD123" s="935">
        <v>29.34</v>
      </c>
      <c r="AE123" s="974">
        <v>4.0000000000000001E-3</v>
      </c>
      <c r="AF123" s="935"/>
      <c r="AG123" s="935"/>
      <c r="AH123" s="935"/>
      <c r="AI123" s="935"/>
      <c r="AJ123" s="935"/>
      <c r="AK123" s="935"/>
      <c r="AL123" s="935"/>
      <c r="AM123" s="935"/>
      <c r="AN123" s="935"/>
      <c r="AO123" s="935"/>
      <c r="AP123" s="935"/>
      <c r="AQ123" s="935"/>
      <c r="AR123" s="935"/>
      <c r="AS123" s="935"/>
      <c r="AT123" s="935"/>
      <c r="AU123" s="935"/>
      <c r="AV123" s="935"/>
      <c r="AW123" s="935"/>
      <c r="AX123" s="935"/>
      <c r="AY123" s="935"/>
      <c r="AZ123" s="935"/>
      <c r="BA123" s="935"/>
      <c r="BB123" s="935"/>
      <c r="BC123" s="935"/>
      <c r="BD123" s="935"/>
      <c r="BE123" s="935"/>
      <c r="BF123" s="935"/>
      <c r="BG123" s="935"/>
      <c r="BH123" s="935"/>
      <c r="BI123" s="935"/>
      <c r="BJ123" s="935"/>
      <c r="BK123" s="935"/>
      <c r="BL123" s="935"/>
      <c r="BM123" s="935"/>
      <c r="BN123" s="935"/>
      <c r="BO123" s="935"/>
      <c r="BP123" s="935"/>
      <c r="BQ123" s="935"/>
      <c r="BR123" s="935"/>
      <c r="BS123" s="935"/>
      <c r="BT123" s="935"/>
    </row>
    <row r="124" spans="1:72" x14ac:dyDescent="0.25">
      <c r="A124" s="935" t="s">
        <v>611</v>
      </c>
      <c r="B124" s="935">
        <v>9.07</v>
      </c>
      <c r="C124" s="935">
        <v>14.77</v>
      </c>
      <c r="D124" s="935">
        <v>8.9600000000000009</v>
      </c>
      <c r="E124" s="935">
        <v>10.9</v>
      </c>
      <c r="F124" s="935">
        <v>11.01</v>
      </c>
      <c r="G124" s="935">
        <v>12.17</v>
      </c>
      <c r="H124" s="935">
        <v>13.13</v>
      </c>
      <c r="I124" s="935">
        <v>13.86</v>
      </c>
      <c r="J124" s="935">
        <v>14.26</v>
      </c>
      <c r="K124" s="935">
        <v>14.63</v>
      </c>
      <c r="L124" s="935">
        <v>15.14</v>
      </c>
      <c r="M124" s="935">
        <v>15.55</v>
      </c>
      <c r="N124" s="935">
        <v>15.76</v>
      </c>
      <c r="O124" s="935">
        <v>15.81</v>
      </c>
      <c r="P124" s="935">
        <v>16.05</v>
      </c>
      <c r="Q124" s="935">
        <v>16.190000000000001</v>
      </c>
      <c r="R124" s="935">
        <v>16.399999999999999</v>
      </c>
      <c r="S124" s="935">
        <v>16.600000000000001</v>
      </c>
      <c r="T124" s="935">
        <v>16.8</v>
      </c>
      <c r="U124" s="935">
        <v>16.850000000000001</v>
      </c>
      <c r="V124" s="935">
        <v>17.13</v>
      </c>
      <c r="W124" s="935">
        <v>17.37</v>
      </c>
      <c r="X124" s="935">
        <v>17.66</v>
      </c>
      <c r="Y124" s="935">
        <v>17.96</v>
      </c>
      <c r="Z124" s="935">
        <v>18.3</v>
      </c>
      <c r="AA124" s="935">
        <v>18.559999999999999</v>
      </c>
      <c r="AB124" s="935">
        <v>18.79</v>
      </c>
      <c r="AC124" s="935">
        <v>19.12</v>
      </c>
      <c r="AD124" s="935">
        <v>19.46</v>
      </c>
      <c r="AE124" s="974">
        <v>0.01</v>
      </c>
      <c r="AF124" s="935"/>
      <c r="AG124" s="935"/>
      <c r="AH124" s="935"/>
      <c r="AI124" s="935"/>
      <c r="AJ124" s="935"/>
      <c r="AK124" s="935"/>
      <c r="AL124" s="935"/>
      <c r="AM124" s="935"/>
      <c r="AN124" s="935"/>
      <c r="AO124" s="935"/>
      <c r="AP124" s="935"/>
      <c r="AQ124" s="935"/>
      <c r="AR124" s="935"/>
      <c r="AS124" s="935"/>
      <c r="AT124" s="935"/>
      <c r="AU124" s="935"/>
      <c r="AV124" s="935"/>
      <c r="AW124" s="935"/>
      <c r="AX124" s="935"/>
      <c r="AY124" s="935"/>
      <c r="AZ124" s="935"/>
      <c r="BA124" s="935"/>
      <c r="BB124" s="935"/>
      <c r="BC124" s="935"/>
      <c r="BD124" s="935"/>
      <c r="BE124" s="935"/>
      <c r="BF124" s="935"/>
      <c r="BG124" s="935"/>
      <c r="BH124" s="935"/>
      <c r="BI124" s="935"/>
      <c r="BJ124" s="935"/>
      <c r="BK124" s="935"/>
      <c r="BL124" s="935"/>
      <c r="BM124" s="935"/>
      <c r="BN124" s="935"/>
      <c r="BO124" s="935"/>
      <c r="BP124" s="935"/>
      <c r="BQ124" s="935"/>
      <c r="BR124" s="935"/>
      <c r="BS124" s="935"/>
      <c r="BT124" s="935"/>
    </row>
    <row r="125" spans="1:72" x14ac:dyDescent="0.25">
      <c r="A125" s="935" t="s">
        <v>510</v>
      </c>
      <c r="B125" s="935">
        <v>9.19</v>
      </c>
      <c r="C125" s="935">
        <v>10.53</v>
      </c>
      <c r="D125" s="935">
        <v>6.57</v>
      </c>
      <c r="E125" s="935">
        <v>6.87</v>
      </c>
      <c r="F125" s="935">
        <v>7.87</v>
      </c>
      <c r="G125" s="935">
        <v>8.1999999999999993</v>
      </c>
      <c r="H125" s="935">
        <v>8.0500000000000007</v>
      </c>
      <c r="I125" s="935">
        <v>8.02</v>
      </c>
      <c r="J125" s="935">
        <v>8.14</v>
      </c>
      <c r="K125" s="935">
        <v>8.2200000000000006</v>
      </c>
      <c r="L125" s="935">
        <v>8.2200000000000006</v>
      </c>
      <c r="M125" s="935">
        <v>8.27</v>
      </c>
      <c r="N125" s="935">
        <v>8.33</v>
      </c>
      <c r="O125" s="935">
        <v>8.44</v>
      </c>
      <c r="P125" s="935">
        <v>8.5500000000000007</v>
      </c>
      <c r="Q125" s="935">
        <v>8.73</v>
      </c>
      <c r="R125" s="935">
        <v>8.77</v>
      </c>
      <c r="S125" s="935">
        <v>8.68</v>
      </c>
      <c r="T125" s="935">
        <v>8.75</v>
      </c>
      <c r="U125" s="935">
        <v>8.89</v>
      </c>
      <c r="V125" s="935">
        <v>9.0399999999999991</v>
      </c>
      <c r="W125" s="935">
        <v>9.26</v>
      </c>
      <c r="X125" s="935">
        <v>9.49</v>
      </c>
      <c r="Y125" s="935">
        <v>9.74</v>
      </c>
      <c r="Z125" s="935">
        <v>10.050000000000001</v>
      </c>
      <c r="AA125" s="935">
        <v>10.17</v>
      </c>
      <c r="AB125" s="935">
        <v>10.210000000000001</v>
      </c>
      <c r="AC125" s="935">
        <v>10.4</v>
      </c>
      <c r="AD125" s="935">
        <v>10.54</v>
      </c>
      <c r="AE125" s="974">
        <v>0</v>
      </c>
      <c r="AF125" s="935"/>
      <c r="AG125" s="935"/>
      <c r="AH125" s="935"/>
      <c r="AI125" s="935"/>
      <c r="AJ125" s="935"/>
      <c r="AK125" s="935"/>
      <c r="AL125" s="935"/>
      <c r="AM125" s="935"/>
      <c r="AN125" s="935"/>
      <c r="AO125" s="935"/>
      <c r="AP125" s="935"/>
      <c r="AQ125" s="935"/>
      <c r="AR125" s="935"/>
      <c r="AS125" s="935"/>
      <c r="AT125" s="935"/>
      <c r="AU125" s="935"/>
      <c r="AV125" s="935"/>
      <c r="AW125" s="935"/>
      <c r="AX125" s="935"/>
      <c r="AY125" s="935"/>
      <c r="AZ125" s="935"/>
      <c r="BA125" s="935"/>
      <c r="BB125" s="935"/>
      <c r="BC125" s="935"/>
      <c r="BD125" s="935"/>
      <c r="BE125" s="935"/>
      <c r="BF125" s="935"/>
      <c r="BG125" s="935"/>
      <c r="BH125" s="935"/>
      <c r="BI125" s="935"/>
      <c r="BJ125" s="935"/>
      <c r="BK125" s="935"/>
      <c r="BL125" s="935"/>
      <c r="BM125" s="935"/>
      <c r="BN125" s="935"/>
      <c r="BO125" s="935"/>
      <c r="BP125" s="935"/>
      <c r="BQ125" s="935"/>
      <c r="BR125" s="935"/>
      <c r="BS125" s="935"/>
      <c r="BT125" s="935"/>
    </row>
    <row r="126" spans="1:72" x14ac:dyDescent="0.25">
      <c r="A126" s="935" t="s">
        <v>614</v>
      </c>
      <c r="B126" s="935">
        <v>3.69</v>
      </c>
      <c r="C126" s="935">
        <v>4.49</v>
      </c>
      <c r="D126" s="935">
        <v>4.72</v>
      </c>
      <c r="E126" s="935">
        <v>4.8</v>
      </c>
      <c r="F126" s="935">
        <v>4.8600000000000003</v>
      </c>
      <c r="G126" s="935">
        <v>5.0199999999999996</v>
      </c>
      <c r="H126" s="935">
        <v>5.05</v>
      </c>
      <c r="I126" s="935">
        <v>5.08</v>
      </c>
      <c r="J126" s="935">
        <v>5.08</v>
      </c>
      <c r="K126" s="935">
        <v>5.09</v>
      </c>
      <c r="L126" s="935">
        <v>5.16</v>
      </c>
      <c r="M126" s="935">
        <v>5.22</v>
      </c>
      <c r="N126" s="935">
        <v>5.29</v>
      </c>
      <c r="O126" s="935">
        <v>5.32</v>
      </c>
      <c r="P126" s="935">
        <v>5.35</v>
      </c>
      <c r="Q126" s="935">
        <v>5.36</v>
      </c>
      <c r="R126" s="935">
        <v>5.35</v>
      </c>
      <c r="S126" s="935">
        <v>5.32</v>
      </c>
      <c r="T126" s="935">
        <v>5.24</v>
      </c>
      <c r="U126" s="935">
        <v>5.16</v>
      </c>
      <c r="V126" s="935">
        <v>5.14</v>
      </c>
      <c r="W126" s="935">
        <v>5.14</v>
      </c>
      <c r="X126" s="935">
        <v>5.1100000000000003</v>
      </c>
      <c r="Y126" s="935">
        <v>5.1100000000000003</v>
      </c>
      <c r="Z126" s="935">
        <v>5.09</v>
      </c>
      <c r="AA126" s="935">
        <v>5.08</v>
      </c>
      <c r="AB126" s="935">
        <v>5.08</v>
      </c>
      <c r="AC126" s="935">
        <v>5.0599999999999996</v>
      </c>
      <c r="AD126" s="935">
        <v>5.0599999999999996</v>
      </c>
      <c r="AE126" s="974">
        <v>4.0000000000000001E-3</v>
      </c>
      <c r="AF126" s="935"/>
      <c r="AG126" s="935"/>
      <c r="AH126" s="935"/>
      <c r="AI126" s="935"/>
      <c r="AJ126" s="935"/>
      <c r="AK126" s="935"/>
      <c r="AL126" s="935"/>
      <c r="AM126" s="935"/>
      <c r="AN126" s="935"/>
      <c r="AO126" s="935"/>
      <c r="AP126" s="935"/>
      <c r="AQ126" s="935"/>
      <c r="AR126" s="935"/>
      <c r="AS126" s="935"/>
      <c r="AT126" s="935"/>
      <c r="AU126" s="935"/>
      <c r="AV126" s="935"/>
      <c r="AW126" s="935"/>
      <c r="AX126" s="935"/>
      <c r="AY126" s="935"/>
      <c r="AZ126" s="935"/>
      <c r="BA126" s="935"/>
      <c r="BB126" s="935"/>
      <c r="BC126" s="935"/>
      <c r="BD126" s="935"/>
      <c r="BE126" s="935"/>
      <c r="BF126" s="935"/>
      <c r="BG126" s="935"/>
      <c r="BH126" s="935"/>
      <c r="BI126" s="935"/>
      <c r="BJ126" s="935"/>
      <c r="BK126" s="935"/>
      <c r="BL126" s="935"/>
      <c r="BM126" s="935"/>
      <c r="BN126" s="935"/>
      <c r="BO126" s="935"/>
      <c r="BP126" s="935"/>
      <c r="BQ126" s="935"/>
      <c r="BR126" s="935"/>
      <c r="BS126" s="935"/>
      <c r="BT126" s="935"/>
    </row>
    <row r="127" spans="1:72" x14ac:dyDescent="0.25">
      <c r="A127" s="935" t="s">
        <v>627</v>
      </c>
      <c r="B127" s="935">
        <v>1.84</v>
      </c>
      <c r="C127" s="935">
        <v>2.1</v>
      </c>
      <c r="D127" s="935">
        <v>2.19</v>
      </c>
      <c r="E127" s="935">
        <v>2.0299999999999998</v>
      </c>
      <c r="F127" s="935">
        <v>2.02</v>
      </c>
      <c r="G127" s="935">
        <v>2.0299999999999998</v>
      </c>
      <c r="H127" s="935">
        <v>2.0299999999999998</v>
      </c>
      <c r="I127" s="935">
        <v>2.0299999999999998</v>
      </c>
      <c r="J127" s="935">
        <v>2.0499999999999998</v>
      </c>
      <c r="K127" s="935">
        <v>2.0299999999999998</v>
      </c>
      <c r="L127" s="935">
        <v>2.04</v>
      </c>
      <c r="M127" s="935">
        <v>2.0299999999999998</v>
      </c>
      <c r="N127" s="935">
        <v>2.02</v>
      </c>
      <c r="O127" s="935">
        <v>2.02</v>
      </c>
      <c r="P127" s="935">
        <v>2.02</v>
      </c>
      <c r="Q127" s="935">
        <v>2.0299999999999998</v>
      </c>
      <c r="R127" s="935">
        <v>2.02</v>
      </c>
      <c r="S127" s="935">
        <v>2.02</v>
      </c>
      <c r="T127" s="935">
        <v>2.02</v>
      </c>
      <c r="U127" s="935">
        <v>2.0299999999999998</v>
      </c>
      <c r="V127" s="935">
        <v>2.0299999999999998</v>
      </c>
      <c r="W127" s="935">
        <v>2.04</v>
      </c>
      <c r="X127" s="935">
        <v>2.0499999999999998</v>
      </c>
      <c r="Y127" s="935">
        <v>2.06</v>
      </c>
      <c r="Z127" s="935">
        <v>2.0699999999999998</v>
      </c>
      <c r="AA127" s="935">
        <v>2.08</v>
      </c>
      <c r="AB127" s="935">
        <v>2.09</v>
      </c>
      <c r="AC127" s="935">
        <v>2.1</v>
      </c>
      <c r="AD127" s="935">
        <v>2.12</v>
      </c>
      <c r="AE127" s="974">
        <v>0</v>
      </c>
      <c r="AF127" s="935"/>
      <c r="AG127" s="935"/>
      <c r="AH127" s="935"/>
      <c r="AI127" s="935"/>
      <c r="AJ127" s="935"/>
      <c r="AK127" s="935"/>
      <c r="AL127" s="935"/>
      <c r="AM127" s="935"/>
      <c r="AN127" s="935"/>
      <c r="AO127" s="935"/>
      <c r="AP127" s="935"/>
      <c r="AQ127" s="935"/>
      <c r="AR127" s="935"/>
      <c r="AS127" s="935"/>
      <c r="AT127" s="935"/>
      <c r="AU127" s="935"/>
      <c r="AV127" s="935"/>
      <c r="AW127" s="935"/>
      <c r="AX127" s="935"/>
      <c r="AY127" s="935"/>
      <c r="AZ127" s="935"/>
      <c r="BA127" s="935"/>
      <c r="BB127" s="935"/>
      <c r="BC127" s="935"/>
      <c r="BD127" s="935"/>
      <c r="BE127" s="935"/>
      <c r="BF127" s="935"/>
      <c r="BG127" s="935"/>
      <c r="BH127" s="935"/>
      <c r="BI127" s="935"/>
      <c r="BJ127" s="935"/>
      <c r="BK127" s="935"/>
      <c r="BL127" s="935"/>
      <c r="BM127" s="935"/>
      <c r="BN127" s="935"/>
      <c r="BO127" s="935"/>
      <c r="BP127" s="935"/>
      <c r="BQ127" s="935"/>
      <c r="BR127" s="935"/>
      <c r="BS127" s="935"/>
      <c r="BT127" s="935"/>
    </row>
    <row r="128" spans="1:72" x14ac:dyDescent="0.25">
      <c r="A128" s="935" t="s">
        <v>616</v>
      </c>
      <c r="B128" s="935" t="s">
        <v>788</v>
      </c>
      <c r="C128" s="935" t="s">
        <v>788</v>
      </c>
      <c r="D128" s="935" t="s">
        <v>788</v>
      </c>
      <c r="E128" s="935" t="s">
        <v>788</v>
      </c>
      <c r="F128" s="935">
        <v>1.26</v>
      </c>
      <c r="G128" s="935">
        <v>1.04</v>
      </c>
      <c r="H128" s="935">
        <v>1.04</v>
      </c>
      <c r="I128" s="935">
        <v>1.41</v>
      </c>
      <c r="J128" s="935">
        <v>1.42</v>
      </c>
      <c r="K128" s="935">
        <v>1.46</v>
      </c>
      <c r="L128" s="935">
        <v>1.48</v>
      </c>
      <c r="M128" s="935">
        <v>1.48</v>
      </c>
      <c r="N128" s="935">
        <v>1.47</v>
      </c>
      <c r="O128" s="935">
        <v>1.46</v>
      </c>
      <c r="P128" s="935">
        <v>1.49</v>
      </c>
      <c r="Q128" s="935">
        <v>1.5</v>
      </c>
      <c r="R128" s="935">
        <v>1.52</v>
      </c>
      <c r="S128" s="935">
        <v>1.49</v>
      </c>
      <c r="T128" s="935">
        <v>1.49</v>
      </c>
      <c r="U128" s="935">
        <v>1.47</v>
      </c>
      <c r="V128" s="935">
        <v>1.46</v>
      </c>
      <c r="W128" s="935">
        <v>1.45</v>
      </c>
      <c r="X128" s="935">
        <v>1.44</v>
      </c>
      <c r="Y128" s="935">
        <v>1.44</v>
      </c>
      <c r="Z128" s="935">
        <v>1.44</v>
      </c>
      <c r="AA128" s="935">
        <v>1.44</v>
      </c>
      <c r="AB128" s="935">
        <v>1.46</v>
      </c>
      <c r="AC128" s="935">
        <v>1.48</v>
      </c>
      <c r="AD128" s="935">
        <v>1.51</v>
      </c>
      <c r="AE128" s="935" t="s">
        <v>788</v>
      </c>
      <c r="AF128" s="935"/>
      <c r="AG128" s="935"/>
      <c r="AH128" s="935"/>
      <c r="AI128" s="935"/>
      <c r="AJ128" s="935"/>
      <c r="AK128" s="935"/>
      <c r="AL128" s="935"/>
      <c r="AM128" s="935"/>
      <c r="AN128" s="935"/>
      <c r="AO128" s="935"/>
      <c r="AP128" s="935"/>
      <c r="AQ128" s="935"/>
      <c r="AR128" s="935"/>
      <c r="AS128" s="935"/>
      <c r="AT128" s="935"/>
      <c r="AU128" s="935"/>
      <c r="AV128" s="935"/>
      <c r="AW128" s="935"/>
      <c r="AX128" s="935"/>
      <c r="AY128" s="935"/>
      <c r="AZ128" s="935"/>
      <c r="BA128" s="935"/>
      <c r="BB128" s="935"/>
      <c r="BC128" s="935"/>
      <c r="BD128" s="935"/>
      <c r="BE128" s="935"/>
      <c r="BF128" s="935"/>
      <c r="BG128" s="935"/>
      <c r="BH128" s="935"/>
      <c r="BI128" s="935"/>
      <c r="BJ128" s="935"/>
      <c r="BK128" s="935"/>
      <c r="BL128" s="935"/>
      <c r="BM128" s="935"/>
      <c r="BN128" s="935"/>
      <c r="BO128" s="935"/>
      <c r="BP128" s="935"/>
      <c r="BQ128" s="935"/>
      <c r="BR128" s="935"/>
      <c r="BS128" s="935"/>
      <c r="BT128" s="935"/>
    </row>
    <row r="129" spans="1:72" x14ac:dyDescent="0.25">
      <c r="A129" s="935" t="s">
        <v>479</v>
      </c>
      <c r="B129" s="935">
        <v>27.25</v>
      </c>
      <c r="C129" s="935">
        <v>28.81</v>
      </c>
      <c r="D129" s="935">
        <v>28.07</v>
      </c>
      <c r="E129" s="935">
        <v>26.77</v>
      </c>
      <c r="F129" s="935">
        <v>25.2</v>
      </c>
      <c r="G129" s="935">
        <v>26.1</v>
      </c>
      <c r="H129" s="935">
        <v>26.17</v>
      </c>
      <c r="I129" s="935">
        <v>25.97</v>
      </c>
      <c r="J129" s="935">
        <v>25.95</v>
      </c>
      <c r="K129" s="935">
        <v>26.2</v>
      </c>
      <c r="L129" s="935">
        <v>26.36</v>
      </c>
      <c r="M129" s="935">
        <v>26.37</v>
      </c>
      <c r="N129" s="935">
        <v>26.31</v>
      </c>
      <c r="O129" s="935">
        <v>26.51</v>
      </c>
      <c r="P129" s="935">
        <v>26.7</v>
      </c>
      <c r="Q129" s="935">
        <v>26.84</v>
      </c>
      <c r="R129" s="935">
        <v>27.04</v>
      </c>
      <c r="S129" s="935">
        <v>27.19</v>
      </c>
      <c r="T129" s="935">
        <v>27.17</v>
      </c>
      <c r="U129" s="935">
        <v>27.33</v>
      </c>
      <c r="V129" s="935">
        <v>27.53</v>
      </c>
      <c r="W129" s="935">
        <v>27.74</v>
      </c>
      <c r="X129" s="935">
        <v>28.16</v>
      </c>
      <c r="Y129" s="935">
        <v>28.49</v>
      </c>
      <c r="Z129" s="935">
        <v>28.86</v>
      </c>
      <c r="AA129" s="935">
        <v>29.21</v>
      </c>
      <c r="AB129" s="935">
        <v>29.38</v>
      </c>
      <c r="AC129" s="935">
        <v>29.64</v>
      </c>
      <c r="AD129" s="935">
        <v>29.87</v>
      </c>
      <c r="AE129" s="974">
        <v>1E-3</v>
      </c>
      <c r="AF129" s="935"/>
      <c r="AG129" s="935"/>
      <c r="AH129" s="935"/>
      <c r="AI129" s="935"/>
      <c r="AJ129" s="935"/>
      <c r="AK129" s="935"/>
      <c r="AL129" s="935"/>
      <c r="AM129" s="935"/>
      <c r="AN129" s="935"/>
      <c r="AO129" s="935"/>
      <c r="AP129" s="935"/>
      <c r="AQ129" s="935"/>
      <c r="AR129" s="935"/>
      <c r="AS129" s="935"/>
      <c r="AT129" s="935"/>
      <c r="AU129" s="935"/>
      <c r="AV129" s="935"/>
      <c r="AW129" s="935"/>
      <c r="AX129" s="935"/>
      <c r="AY129" s="935"/>
      <c r="AZ129" s="935"/>
      <c r="BA129" s="935"/>
      <c r="BB129" s="935"/>
      <c r="BC129" s="935"/>
      <c r="BD129" s="935"/>
      <c r="BE129" s="935"/>
      <c r="BF129" s="935"/>
      <c r="BG129" s="935"/>
      <c r="BH129" s="935"/>
      <c r="BI129" s="935"/>
      <c r="BJ129" s="935"/>
      <c r="BK129" s="935"/>
      <c r="BL129" s="935"/>
      <c r="BM129" s="935"/>
      <c r="BN129" s="935"/>
      <c r="BO129" s="935"/>
      <c r="BP129" s="935"/>
      <c r="BQ129" s="935"/>
      <c r="BR129" s="935"/>
      <c r="BS129" s="935"/>
      <c r="BT129" s="935"/>
    </row>
    <row r="130" spans="1:72" x14ac:dyDescent="0.25">
      <c r="A130" s="935"/>
      <c r="B130" s="935"/>
      <c r="C130" s="935"/>
      <c r="D130" s="935"/>
      <c r="E130" s="935"/>
      <c r="F130" s="935"/>
      <c r="G130" s="935"/>
      <c r="H130" s="935"/>
      <c r="I130" s="935"/>
      <c r="J130" s="935"/>
      <c r="K130" s="935"/>
      <c r="L130" s="935"/>
      <c r="M130" s="935"/>
      <c r="N130" s="935"/>
      <c r="O130" s="935"/>
      <c r="P130" s="935"/>
      <c r="Q130" s="935"/>
      <c r="R130" s="935"/>
      <c r="S130" s="935"/>
      <c r="T130" s="935"/>
      <c r="U130" s="935"/>
      <c r="V130" s="935"/>
      <c r="W130" s="935"/>
      <c r="X130" s="935"/>
      <c r="Y130" s="935"/>
      <c r="Z130" s="935"/>
      <c r="AA130" s="935"/>
      <c r="AB130" s="935"/>
      <c r="AC130" s="935"/>
      <c r="AD130" s="935"/>
      <c r="AE130" s="935"/>
      <c r="AF130" s="935"/>
      <c r="AG130" s="935"/>
      <c r="AH130" s="935"/>
      <c r="AI130" s="935"/>
      <c r="AJ130" s="935"/>
      <c r="AK130" s="935"/>
      <c r="AL130" s="935"/>
      <c r="AM130" s="935"/>
      <c r="AN130" s="935"/>
      <c r="AO130" s="935"/>
      <c r="AP130" s="935"/>
      <c r="AQ130" s="935"/>
      <c r="AR130" s="935"/>
      <c r="AS130" s="935"/>
      <c r="AT130" s="935"/>
      <c r="AU130" s="935"/>
      <c r="AV130" s="935"/>
      <c r="AW130" s="935"/>
      <c r="AX130" s="935"/>
      <c r="AY130" s="935"/>
      <c r="AZ130" s="935"/>
      <c r="BA130" s="935"/>
      <c r="BB130" s="935"/>
      <c r="BC130" s="935"/>
      <c r="BD130" s="935"/>
      <c r="BE130" s="935"/>
      <c r="BF130" s="935"/>
      <c r="BG130" s="935"/>
      <c r="BH130" s="935"/>
      <c r="BI130" s="935"/>
      <c r="BJ130" s="935"/>
      <c r="BK130" s="935"/>
      <c r="BL130" s="935"/>
      <c r="BM130" s="935"/>
      <c r="BN130" s="935"/>
      <c r="BO130" s="935"/>
      <c r="BP130" s="935"/>
      <c r="BQ130" s="935"/>
      <c r="BR130" s="935"/>
      <c r="BS130" s="935"/>
      <c r="BT130" s="935"/>
    </row>
    <row r="131" spans="1:72" x14ac:dyDescent="0.25">
      <c r="A131" s="935" t="s">
        <v>513</v>
      </c>
      <c r="B131" s="935"/>
      <c r="C131" s="935"/>
      <c r="D131" s="935"/>
      <c r="E131" s="935"/>
      <c r="F131" s="935"/>
      <c r="G131" s="935"/>
      <c r="H131" s="935"/>
      <c r="I131" s="935"/>
      <c r="J131" s="935"/>
      <c r="K131" s="935"/>
      <c r="L131" s="935"/>
      <c r="M131" s="935"/>
      <c r="N131" s="935"/>
      <c r="O131" s="935"/>
      <c r="P131" s="935"/>
      <c r="Q131" s="935"/>
      <c r="R131" s="935"/>
      <c r="S131" s="935"/>
      <c r="T131" s="935"/>
      <c r="U131" s="935"/>
      <c r="V131" s="935"/>
      <c r="W131" s="935"/>
      <c r="X131" s="935"/>
      <c r="Y131" s="935"/>
      <c r="Z131" s="935"/>
      <c r="AA131" s="935"/>
      <c r="AB131" s="935"/>
      <c r="AC131" s="935"/>
      <c r="AD131" s="935"/>
      <c r="AE131" s="935"/>
      <c r="AF131" s="935"/>
      <c r="AG131" s="935"/>
      <c r="AH131" s="935"/>
      <c r="AI131" s="935"/>
      <c r="AJ131" s="935"/>
      <c r="AK131" s="935"/>
      <c r="AL131" s="935"/>
      <c r="AM131" s="935"/>
      <c r="AN131" s="935"/>
      <c r="AO131" s="935"/>
      <c r="AP131" s="935"/>
      <c r="AQ131" s="935"/>
      <c r="AR131" s="935"/>
      <c r="AS131" s="935"/>
      <c r="AT131" s="935"/>
      <c r="AU131" s="935"/>
      <c r="AV131" s="935"/>
      <c r="AW131" s="935"/>
      <c r="AX131" s="935"/>
      <c r="AY131" s="935"/>
      <c r="AZ131" s="935"/>
      <c r="BA131" s="935"/>
      <c r="BB131" s="935"/>
      <c r="BC131" s="935"/>
      <c r="BD131" s="935"/>
      <c r="BE131" s="935"/>
      <c r="BF131" s="935"/>
      <c r="BG131" s="935"/>
      <c r="BH131" s="935"/>
      <c r="BI131" s="935"/>
      <c r="BJ131" s="935"/>
      <c r="BK131" s="935"/>
      <c r="BL131" s="935"/>
      <c r="BM131" s="935"/>
      <c r="BN131" s="935"/>
      <c r="BO131" s="935"/>
      <c r="BP131" s="935"/>
      <c r="BQ131" s="935"/>
      <c r="BR131" s="935"/>
      <c r="BS131" s="935"/>
      <c r="BT131" s="935"/>
    </row>
    <row r="132" spans="1:72" x14ac:dyDescent="0.25">
      <c r="A132" s="935" t="s">
        <v>789</v>
      </c>
      <c r="B132" s="935"/>
      <c r="C132" s="935"/>
      <c r="D132" s="935"/>
      <c r="E132" s="935"/>
      <c r="F132" s="935"/>
      <c r="G132" s="935"/>
      <c r="H132" s="935"/>
      <c r="I132" s="935"/>
      <c r="J132" s="935"/>
      <c r="K132" s="935"/>
      <c r="L132" s="935"/>
      <c r="M132" s="935"/>
      <c r="N132" s="935"/>
      <c r="O132" s="935"/>
      <c r="P132" s="935"/>
      <c r="Q132" s="935"/>
      <c r="R132" s="935"/>
      <c r="S132" s="935"/>
      <c r="T132" s="935"/>
      <c r="U132" s="935"/>
      <c r="V132" s="935"/>
      <c r="W132" s="935"/>
      <c r="X132" s="935"/>
      <c r="Y132" s="935"/>
      <c r="Z132" s="935"/>
      <c r="AA132" s="935"/>
      <c r="AB132" s="935"/>
      <c r="AC132" s="935"/>
      <c r="AD132" s="935"/>
      <c r="AE132" s="935"/>
      <c r="AF132" s="935"/>
      <c r="AG132" s="935"/>
      <c r="AH132" s="935"/>
      <c r="AI132" s="935"/>
      <c r="AJ132" s="935"/>
      <c r="AK132" s="935"/>
      <c r="AL132" s="935"/>
      <c r="AM132" s="935"/>
      <c r="AN132" s="935"/>
      <c r="AO132" s="935"/>
      <c r="AP132" s="935"/>
      <c r="AQ132" s="935"/>
      <c r="AR132" s="935"/>
      <c r="AS132" s="935"/>
      <c r="AT132" s="935"/>
      <c r="AU132" s="935"/>
      <c r="AV132" s="935"/>
      <c r="AW132" s="935"/>
      <c r="AX132" s="935"/>
      <c r="AY132" s="935"/>
      <c r="AZ132" s="935"/>
      <c r="BA132" s="935"/>
      <c r="BB132" s="935"/>
      <c r="BC132" s="935"/>
      <c r="BD132" s="935"/>
      <c r="BE132" s="935"/>
      <c r="BF132" s="935"/>
      <c r="BG132" s="935"/>
      <c r="BH132" s="935"/>
      <c r="BI132" s="935"/>
      <c r="BJ132" s="935"/>
      <c r="BK132" s="935"/>
      <c r="BL132" s="935"/>
      <c r="BM132" s="935"/>
      <c r="BN132" s="935"/>
      <c r="BO132" s="935"/>
      <c r="BP132" s="935"/>
      <c r="BQ132" s="935"/>
      <c r="BR132" s="935"/>
      <c r="BS132" s="935"/>
      <c r="BT132" s="935"/>
    </row>
    <row r="133" spans="1:72" x14ac:dyDescent="0.25">
      <c r="A133" s="935" t="s">
        <v>473</v>
      </c>
      <c r="B133" s="935">
        <v>241.67</v>
      </c>
      <c r="C133" s="935">
        <v>254.66</v>
      </c>
      <c r="D133" s="935">
        <v>231.65</v>
      </c>
      <c r="E133" s="935">
        <v>223.76</v>
      </c>
      <c r="F133" s="935">
        <v>222.61</v>
      </c>
      <c r="G133" s="935">
        <v>230.62</v>
      </c>
      <c r="H133" s="935">
        <v>228.9</v>
      </c>
      <c r="I133" s="935">
        <v>229.4</v>
      </c>
      <c r="J133" s="935">
        <v>230.89</v>
      </c>
      <c r="K133" s="935">
        <v>234.53</v>
      </c>
      <c r="L133" s="935">
        <v>236.76</v>
      </c>
      <c r="M133" s="935">
        <v>239.14</v>
      </c>
      <c r="N133" s="935">
        <v>241.36</v>
      </c>
      <c r="O133" s="935">
        <v>245.14</v>
      </c>
      <c r="P133" s="935">
        <v>247.96</v>
      </c>
      <c r="Q133" s="935">
        <v>251.14</v>
      </c>
      <c r="R133" s="935">
        <v>253.92</v>
      </c>
      <c r="S133" s="935">
        <v>256.67</v>
      </c>
      <c r="T133" s="935">
        <v>258.7</v>
      </c>
      <c r="U133" s="935">
        <v>262.54000000000002</v>
      </c>
      <c r="V133" s="935">
        <v>266.58999999999997</v>
      </c>
      <c r="W133" s="935">
        <v>271.26</v>
      </c>
      <c r="X133" s="935">
        <v>275.8</v>
      </c>
      <c r="Y133" s="935">
        <v>280.39999999999998</v>
      </c>
      <c r="Z133" s="935">
        <v>285.83</v>
      </c>
      <c r="AA133" s="935">
        <v>290.58999999999997</v>
      </c>
      <c r="AB133" s="935">
        <v>292.89999999999998</v>
      </c>
      <c r="AC133" s="935">
        <v>297.16000000000003</v>
      </c>
      <c r="AD133" s="935">
        <v>301.11</v>
      </c>
      <c r="AE133" s="974">
        <v>6.0000000000000001E-3</v>
      </c>
      <c r="AF133" s="935"/>
      <c r="AG133" s="935"/>
      <c r="AH133" s="935"/>
      <c r="AI133" s="935"/>
      <c r="AJ133" s="935"/>
      <c r="AK133" s="935"/>
      <c r="AL133" s="935"/>
      <c r="AM133" s="935"/>
      <c r="AN133" s="935"/>
      <c r="AO133" s="935"/>
      <c r="AP133" s="935"/>
      <c r="AQ133" s="935"/>
      <c r="AR133" s="935"/>
      <c r="AS133" s="935"/>
      <c r="AT133" s="935"/>
      <c r="AU133" s="935"/>
      <c r="AV133" s="935"/>
      <c r="AW133" s="935"/>
      <c r="AX133" s="935"/>
      <c r="AY133" s="935"/>
      <c r="AZ133" s="935"/>
      <c r="BA133" s="935"/>
      <c r="BB133" s="935"/>
      <c r="BC133" s="935"/>
      <c r="BD133" s="935"/>
      <c r="BE133" s="935"/>
      <c r="BF133" s="935"/>
      <c r="BG133" s="935"/>
      <c r="BH133" s="935"/>
      <c r="BI133" s="935"/>
      <c r="BJ133" s="935"/>
      <c r="BK133" s="935"/>
      <c r="BL133" s="935"/>
      <c r="BM133" s="935"/>
      <c r="BN133" s="935"/>
      <c r="BO133" s="935"/>
      <c r="BP133" s="935"/>
      <c r="BQ133" s="935"/>
      <c r="BR133" s="935"/>
      <c r="BS133" s="935"/>
      <c r="BT133" s="935"/>
    </row>
    <row r="134" spans="1:72" x14ac:dyDescent="0.25">
      <c r="A134" s="935" t="s">
        <v>480</v>
      </c>
      <c r="B134" s="935">
        <v>176.61</v>
      </c>
      <c r="C134" s="935">
        <v>191.19</v>
      </c>
      <c r="D134" s="935">
        <v>168.7</v>
      </c>
      <c r="E134" s="935">
        <v>163.43</v>
      </c>
      <c r="F134" s="935">
        <v>163.69</v>
      </c>
      <c r="G134" s="935">
        <v>172.64</v>
      </c>
      <c r="H134" s="935">
        <v>173.85</v>
      </c>
      <c r="I134" s="935">
        <v>174.18</v>
      </c>
      <c r="J134" s="935">
        <v>176.9</v>
      </c>
      <c r="K134" s="935">
        <v>180.82</v>
      </c>
      <c r="L134" s="935">
        <v>184.11</v>
      </c>
      <c r="M134" s="935">
        <v>186.86</v>
      </c>
      <c r="N134" s="935">
        <v>189.36</v>
      </c>
      <c r="O134" s="935">
        <v>193.15</v>
      </c>
      <c r="P134" s="935">
        <v>196.83</v>
      </c>
      <c r="Q134" s="935">
        <v>200.4</v>
      </c>
      <c r="R134" s="935">
        <v>204.1</v>
      </c>
      <c r="S134" s="935">
        <v>207.27</v>
      </c>
      <c r="T134" s="935">
        <v>210.07</v>
      </c>
      <c r="U134" s="935">
        <v>214.23</v>
      </c>
      <c r="V134" s="935">
        <v>218.63</v>
      </c>
      <c r="W134" s="935">
        <v>223.34</v>
      </c>
      <c r="X134" s="935">
        <v>229.36</v>
      </c>
      <c r="Y134" s="935">
        <v>234.79</v>
      </c>
      <c r="Z134" s="935">
        <v>240.94</v>
      </c>
      <c r="AA134" s="935">
        <v>246.37</v>
      </c>
      <c r="AB134" s="935">
        <v>250.61</v>
      </c>
      <c r="AC134" s="935">
        <v>256.01</v>
      </c>
      <c r="AD134" s="935">
        <v>261.07</v>
      </c>
      <c r="AE134" s="974">
        <v>1.2E-2</v>
      </c>
      <c r="AF134" s="935"/>
      <c r="AG134" s="935"/>
      <c r="AH134" s="935"/>
      <c r="AI134" s="935"/>
      <c r="AJ134" s="935"/>
      <c r="AK134" s="935"/>
      <c r="AL134" s="935"/>
      <c r="AM134" s="935"/>
      <c r="AN134" s="935"/>
      <c r="AO134" s="935"/>
      <c r="AP134" s="935"/>
      <c r="AQ134" s="935"/>
      <c r="AR134" s="935"/>
      <c r="AS134" s="935"/>
      <c r="AT134" s="935"/>
      <c r="AU134" s="935"/>
      <c r="AV134" s="935"/>
      <c r="AW134" s="935"/>
      <c r="AX134" s="935"/>
      <c r="AY134" s="935"/>
      <c r="AZ134" s="935"/>
      <c r="BA134" s="935"/>
      <c r="BB134" s="935"/>
      <c r="BC134" s="935"/>
      <c r="BD134" s="935"/>
      <c r="BE134" s="935"/>
      <c r="BF134" s="935"/>
      <c r="BG134" s="935"/>
      <c r="BH134" s="935"/>
      <c r="BI134" s="935"/>
      <c r="BJ134" s="935"/>
      <c r="BK134" s="935"/>
      <c r="BL134" s="935"/>
      <c r="BM134" s="935"/>
      <c r="BN134" s="935"/>
      <c r="BO134" s="935"/>
      <c r="BP134" s="935"/>
      <c r="BQ134" s="935"/>
      <c r="BR134" s="935"/>
      <c r="BS134" s="935"/>
      <c r="BT134" s="935"/>
    </row>
    <row r="135" spans="1:72" x14ac:dyDescent="0.25">
      <c r="A135" s="935" t="s">
        <v>515</v>
      </c>
      <c r="B135" s="935">
        <v>219.69</v>
      </c>
      <c r="C135" s="935">
        <v>244.81</v>
      </c>
      <c r="D135" s="935">
        <v>175.42</v>
      </c>
      <c r="E135" s="935">
        <v>163.24</v>
      </c>
      <c r="F135" s="935">
        <v>173.51</v>
      </c>
      <c r="G135" s="935">
        <v>191.66</v>
      </c>
      <c r="H135" s="935">
        <v>201.52</v>
      </c>
      <c r="I135" s="935">
        <v>207.49</v>
      </c>
      <c r="J135" s="935">
        <v>213.14</v>
      </c>
      <c r="K135" s="935">
        <v>218.86</v>
      </c>
      <c r="L135" s="935">
        <v>223.15</v>
      </c>
      <c r="M135" s="935">
        <v>228.05</v>
      </c>
      <c r="N135" s="935">
        <v>231.33</v>
      </c>
      <c r="O135" s="935">
        <v>234.86</v>
      </c>
      <c r="P135" s="935">
        <v>236.42</v>
      </c>
      <c r="Q135" s="935">
        <v>237.67</v>
      </c>
      <c r="R135" s="935">
        <v>239.07</v>
      </c>
      <c r="S135" s="935">
        <v>240.3</v>
      </c>
      <c r="T135" s="935">
        <v>241.75</v>
      </c>
      <c r="U135" s="935">
        <v>242.96</v>
      </c>
      <c r="V135" s="935">
        <v>245.17</v>
      </c>
      <c r="W135" s="935">
        <v>247.67</v>
      </c>
      <c r="X135" s="935">
        <v>250.95</v>
      </c>
      <c r="Y135" s="935">
        <v>253.51</v>
      </c>
      <c r="Z135" s="935">
        <v>257.7</v>
      </c>
      <c r="AA135" s="935">
        <v>259.55</v>
      </c>
      <c r="AB135" s="935">
        <v>261.58</v>
      </c>
      <c r="AC135" s="935">
        <v>265.05</v>
      </c>
      <c r="AD135" s="935">
        <v>267.18</v>
      </c>
      <c r="AE135" s="974">
        <v>3.0000000000000001E-3</v>
      </c>
      <c r="AF135" s="935"/>
      <c r="AG135" s="935"/>
      <c r="AH135" s="935"/>
      <c r="AI135" s="935"/>
      <c r="AJ135" s="935"/>
      <c r="AK135" s="935"/>
      <c r="AL135" s="935"/>
      <c r="AM135" s="935"/>
      <c r="AN135" s="935"/>
      <c r="AO135" s="935"/>
      <c r="AP135" s="935"/>
      <c r="AQ135" s="935"/>
      <c r="AR135" s="935"/>
      <c r="AS135" s="935"/>
      <c r="AT135" s="935"/>
      <c r="AU135" s="935"/>
      <c r="AV135" s="935"/>
      <c r="AW135" s="935"/>
      <c r="AX135" s="935"/>
      <c r="AY135" s="935"/>
      <c r="AZ135" s="935"/>
      <c r="BA135" s="935"/>
      <c r="BB135" s="935"/>
      <c r="BC135" s="935"/>
      <c r="BD135" s="935"/>
      <c r="BE135" s="935"/>
      <c r="BF135" s="935"/>
      <c r="BG135" s="935"/>
      <c r="BH135" s="935"/>
      <c r="BI135" s="935"/>
      <c r="BJ135" s="935"/>
      <c r="BK135" s="935"/>
      <c r="BL135" s="935"/>
      <c r="BM135" s="935"/>
      <c r="BN135" s="935"/>
      <c r="BO135" s="935"/>
      <c r="BP135" s="935"/>
      <c r="BQ135" s="935"/>
      <c r="BR135" s="935"/>
      <c r="BS135" s="935"/>
      <c r="BT135" s="935"/>
    </row>
    <row r="136" spans="1:72" x14ac:dyDescent="0.25">
      <c r="A136" s="935" t="s">
        <v>487</v>
      </c>
      <c r="B136" s="935">
        <v>613.37</v>
      </c>
      <c r="C136" s="935">
        <v>705.86</v>
      </c>
      <c r="D136" s="935">
        <v>465.68</v>
      </c>
      <c r="E136" s="935">
        <v>508.22</v>
      </c>
      <c r="F136" s="935">
        <v>528.5</v>
      </c>
      <c r="G136" s="935">
        <v>567.33000000000004</v>
      </c>
      <c r="H136" s="935">
        <v>615.79</v>
      </c>
      <c r="I136" s="935">
        <v>640.91999999999996</v>
      </c>
      <c r="J136" s="935">
        <v>655.77</v>
      </c>
      <c r="K136" s="935">
        <v>671.91</v>
      </c>
      <c r="L136" s="935">
        <v>690.32</v>
      </c>
      <c r="M136" s="935">
        <v>704.34</v>
      </c>
      <c r="N136" s="935">
        <v>717.08</v>
      </c>
      <c r="O136" s="935">
        <v>729.77</v>
      </c>
      <c r="P136" s="935">
        <v>737.71</v>
      </c>
      <c r="Q136" s="935">
        <v>743.52</v>
      </c>
      <c r="R136" s="935">
        <v>757.24</v>
      </c>
      <c r="S136" s="935">
        <v>767.89</v>
      </c>
      <c r="T136" s="935">
        <v>782.71</v>
      </c>
      <c r="U136" s="935">
        <v>795.25</v>
      </c>
      <c r="V136" s="935">
        <v>808.06</v>
      </c>
      <c r="W136" s="935">
        <v>822.03</v>
      </c>
      <c r="X136" s="935">
        <v>834.45</v>
      </c>
      <c r="Y136" s="935">
        <v>846.64</v>
      </c>
      <c r="Z136" s="935">
        <v>856.24</v>
      </c>
      <c r="AA136" s="935">
        <v>869.12</v>
      </c>
      <c r="AB136" s="935">
        <v>883.55</v>
      </c>
      <c r="AC136" s="935">
        <v>894.05</v>
      </c>
      <c r="AD136" s="935">
        <v>908.01</v>
      </c>
      <c r="AE136" s="974">
        <v>8.9999999999999993E-3</v>
      </c>
      <c r="AF136" s="935"/>
      <c r="AG136" s="935"/>
      <c r="AH136" s="935"/>
      <c r="AI136" s="935"/>
      <c r="AJ136" s="935"/>
      <c r="AK136" s="935"/>
      <c r="AL136" s="935"/>
      <c r="AM136" s="935"/>
      <c r="AN136" s="935"/>
      <c r="AO136" s="935"/>
      <c r="AP136" s="935"/>
      <c r="AQ136" s="935"/>
      <c r="AR136" s="935"/>
      <c r="AS136" s="935"/>
      <c r="AT136" s="935"/>
      <c r="AU136" s="935"/>
      <c r="AV136" s="935"/>
      <c r="AW136" s="935"/>
      <c r="AX136" s="935"/>
      <c r="AY136" s="935"/>
      <c r="AZ136" s="935"/>
      <c r="BA136" s="935"/>
      <c r="BB136" s="935"/>
      <c r="BC136" s="935"/>
      <c r="BD136" s="935"/>
      <c r="BE136" s="935"/>
      <c r="BF136" s="935"/>
      <c r="BG136" s="935"/>
      <c r="BH136" s="935"/>
      <c r="BI136" s="935"/>
      <c r="BJ136" s="935"/>
      <c r="BK136" s="935"/>
      <c r="BL136" s="935"/>
      <c r="BM136" s="935"/>
      <c r="BN136" s="935"/>
      <c r="BO136" s="935"/>
      <c r="BP136" s="935"/>
      <c r="BQ136" s="935"/>
      <c r="BR136" s="935"/>
      <c r="BS136" s="935"/>
      <c r="BT136" s="935"/>
    </row>
    <row r="137" spans="1:72" x14ac:dyDescent="0.25">
      <c r="A137" s="935" t="s">
        <v>516</v>
      </c>
      <c r="B137" s="935">
        <v>1251.3499999999999</v>
      </c>
      <c r="C137" s="935">
        <v>1396.52</v>
      </c>
      <c r="D137" s="935">
        <v>1041.45</v>
      </c>
      <c r="E137" s="935">
        <v>1058.6500000000001</v>
      </c>
      <c r="F137" s="935">
        <v>1088.31</v>
      </c>
      <c r="G137" s="935">
        <v>1162.25</v>
      </c>
      <c r="H137" s="935">
        <v>1220.05</v>
      </c>
      <c r="I137" s="935">
        <v>1251.99</v>
      </c>
      <c r="J137" s="935">
        <v>1276.69</v>
      </c>
      <c r="K137" s="935">
        <v>1306.1199999999999</v>
      </c>
      <c r="L137" s="935">
        <v>1334.33</v>
      </c>
      <c r="M137" s="935">
        <v>1358.39</v>
      </c>
      <c r="N137" s="935">
        <v>1379.14</v>
      </c>
      <c r="O137" s="935">
        <v>1402.91</v>
      </c>
      <c r="P137" s="935">
        <v>1418.92</v>
      </c>
      <c r="Q137" s="935">
        <v>1432.73</v>
      </c>
      <c r="R137" s="935">
        <v>1454.32</v>
      </c>
      <c r="S137" s="935">
        <v>1472.13</v>
      </c>
      <c r="T137" s="935">
        <v>1493.23</v>
      </c>
      <c r="U137" s="935">
        <v>1514.98</v>
      </c>
      <c r="V137" s="935">
        <v>1538.45</v>
      </c>
      <c r="W137" s="935">
        <v>1564.3</v>
      </c>
      <c r="X137" s="935">
        <v>1590.55</v>
      </c>
      <c r="Y137" s="935">
        <v>1615.34</v>
      </c>
      <c r="Z137" s="935">
        <v>1640.71</v>
      </c>
      <c r="AA137" s="935">
        <v>1665.62</v>
      </c>
      <c r="AB137" s="935">
        <v>1688.65</v>
      </c>
      <c r="AC137" s="935">
        <v>1712.28</v>
      </c>
      <c r="AD137" s="935">
        <v>1737.37</v>
      </c>
      <c r="AE137" s="974">
        <v>8.0000000000000002E-3</v>
      </c>
      <c r="AF137" s="935"/>
      <c r="AG137" s="935"/>
      <c r="AH137" s="935"/>
      <c r="AI137" s="935"/>
      <c r="AJ137" s="935"/>
      <c r="AK137" s="935"/>
      <c r="AL137" s="935"/>
      <c r="AM137" s="935"/>
      <c r="AN137" s="935"/>
      <c r="AO137" s="935"/>
      <c r="AP137" s="935"/>
      <c r="AQ137" s="935"/>
      <c r="AR137" s="935"/>
      <c r="AS137" s="935"/>
      <c r="AT137" s="935"/>
      <c r="AU137" s="935"/>
      <c r="AV137" s="935"/>
      <c r="AW137" s="935"/>
      <c r="AX137" s="935"/>
      <c r="AY137" s="935"/>
      <c r="AZ137" s="935"/>
      <c r="BA137" s="935"/>
      <c r="BB137" s="935"/>
      <c r="BC137" s="935"/>
      <c r="BD137" s="935"/>
      <c r="BE137" s="935"/>
      <c r="BF137" s="935"/>
      <c r="BG137" s="935"/>
      <c r="BH137" s="935"/>
      <c r="BI137" s="935"/>
      <c r="BJ137" s="935"/>
      <c r="BK137" s="935"/>
      <c r="BL137" s="935"/>
      <c r="BM137" s="935"/>
      <c r="BN137" s="935"/>
      <c r="BO137" s="935"/>
      <c r="BP137" s="935"/>
      <c r="BQ137" s="935"/>
      <c r="BR137" s="935"/>
      <c r="BS137" s="935"/>
      <c r="BT137" s="935"/>
    </row>
    <row r="138" spans="1:72" x14ac:dyDescent="0.25">
      <c r="A138" s="935" t="s">
        <v>629</v>
      </c>
      <c r="B138" s="935">
        <v>0.05</v>
      </c>
      <c r="C138" s="935">
        <v>0.17</v>
      </c>
      <c r="D138" s="935">
        <v>0.04</v>
      </c>
      <c r="E138" s="935">
        <v>0.09</v>
      </c>
      <c r="F138" s="935">
        <v>0.11</v>
      </c>
      <c r="G138" s="935">
        <v>0.13</v>
      </c>
      <c r="H138" s="935">
        <v>0.15</v>
      </c>
      <c r="I138" s="935">
        <v>0.17</v>
      </c>
      <c r="J138" s="935">
        <v>0.21</v>
      </c>
      <c r="K138" s="935">
        <v>2.34</v>
      </c>
      <c r="L138" s="935">
        <v>3.15</v>
      </c>
      <c r="M138" s="935">
        <v>4</v>
      </c>
      <c r="N138" s="935">
        <v>5.31</v>
      </c>
      <c r="O138" s="935">
        <v>7.12</v>
      </c>
      <c r="P138" s="935">
        <v>9.59</v>
      </c>
      <c r="Q138" s="935">
        <v>17.39</v>
      </c>
      <c r="R138" s="935">
        <v>15.56</v>
      </c>
      <c r="S138" s="935">
        <v>14.53</v>
      </c>
      <c r="T138" s="935">
        <v>15.06</v>
      </c>
      <c r="U138" s="935">
        <v>16.98</v>
      </c>
      <c r="V138" s="935">
        <v>18.95</v>
      </c>
      <c r="W138" s="935">
        <v>20.57</v>
      </c>
      <c r="X138" s="935">
        <v>23.66</v>
      </c>
      <c r="Y138" s="935">
        <v>25.05</v>
      </c>
      <c r="Z138" s="935">
        <v>31.91</v>
      </c>
      <c r="AA138" s="935">
        <v>36.74</v>
      </c>
      <c r="AB138" s="935">
        <v>40.74</v>
      </c>
      <c r="AC138" s="935">
        <v>48.35</v>
      </c>
      <c r="AD138" s="935">
        <v>56.42</v>
      </c>
      <c r="AE138" s="974">
        <v>0.24099999999999999</v>
      </c>
      <c r="AF138" s="935"/>
      <c r="AG138" s="935"/>
      <c r="AH138" s="935"/>
      <c r="AI138" s="935"/>
      <c r="AJ138" s="935"/>
      <c r="AK138" s="935"/>
      <c r="AL138" s="935"/>
      <c r="AM138" s="935"/>
      <c r="AN138" s="935"/>
      <c r="AO138" s="935"/>
      <c r="AP138" s="935"/>
      <c r="AQ138" s="935"/>
      <c r="AR138" s="935"/>
      <c r="AS138" s="935"/>
      <c r="AT138" s="935"/>
      <c r="AU138" s="935"/>
      <c r="AV138" s="935"/>
      <c r="AW138" s="935"/>
      <c r="AX138" s="935"/>
      <c r="AY138" s="935"/>
      <c r="AZ138" s="935"/>
      <c r="BA138" s="935"/>
      <c r="BB138" s="935"/>
      <c r="BC138" s="935"/>
      <c r="BD138" s="935"/>
      <c r="BE138" s="935"/>
      <c r="BF138" s="935"/>
      <c r="BG138" s="935"/>
      <c r="BH138" s="935"/>
      <c r="BI138" s="935"/>
      <c r="BJ138" s="935"/>
      <c r="BK138" s="935"/>
      <c r="BL138" s="935"/>
      <c r="BM138" s="935"/>
      <c r="BN138" s="935"/>
      <c r="BO138" s="935"/>
      <c r="BP138" s="935"/>
      <c r="BQ138" s="935"/>
      <c r="BR138" s="935"/>
      <c r="BS138" s="935"/>
      <c r="BT138" s="935"/>
    </row>
    <row r="139" spans="1:72" x14ac:dyDescent="0.25">
      <c r="A139" s="935" t="s">
        <v>518</v>
      </c>
      <c r="B139" s="935">
        <v>1251.3900000000001</v>
      </c>
      <c r="C139" s="935">
        <v>1396.69</v>
      </c>
      <c r="D139" s="935">
        <v>1041.49</v>
      </c>
      <c r="E139" s="935">
        <v>1058.74</v>
      </c>
      <c r="F139" s="935">
        <v>1088.42</v>
      </c>
      <c r="G139" s="935">
        <v>1162.3699999999999</v>
      </c>
      <c r="H139" s="935">
        <v>1220.2</v>
      </c>
      <c r="I139" s="935">
        <v>1252.1600000000001</v>
      </c>
      <c r="J139" s="935">
        <v>1276.9000000000001</v>
      </c>
      <c r="K139" s="935">
        <v>1308.46</v>
      </c>
      <c r="L139" s="935">
        <v>1337.48</v>
      </c>
      <c r="M139" s="935">
        <v>1362.4</v>
      </c>
      <c r="N139" s="935">
        <v>1384.44</v>
      </c>
      <c r="O139" s="935">
        <v>1410.03</v>
      </c>
      <c r="P139" s="935">
        <v>1428.51</v>
      </c>
      <c r="Q139" s="935">
        <v>1450.12</v>
      </c>
      <c r="R139" s="935">
        <v>1469.88</v>
      </c>
      <c r="S139" s="935">
        <v>1486.66</v>
      </c>
      <c r="T139" s="935">
        <v>1508.29</v>
      </c>
      <c r="U139" s="935">
        <v>1531.96</v>
      </c>
      <c r="V139" s="935">
        <v>1557.41</v>
      </c>
      <c r="W139" s="935">
        <v>1584.86</v>
      </c>
      <c r="X139" s="935">
        <v>1614.21</v>
      </c>
      <c r="Y139" s="935">
        <v>1640.39</v>
      </c>
      <c r="Z139" s="935">
        <v>1672.62</v>
      </c>
      <c r="AA139" s="935">
        <v>1702.37</v>
      </c>
      <c r="AB139" s="935">
        <v>1729.39</v>
      </c>
      <c r="AC139" s="935">
        <v>1760.62</v>
      </c>
      <c r="AD139" s="935">
        <v>1793.79</v>
      </c>
      <c r="AE139" s="974">
        <v>8.9999999999999993E-3</v>
      </c>
      <c r="AF139" s="935"/>
      <c r="AG139" s="935"/>
      <c r="AH139" s="935"/>
      <c r="AI139" s="935"/>
      <c r="AJ139" s="935"/>
      <c r="AK139" s="935"/>
      <c r="AL139" s="935"/>
      <c r="AM139" s="935"/>
      <c r="AN139" s="935"/>
      <c r="AO139" s="935"/>
      <c r="AP139" s="935"/>
      <c r="AQ139" s="935"/>
      <c r="AR139" s="935"/>
      <c r="AS139" s="935"/>
      <c r="AT139" s="935"/>
      <c r="AU139" s="935"/>
      <c r="AV139" s="935"/>
      <c r="AW139" s="935"/>
      <c r="AX139" s="935"/>
      <c r="AY139" s="935"/>
      <c r="AZ139" s="935"/>
      <c r="BA139" s="935"/>
      <c r="BB139" s="935"/>
      <c r="BC139" s="935"/>
      <c r="BD139" s="935"/>
      <c r="BE139" s="935"/>
      <c r="BF139" s="935"/>
      <c r="BG139" s="935"/>
      <c r="BH139" s="935"/>
      <c r="BI139" s="935"/>
      <c r="BJ139" s="935"/>
      <c r="BK139" s="935"/>
      <c r="BL139" s="935"/>
      <c r="BM139" s="935"/>
      <c r="BN139" s="935"/>
      <c r="BO139" s="935"/>
      <c r="BP139" s="935"/>
      <c r="BQ139" s="935"/>
      <c r="BR139" s="935"/>
      <c r="BS139" s="935"/>
      <c r="BT139" s="935"/>
    </row>
    <row r="140" spans="1:72" x14ac:dyDescent="0.25">
      <c r="A140" s="935"/>
      <c r="B140" s="935"/>
      <c r="C140" s="935"/>
      <c r="D140" s="935"/>
      <c r="E140" s="935"/>
      <c r="F140" s="935"/>
      <c r="G140" s="935"/>
      <c r="H140" s="935"/>
      <c r="I140" s="935"/>
      <c r="J140" s="935"/>
      <c r="K140" s="935"/>
      <c r="L140" s="935"/>
      <c r="M140" s="935"/>
      <c r="N140" s="935"/>
      <c r="O140" s="935"/>
      <c r="P140" s="935"/>
      <c r="Q140" s="935"/>
      <c r="R140" s="935"/>
      <c r="S140" s="935"/>
      <c r="T140" s="935"/>
      <c r="U140" s="935"/>
      <c r="V140" s="935"/>
      <c r="W140" s="935"/>
      <c r="X140" s="935"/>
      <c r="Y140" s="935"/>
      <c r="Z140" s="935"/>
      <c r="AA140" s="935"/>
      <c r="AB140" s="935"/>
      <c r="AC140" s="935"/>
      <c r="AD140" s="935"/>
      <c r="AE140" s="935"/>
      <c r="AF140" s="935"/>
      <c r="AG140" s="935"/>
      <c r="AH140" s="935"/>
      <c r="AI140" s="935"/>
      <c r="AJ140" s="935"/>
      <c r="AK140" s="935"/>
      <c r="AL140" s="935"/>
      <c r="AM140" s="935"/>
      <c r="AN140" s="935"/>
      <c r="AO140" s="935"/>
      <c r="AP140" s="935"/>
      <c r="AQ140" s="935"/>
      <c r="AR140" s="935"/>
      <c r="AS140" s="935"/>
      <c r="AT140" s="935"/>
      <c r="AU140" s="935"/>
      <c r="AV140" s="935"/>
      <c r="AW140" s="935"/>
      <c r="AX140" s="935"/>
      <c r="AY140" s="935"/>
      <c r="AZ140" s="935"/>
      <c r="BA140" s="935"/>
      <c r="BB140" s="935"/>
      <c r="BC140" s="935"/>
      <c r="BD140" s="935"/>
      <c r="BE140" s="935"/>
      <c r="BF140" s="935"/>
      <c r="BG140" s="935"/>
      <c r="BH140" s="935"/>
      <c r="BI140" s="935"/>
      <c r="BJ140" s="935"/>
      <c r="BK140" s="935"/>
      <c r="BL140" s="935"/>
      <c r="BM140" s="935"/>
      <c r="BN140" s="935"/>
      <c r="BO140" s="935"/>
      <c r="BP140" s="935"/>
      <c r="BQ140" s="935"/>
      <c r="BR140" s="935"/>
      <c r="BS140" s="935"/>
      <c r="BT140" s="935"/>
    </row>
    <row r="141" spans="1:72" x14ac:dyDescent="0.25">
      <c r="A141" s="935"/>
      <c r="B141" s="935"/>
      <c r="C141" s="935"/>
      <c r="D141" s="935"/>
      <c r="E141" s="935"/>
      <c r="F141" s="935"/>
      <c r="G141" s="935"/>
      <c r="H141" s="935"/>
      <c r="I141" s="935"/>
      <c r="J141" s="935"/>
      <c r="K141" s="935"/>
      <c r="L141" s="935"/>
      <c r="M141" s="935"/>
      <c r="N141" s="935"/>
      <c r="O141" s="935"/>
      <c r="P141" s="935"/>
      <c r="Q141" s="935"/>
      <c r="R141" s="935"/>
      <c r="S141" s="935"/>
      <c r="T141" s="935"/>
      <c r="U141" s="935"/>
      <c r="V141" s="935"/>
      <c r="W141" s="935"/>
      <c r="X141" s="935"/>
      <c r="Y141" s="935"/>
      <c r="Z141" s="935"/>
      <c r="AA141" s="935"/>
      <c r="AB141" s="935"/>
      <c r="AC141" s="935"/>
      <c r="AD141" s="935"/>
      <c r="AE141" s="935"/>
      <c r="AF141" s="935"/>
      <c r="AG141" s="935"/>
      <c r="AH141" s="935"/>
      <c r="AI141" s="935"/>
      <c r="AJ141" s="935"/>
      <c r="AK141" s="935"/>
      <c r="AL141" s="935"/>
      <c r="AM141" s="935"/>
      <c r="AN141" s="935"/>
      <c r="AO141" s="935"/>
      <c r="AP141" s="935"/>
      <c r="AQ141" s="935"/>
      <c r="AR141" s="935"/>
      <c r="AS141" s="935"/>
      <c r="AT141" s="935"/>
      <c r="AU141" s="935"/>
      <c r="AV141" s="935"/>
      <c r="AW141" s="935"/>
      <c r="AX141" s="935"/>
      <c r="AY141" s="935"/>
      <c r="AZ141" s="935"/>
      <c r="BA141" s="935"/>
      <c r="BB141" s="935"/>
      <c r="BC141" s="935"/>
      <c r="BD141" s="935"/>
      <c r="BE141" s="935"/>
      <c r="BF141" s="935"/>
      <c r="BG141" s="935"/>
      <c r="BH141" s="935"/>
      <c r="BI141" s="935"/>
      <c r="BJ141" s="935"/>
      <c r="BK141" s="935"/>
      <c r="BL141" s="935"/>
      <c r="BM141" s="935"/>
      <c r="BN141" s="935"/>
      <c r="BO141" s="935"/>
      <c r="BP141" s="935"/>
      <c r="BQ141" s="935"/>
      <c r="BR141" s="935"/>
      <c r="BS141" s="935"/>
      <c r="BT141" s="935"/>
    </row>
    <row r="142" spans="1:72" x14ac:dyDescent="0.25">
      <c r="A142" s="935" t="s">
        <v>726</v>
      </c>
      <c r="B142" s="935"/>
      <c r="C142" s="935"/>
      <c r="D142" s="935"/>
      <c r="E142" s="935"/>
      <c r="F142" s="935"/>
      <c r="G142" s="935"/>
      <c r="H142" s="935"/>
      <c r="I142" s="935"/>
      <c r="J142" s="935"/>
      <c r="K142" s="935"/>
      <c r="L142" s="935"/>
      <c r="M142" s="935"/>
      <c r="N142" s="935"/>
      <c r="O142" s="935"/>
      <c r="P142" s="935"/>
      <c r="Q142" s="935"/>
      <c r="R142" s="935"/>
      <c r="S142" s="935"/>
      <c r="T142" s="935"/>
      <c r="U142" s="935"/>
      <c r="V142" s="935"/>
      <c r="W142" s="935"/>
      <c r="X142" s="935"/>
      <c r="Y142" s="935"/>
      <c r="Z142" s="935"/>
      <c r="AA142" s="935"/>
      <c r="AB142" s="935"/>
      <c r="AC142" s="935"/>
      <c r="AD142" s="935"/>
      <c r="AE142" s="935"/>
      <c r="AF142" s="935"/>
      <c r="AG142" s="935"/>
      <c r="AH142" s="935"/>
      <c r="AI142" s="935"/>
      <c r="AJ142" s="935"/>
      <c r="AK142" s="935"/>
      <c r="AL142" s="935"/>
      <c r="AM142" s="935"/>
      <c r="AN142" s="935"/>
      <c r="AO142" s="935"/>
      <c r="AP142" s="935"/>
      <c r="AQ142" s="935"/>
      <c r="AR142" s="935"/>
      <c r="AS142" s="935"/>
      <c r="AT142" s="935"/>
      <c r="AU142" s="935"/>
      <c r="AV142" s="935"/>
      <c r="AW142" s="935"/>
      <c r="AX142" s="935"/>
      <c r="AY142" s="935"/>
      <c r="AZ142" s="935"/>
      <c r="BA142" s="935"/>
      <c r="BB142" s="935"/>
      <c r="BC142" s="935"/>
      <c r="BD142" s="935"/>
      <c r="BE142" s="935"/>
      <c r="BF142" s="935"/>
      <c r="BG142" s="935"/>
      <c r="BH142" s="935"/>
      <c r="BI142" s="935"/>
      <c r="BJ142" s="935"/>
      <c r="BK142" s="935"/>
      <c r="BL142" s="935"/>
      <c r="BM142" s="935"/>
      <c r="BN142" s="935"/>
      <c r="BO142" s="935"/>
      <c r="BP142" s="935"/>
      <c r="BQ142" s="935"/>
      <c r="BR142" s="935"/>
      <c r="BS142" s="935"/>
      <c r="BT142" s="935"/>
    </row>
    <row r="143" spans="1:72" x14ac:dyDescent="0.25">
      <c r="A143" s="935" t="s">
        <v>473</v>
      </c>
      <c r="B143" s="935"/>
      <c r="C143" s="935"/>
      <c r="D143" s="935"/>
      <c r="E143" s="935"/>
      <c r="F143" s="935"/>
      <c r="G143" s="935"/>
      <c r="H143" s="935"/>
      <c r="I143" s="935"/>
      <c r="J143" s="935"/>
      <c r="K143" s="935"/>
      <c r="L143" s="935"/>
      <c r="M143" s="935"/>
      <c r="N143" s="935"/>
      <c r="O143" s="935"/>
      <c r="P143" s="935"/>
      <c r="Q143" s="935"/>
      <c r="R143" s="935"/>
      <c r="S143" s="935"/>
      <c r="T143" s="935"/>
      <c r="U143" s="935"/>
      <c r="V143" s="935"/>
      <c r="W143" s="935"/>
      <c r="X143" s="935"/>
      <c r="Y143" s="935"/>
      <c r="Z143" s="935"/>
      <c r="AA143" s="935"/>
      <c r="AB143" s="935"/>
      <c r="AC143" s="935"/>
      <c r="AD143" s="935"/>
      <c r="AE143" s="935"/>
      <c r="AF143" s="935"/>
      <c r="AG143" s="935"/>
      <c r="AH143" s="935"/>
      <c r="AI143" s="935"/>
      <c r="AJ143" s="935"/>
      <c r="AK143" s="935"/>
      <c r="AL143" s="935"/>
      <c r="AM143" s="935"/>
      <c r="AN143" s="935"/>
      <c r="AO143" s="935"/>
      <c r="AP143" s="935"/>
      <c r="AQ143" s="935"/>
      <c r="AR143" s="935"/>
      <c r="AS143" s="935"/>
      <c r="AT143" s="935"/>
      <c r="AU143" s="935"/>
      <c r="AV143" s="935"/>
      <c r="AW143" s="935"/>
      <c r="AX143" s="935"/>
      <c r="AY143" s="935"/>
      <c r="AZ143" s="935"/>
      <c r="BA143" s="935"/>
      <c r="BB143" s="935"/>
      <c r="BC143" s="935"/>
      <c r="BD143" s="935"/>
      <c r="BE143" s="935"/>
      <c r="BF143" s="935"/>
      <c r="BG143" s="935"/>
      <c r="BH143" s="935"/>
      <c r="BI143" s="935"/>
      <c r="BJ143" s="935"/>
      <c r="BK143" s="935"/>
      <c r="BL143" s="935"/>
      <c r="BM143" s="935"/>
      <c r="BN143" s="935"/>
      <c r="BO143" s="935"/>
      <c r="BP143" s="935"/>
      <c r="BQ143" s="935"/>
      <c r="BR143" s="935"/>
      <c r="BS143" s="935"/>
      <c r="BT143" s="935"/>
    </row>
    <row r="144" spans="1:72" x14ac:dyDescent="0.25">
      <c r="A144" s="935" t="s">
        <v>609</v>
      </c>
      <c r="B144" s="935">
        <v>25.67</v>
      </c>
      <c r="C144" s="935">
        <v>29.35</v>
      </c>
      <c r="D144" s="935">
        <v>25.28</v>
      </c>
      <c r="E144" s="935">
        <v>24.73</v>
      </c>
      <c r="F144" s="935">
        <v>25.15</v>
      </c>
      <c r="G144" s="935">
        <v>26.73</v>
      </c>
      <c r="H144" s="935">
        <v>28.51</v>
      </c>
      <c r="I144" s="935">
        <v>30.06</v>
      </c>
      <c r="J144" s="935">
        <v>31.23</v>
      </c>
      <c r="K144" s="935">
        <v>32.520000000000003</v>
      </c>
      <c r="L144" s="935">
        <v>33.75</v>
      </c>
      <c r="M144" s="935">
        <v>35.06</v>
      </c>
      <c r="N144" s="935">
        <v>36.020000000000003</v>
      </c>
      <c r="O144" s="935">
        <v>37.020000000000003</v>
      </c>
      <c r="P144" s="935">
        <v>38.1</v>
      </c>
      <c r="Q144" s="935">
        <v>39.200000000000003</v>
      </c>
      <c r="R144" s="935">
        <v>40.409999999999997</v>
      </c>
      <c r="S144" s="935">
        <v>41.61</v>
      </c>
      <c r="T144" s="935">
        <v>42.82</v>
      </c>
      <c r="U144" s="935">
        <v>43.92</v>
      </c>
      <c r="V144" s="935">
        <v>45.24</v>
      </c>
      <c r="W144" s="935">
        <v>46.58</v>
      </c>
      <c r="X144" s="935">
        <v>48.12</v>
      </c>
      <c r="Y144" s="935">
        <v>49.52</v>
      </c>
      <c r="Z144" s="935">
        <v>51.18</v>
      </c>
      <c r="AA144" s="935">
        <v>52.85</v>
      </c>
      <c r="AB144" s="935">
        <v>54.62</v>
      </c>
      <c r="AC144" s="935">
        <v>56.39</v>
      </c>
      <c r="AD144" s="935">
        <v>58.23</v>
      </c>
      <c r="AE144" s="974">
        <v>2.5999999999999999E-2</v>
      </c>
      <c r="AF144" s="935"/>
      <c r="AG144" s="935"/>
      <c r="AH144" s="935"/>
      <c r="AI144" s="935"/>
      <c r="AJ144" s="935"/>
      <c r="AK144" s="935"/>
      <c r="AL144" s="935"/>
      <c r="AM144" s="935"/>
      <c r="AN144" s="935"/>
      <c r="AO144" s="935"/>
      <c r="AP144" s="935"/>
      <c r="AQ144" s="935"/>
      <c r="AR144" s="935"/>
      <c r="AS144" s="935"/>
      <c r="AT144" s="935"/>
      <c r="AU144" s="935"/>
      <c r="AV144" s="935"/>
      <c r="AW144" s="935"/>
      <c r="AX144" s="935"/>
      <c r="AY144" s="935"/>
      <c r="AZ144" s="935"/>
      <c r="BA144" s="935"/>
      <c r="BB144" s="935"/>
      <c r="BC144" s="935"/>
      <c r="BD144" s="935"/>
      <c r="BE144" s="935"/>
      <c r="BF144" s="935"/>
      <c r="BG144" s="935"/>
      <c r="BH144" s="935"/>
      <c r="BI144" s="935"/>
      <c r="BJ144" s="935"/>
      <c r="BK144" s="935"/>
      <c r="BL144" s="935"/>
      <c r="BM144" s="935"/>
      <c r="BN144" s="935"/>
      <c r="BO144" s="935"/>
      <c r="BP144" s="935"/>
      <c r="BQ144" s="935"/>
      <c r="BR144" s="935"/>
      <c r="BS144" s="935"/>
      <c r="BT144" s="935"/>
    </row>
    <row r="145" spans="1:72" x14ac:dyDescent="0.25">
      <c r="A145" s="935" t="s">
        <v>610</v>
      </c>
      <c r="B145" s="935">
        <v>19.86</v>
      </c>
      <c r="C145" s="935">
        <v>24.47</v>
      </c>
      <c r="D145" s="935">
        <v>18.260000000000002</v>
      </c>
      <c r="E145" s="935">
        <v>18.100000000000001</v>
      </c>
      <c r="F145" s="935">
        <v>18.489999999999998</v>
      </c>
      <c r="G145" s="935">
        <v>19.940000000000001</v>
      </c>
      <c r="H145" s="935">
        <v>21.4</v>
      </c>
      <c r="I145" s="935">
        <v>22.55</v>
      </c>
      <c r="J145" s="935">
        <v>23.49</v>
      </c>
      <c r="K145" s="935">
        <v>24.96</v>
      </c>
      <c r="L145" s="935">
        <v>26.17</v>
      </c>
      <c r="M145" s="935">
        <v>27.44</v>
      </c>
      <c r="N145" s="935">
        <v>28.46</v>
      </c>
      <c r="O145" s="935">
        <v>29.45</v>
      </c>
      <c r="P145" s="935">
        <v>30.25</v>
      </c>
      <c r="Q145" s="935">
        <v>31.17</v>
      </c>
      <c r="R145" s="935">
        <v>32.25</v>
      </c>
      <c r="S145" s="935">
        <v>33.17</v>
      </c>
      <c r="T145" s="935">
        <v>34.24</v>
      </c>
      <c r="U145" s="935">
        <v>35.33</v>
      </c>
      <c r="V145" s="935">
        <v>36.380000000000003</v>
      </c>
      <c r="W145" s="935">
        <v>37.630000000000003</v>
      </c>
      <c r="X145" s="935">
        <v>39.049999999999997</v>
      </c>
      <c r="Y145" s="935">
        <v>40.159999999999997</v>
      </c>
      <c r="Z145" s="935">
        <v>41.73</v>
      </c>
      <c r="AA145" s="935">
        <v>43.3</v>
      </c>
      <c r="AB145" s="935">
        <v>44.82</v>
      </c>
      <c r="AC145" s="935">
        <v>46.47</v>
      </c>
      <c r="AD145" s="935">
        <v>48.16</v>
      </c>
      <c r="AE145" s="974">
        <v>2.5000000000000001E-2</v>
      </c>
      <c r="AF145" s="935"/>
      <c r="AG145" s="935"/>
      <c r="AH145" s="935"/>
      <c r="AI145" s="935"/>
      <c r="AJ145" s="935"/>
      <c r="AK145" s="935"/>
      <c r="AL145" s="935"/>
      <c r="AM145" s="935"/>
      <c r="AN145" s="935"/>
      <c r="AO145" s="935"/>
      <c r="AP145" s="935"/>
      <c r="AQ145" s="935"/>
      <c r="AR145" s="935"/>
      <c r="AS145" s="935"/>
      <c r="AT145" s="935"/>
      <c r="AU145" s="935"/>
      <c r="AV145" s="935"/>
      <c r="AW145" s="935"/>
      <c r="AX145" s="935"/>
      <c r="AY145" s="935"/>
      <c r="AZ145" s="935"/>
      <c r="BA145" s="935"/>
      <c r="BB145" s="935"/>
      <c r="BC145" s="935"/>
      <c r="BD145" s="935"/>
      <c r="BE145" s="935"/>
      <c r="BF145" s="935"/>
      <c r="BG145" s="935"/>
      <c r="BH145" s="935"/>
      <c r="BI145" s="935"/>
      <c r="BJ145" s="935"/>
      <c r="BK145" s="935"/>
      <c r="BL145" s="935"/>
      <c r="BM145" s="935"/>
      <c r="BN145" s="935"/>
      <c r="BO145" s="935"/>
      <c r="BP145" s="935"/>
      <c r="BQ145" s="935"/>
      <c r="BR145" s="935"/>
      <c r="BS145" s="935"/>
      <c r="BT145" s="935"/>
    </row>
    <row r="146" spans="1:72" x14ac:dyDescent="0.25">
      <c r="A146" s="935" t="s">
        <v>510</v>
      </c>
      <c r="B146" s="935">
        <v>12.66</v>
      </c>
      <c r="C146" s="935">
        <v>13.48</v>
      </c>
      <c r="D146" s="935">
        <v>11.57</v>
      </c>
      <c r="E146" s="935">
        <v>11.22</v>
      </c>
      <c r="F146" s="935">
        <v>12.29</v>
      </c>
      <c r="G146" s="935">
        <v>12.56</v>
      </c>
      <c r="H146" s="935">
        <v>12.36</v>
      </c>
      <c r="I146" s="935">
        <v>12.51</v>
      </c>
      <c r="J146" s="935">
        <v>12.88</v>
      </c>
      <c r="K146" s="935">
        <v>13.22</v>
      </c>
      <c r="L146" s="935">
        <v>13.5</v>
      </c>
      <c r="M146" s="935">
        <v>13.83</v>
      </c>
      <c r="N146" s="935">
        <v>14.18</v>
      </c>
      <c r="O146" s="935">
        <v>14.61</v>
      </c>
      <c r="P146" s="935">
        <v>15.06</v>
      </c>
      <c r="Q146" s="935">
        <v>15.64</v>
      </c>
      <c r="R146" s="935">
        <v>16.010000000000002</v>
      </c>
      <c r="S146" s="935">
        <v>16.22</v>
      </c>
      <c r="T146" s="935">
        <v>16.68</v>
      </c>
      <c r="U146" s="935">
        <v>17.260000000000002</v>
      </c>
      <c r="V146" s="935">
        <v>17.91</v>
      </c>
      <c r="W146" s="935">
        <v>18.649999999999999</v>
      </c>
      <c r="X146" s="935">
        <v>19.440000000000001</v>
      </c>
      <c r="Y146" s="935">
        <v>20.29</v>
      </c>
      <c r="Z146" s="935">
        <v>21.26</v>
      </c>
      <c r="AA146" s="935">
        <v>21.98</v>
      </c>
      <c r="AB146" s="935">
        <v>22.61</v>
      </c>
      <c r="AC146" s="935">
        <v>23.44</v>
      </c>
      <c r="AD146" s="935">
        <v>24.2</v>
      </c>
      <c r="AE146" s="974">
        <v>2.1999999999999999E-2</v>
      </c>
      <c r="AF146" s="935"/>
      <c r="AG146" s="935"/>
      <c r="AH146" s="935"/>
      <c r="AI146" s="935"/>
      <c r="AJ146" s="935"/>
      <c r="AK146" s="935"/>
      <c r="AL146" s="935"/>
      <c r="AM146" s="935"/>
      <c r="AN146" s="935"/>
      <c r="AO146" s="935"/>
      <c r="AP146" s="935"/>
      <c r="AQ146" s="935"/>
      <c r="AR146" s="935"/>
      <c r="AS146" s="935"/>
      <c r="AT146" s="935"/>
      <c r="AU146" s="935"/>
      <c r="AV146" s="935"/>
      <c r="AW146" s="935"/>
      <c r="AX146" s="935"/>
      <c r="AY146" s="935"/>
      <c r="AZ146" s="935"/>
      <c r="BA146" s="935"/>
      <c r="BB146" s="935"/>
      <c r="BC146" s="935"/>
      <c r="BD146" s="935"/>
      <c r="BE146" s="935"/>
      <c r="BF146" s="935"/>
      <c r="BG146" s="935"/>
      <c r="BH146" s="935"/>
      <c r="BI146" s="935"/>
      <c r="BJ146" s="935"/>
      <c r="BK146" s="935"/>
      <c r="BL146" s="935"/>
      <c r="BM146" s="935"/>
      <c r="BN146" s="935"/>
      <c r="BO146" s="935"/>
      <c r="BP146" s="935"/>
      <c r="BQ146" s="935"/>
      <c r="BR146" s="935"/>
      <c r="BS146" s="935"/>
      <c r="BT146" s="935"/>
    </row>
    <row r="147" spans="1:72" x14ac:dyDescent="0.25">
      <c r="A147" s="935" t="s">
        <v>479</v>
      </c>
      <c r="B147" s="935">
        <v>31.12</v>
      </c>
      <c r="C147" s="935">
        <v>33.29</v>
      </c>
      <c r="D147" s="935">
        <v>32.83</v>
      </c>
      <c r="E147" s="935">
        <v>31.88</v>
      </c>
      <c r="F147" s="935">
        <v>31.21</v>
      </c>
      <c r="G147" s="935">
        <v>32.9</v>
      </c>
      <c r="H147" s="935">
        <v>33.9</v>
      </c>
      <c r="I147" s="935">
        <v>34.5</v>
      </c>
      <c r="J147" s="935">
        <v>35.020000000000003</v>
      </c>
      <c r="K147" s="935">
        <v>35.89</v>
      </c>
      <c r="L147" s="935">
        <v>36.74</v>
      </c>
      <c r="M147" s="935">
        <v>37.39</v>
      </c>
      <c r="N147" s="935">
        <v>37.97</v>
      </c>
      <c r="O147" s="935">
        <v>38.92</v>
      </c>
      <c r="P147" s="935">
        <v>39.950000000000003</v>
      </c>
      <c r="Q147" s="935">
        <v>40.92</v>
      </c>
      <c r="R147" s="935">
        <v>41.95</v>
      </c>
      <c r="S147" s="935">
        <v>42.94</v>
      </c>
      <c r="T147" s="935">
        <v>43.78</v>
      </c>
      <c r="U147" s="935">
        <v>44.88</v>
      </c>
      <c r="V147" s="935">
        <v>46.07</v>
      </c>
      <c r="W147" s="935">
        <v>47.3</v>
      </c>
      <c r="X147" s="935">
        <v>48.93</v>
      </c>
      <c r="Y147" s="935">
        <v>50.5</v>
      </c>
      <c r="Z147" s="935">
        <v>52.16</v>
      </c>
      <c r="AA147" s="935">
        <v>53.81</v>
      </c>
      <c r="AB147" s="935">
        <v>55.2</v>
      </c>
      <c r="AC147" s="935">
        <v>56.77</v>
      </c>
      <c r="AD147" s="935">
        <v>58.33</v>
      </c>
      <c r="AE147" s="974">
        <v>2.1000000000000001E-2</v>
      </c>
      <c r="AF147" s="935"/>
      <c r="AG147" s="935"/>
      <c r="AH147" s="935"/>
      <c r="AI147" s="935"/>
      <c r="AJ147" s="935"/>
      <c r="AK147" s="935"/>
      <c r="AL147" s="935"/>
      <c r="AM147" s="935"/>
      <c r="AN147" s="935"/>
      <c r="AO147" s="935"/>
      <c r="AP147" s="935"/>
      <c r="AQ147" s="935"/>
      <c r="AR147" s="935"/>
      <c r="AS147" s="935"/>
      <c r="AT147" s="935"/>
      <c r="AU147" s="935"/>
      <c r="AV147" s="935"/>
      <c r="AW147" s="935"/>
      <c r="AX147" s="935"/>
      <c r="AY147" s="935"/>
      <c r="AZ147" s="935"/>
      <c r="BA147" s="935"/>
      <c r="BB147" s="935"/>
      <c r="BC147" s="935"/>
      <c r="BD147" s="935"/>
      <c r="BE147" s="935"/>
      <c r="BF147" s="935"/>
      <c r="BG147" s="935"/>
      <c r="BH147" s="935"/>
      <c r="BI147" s="935"/>
      <c r="BJ147" s="935"/>
      <c r="BK147" s="935"/>
      <c r="BL147" s="935"/>
      <c r="BM147" s="935"/>
      <c r="BN147" s="935"/>
      <c r="BO147" s="935"/>
      <c r="BP147" s="935"/>
      <c r="BQ147" s="935"/>
      <c r="BR147" s="935"/>
      <c r="BS147" s="935"/>
      <c r="BT147" s="935"/>
    </row>
    <row r="148" spans="1:72" x14ac:dyDescent="0.25">
      <c r="A148" s="935"/>
      <c r="B148" s="935"/>
      <c r="C148" s="935"/>
      <c r="D148" s="935"/>
      <c r="E148" s="935"/>
      <c r="F148" s="935"/>
      <c r="G148" s="935"/>
      <c r="H148" s="935"/>
      <c r="I148" s="935"/>
      <c r="J148" s="935"/>
      <c r="K148" s="935"/>
      <c r="L148" s="935"/>
      <c r="M148" s="935"/>
      <c r="N148" s="935"/>
      <c r="O148" s="935"/>
      <c r="P148" s="935"/>
      <c r="Q148" s="935"/>
      <c r="R148" s="935"/>
      <c r="S148" s="935"/>
      <c r="T148" s="935"/>
      <c r="U148" s="935"/>
      <c r="V148" s="935"/>
      <c r="W148" s="935"/>
      <c r="X148" s="935"/>
      <c r="Y148" s="935"/>
      <c r="Z148" s="935"/>
      <c r="AA148" s="935"/>
      <c r="AB148" s="935"/>
      <c r="AC148" s="935"/>
      <c r="AD148" s="935"/>
      <c r="AE148" s="935"/>
      <c r="AF148" s="935"/>
      <c r="AG148" s="935"/>
      <c r="AH148" s="935"/>
      <c r="AI148" s="935"/>
      <c r="AJ148" s="935"/>
      <c r="AK148" s="935"/>
      <c r="AL148" s="935"/>
      <c r="AM148" s="935"/>
      <c r="AN148" s="935"/>
      <c r="AO148" s="935"/>
      <c r="AP148" s="935"/>
      <c r="AQ148" s="935"/>
      <c r="AR148" s="935"/>
      <c r="AS148" s="935"/>
      <c r="AT148" s="935"/>
      <c r="AU148" s="935"/>
      <c r="AV148" s="935"/>
      <c r="AW148" s="935"/>
      <c r="AX148" s="935"/>
      <c r="AY148" s="935"/>
      <c r="AZ148" s="935"/>
      <c r="BA148" s="935"/>
      <c r="BB148" s="935"/>
      <c r="BC148" s="935"/>
      <c r="BD148" s="935"/>
      <c r="BE148" s="935"/>
      <c r="BF148" s="935"/>
      <c r="BG148" s="935"/>
      <c r="BH148" s="935"/>
      <c r="BI148" s="935"/>
      <c r="BJ148" s="935"/>
      <c r="BK148" s="935"/>
      <c r="BL148" s="935"/>
      <c r="BM148" s="935"/>
      <c r="BN148" s="935"/>
      <c r="BO148" s="935"/>
      <c r="BP148" s="935"/>
      <c r="BQ148" s="935"/>
      <c r="BR148" s="935"/>
      <c r="BS148" s="935"/>
      <c r="BT148" s="935"/>
    </row>
    <row r="149" spans="1:72" x14ac:dyDescent="0.25">
      <c r="A149" s="935" t="s">
        <v>480</v>
      </c>
      <c r="B149" s="935"/>
      <c r="C149" s="935"/>
      <c r="D149" s="935"/>
      <c r="E149" s="935"/>
      <c r="F149" s="935"/>
      <c r="G149" s="935"/>
      <c r="H149" s="935"/>
      <c r="I149" s="935"/>
      <c r="J149" s="935"/>
      <c r="K149" s="935"/>
      <c r="L149" s="935"/>
      <c r="M149" s="935"/>
      <c r="N149" s="935"/>
      <c r="O149" s="935"/>
      <c r="P149" s="935"/>
      <c r="Q149" s="935"/>
      <c r="R149" s="935"/>
      <c r="S149" s="935"/>
      <c r="T149" s="935"/>
      <c r="U149" s="935"/>
      <c r="V149" s="935"/>
      <c r="W149" s="935"/>
      <c r="X149" s="935"/>
      <c r="Y149" s="935"/>
      <c r="Z149" s="935"/>
      <c r="AA149" s="935"/>
      <c r="AB149" s="935"/>
      <c r="AC149" s="935"/>
      <c r="AD149" s="935"/>
      <c r="AE149" s="935"/>
      <c r="AF149" s="935"/>
      <c r="AG149" s="935"/>
      <c r="AH149" s="935"/>
      <c r="AI149" s="935"/>
      <c r="AJ149" s="935"/>
      <c r="AK149" s="935"/>
      <c r="AL149" s="935"/>
      <c r="AM149" s="935"/>
      <c r="AN149" s="935"/>
      <c r="AO149" s="935"/>
      <c r="AP149" s="935"/>
      <c r="AQ149" s="935"/>
      <c r="AR149" s="935"/>
      <c r="AS149" s="935"/>
      <c r="AT149" s="935"/>
      <c r="AU149" s="935"/>
      <c r="AV149" s="935"/>
      <c r="AW149" s="935"/>
      <c r="AX149" s="935"/>
      <c r="AY149" s="935"/>
      <c r="AZ149" s="935"/>
      <c r="BA149" s="935"/>
      <c r="BB149" s="935"/>
      <c r="BC149" s="935"/>
      <c r="BD149" s="935"/>
      <c r="BE149" s="935"/>
      <c r="BF149" s="935"/>
      <c r="BG149" s="935"/>
      <c r="BH149" s="935"/>
      <c r="BI149" s="935"/>
      <c r="BJ149" s="935"/>
      <c r="BK149" s="935"/>
      <c r="BL149" s="935"/>
      <c r="BM149" s="935"/>
      <c r="BN149" s="935"/>
      <c r="BO149" s="935"/>
      <c r="BP149" s="935"/>
      <c r="BQ149" s="935"/>
      <c r="BR149" s="935"/>
      <c r="BS149" s="935"/>
      <c r="BT149" s="935"/>
    </row>
    <row r="150" spans="1:72" x14ac:dyDescent="0.25">
      <c r="A150" s="935" t="s">
        <v>609</v>
      </c>
      <c r="B150" s="935">
        <v>20.2</v>
      </c>
      <c r="C150" s="935">
        <v>26.15</v>
      </c>
      <c r="D150" s="935">
        <v>20.12</v>
      </c>
      <c r="E150" s="935">
        <v>21.4</v>
      </c>
      <c r="F150" s="935">
        <v>21.77</v>
      </c>
      <c r="G150" s="935">
        <v>23.3</v>
      </c>
      <c r="H150" s="935">
        <v>25.02</v>
      </c>
      <c r="I150" s="935">
        <v>26.51</v>
      </c>
      <c r="J150" s="935">
        <v>27.61</v>
      </c>
      <c r="K150" s="935">
        <v>28.83</v>
      </c>
      <c r="L150" s="935">
        <v>29.98</v>
      </c>
      <c r="M150" s="935">
        <v>31.22</v>
      </c>
      <c r="N150" s="935">
        <v>32.11</v>
      </c>
      <c r="O150" s="935">
        <v>33.020000000000003</v>
      </c>
      <c r="P150" s="935">
        <v>34.01</v>
      </c>
      <c r="Q150" s="935">
        <v>35.020000000000003</v>
      </c>
      <c r="R150" s="935">
        <v>36.130000000000003</v>
      </c>
      <c r="S150" s="935">
        <v>37.24</v>
      </c>
      <c r="T150" s="935">
        <v>38.35</v>
      </c>
      <c r="U150" s="935">
        <v>39.36</v>
      </c>
      <c r="V150" s="935">
        <v>40.57</v>
      </c>
      <c r="W150" s="935">
        <v>41.81</v>
      </c>
      <c r="X150" s="935">
        <v>43.24</v>
      </c>
      <c r="Y150" s="935">
        <v>44.53</v>
      </c>
      <c r="Z150" s="935">
        <v>46.07</v>
      </c>
      <c r="AA150" s="935">
        <v>47.62</v>
      </c>
      <c r="AB150" s="935">
        <v>49.27</v>
      </c>
      <c r="AC150" s="935">
        <v>50.92</v>
      </c>
      <c r="AD150" s="935">
        <v>52.64</v>
      </c>
      <c r="AE150" s="974">
        <v>2.5999999999999999E-2</v>
      </c>
      <c r="AF150" s="935"/>
      <c r="AG150" s="935"/>
      <c r="AH150" s="935"/>
      <c r="AI150" s="935"/>
      <c r="AJ150" s="935"/>
      <c r="AK150" s="935"/>
      <c r="AL150" s="935"/>
      <c r="AM150" s="935"/>
      <c r="AN150" s="935"/>
      <c r="AO150" s="935"/>
      <c r="AP150" s="935"/>
      <c r="AQ150" s="935"/>
      <c r="AR150" s="935"/>
      <c r="AS150" s="935"/>
      <c r="AT150" s="935"/>
      <c r="AU150" s="935"/>
      <c r="AV150" s="935"/>
      <c r="AW150" s="935"/>
      <c r="AX150" s="935"/>
      <c r="AY150" s="935"/>
      <c r="AZ150" s="935"/>
      <c r="BA150" s="935"/>
      <c r="BB150" s="935"/>
      <c r="BC150" s="935"/>
      <c r="BD150" s="935"/>
      <c r="BE150" s="935"/>
      <c r="BF150" s="935"/>
      <c r="BG150" s="935"/>
      <c r="BH150" s="935"/>
      <c r="BI150" s="935"/>
      <c r="BJ150" s="935"/>
      <c r="BK150" s="935"/>
      <c r="BL150" s="935"/>
      <c r="BM150" s="935"/>
      <c r="BN150" s="935"/>
      <c r="BO150" s="935"/>
      <c r="BP150" s="935"/>
      <c r="BQ150" s="935"/>
      <c r="BR150" s="935"/>
      <c r="BS150" s="935"/>
      <c r="BT150" s="935"/>
    </row>
    <row r="151" spans="1:72" x14ac:dyDescent="0.25">
      <c r="A151" s="935" t="s">
        <v>610</v>
      </c>
      <c r="B151" s="935">
        <v>17.100000000000001</v>
      </c>
      <c r="C151" s="935">
        <v>21.5</v>
      </c>
      <c r="D151" s="935">
        <v>16.04</v>
      </c>
      <c r="E151" s="935">
        <v>15.27</v>
      </c>
      <c r="F151" s="935">
        <v>15.91</v>
      </c>
      <c r="G151" s="935">
        <v>17.34</v>
      </c>
      <c r="H151" s="935">
        <v>18.739999999999998</v>
      </c>
      <c r="I151" s="935">
        <v>19.850000000000001</v>
      </c>
      <c r="J151" s="935">
        <v>20.86</v>
      </c>
      <c r="K151" s="935">
        <v>22.18</v>
      </c>
      <c r="L151" s="935">
        <v>23.33</v>
      </c>
      <c r="M151" s="935">
        <v>24.52</v>
      </c>
      <c r="N151" s="935">
        <v>25.47</v>
      </c>
      <c r="O151" s="935">
        <v>26.39</v>
      </c>
      <c r="P151" s="935">
        <v>27.18</v>
      </c>
      <c r="Q151" s="935">
        <v>28.11</v>
      </c>
      <c r="R151" s="935">
        <v>29.04</v>
      </c>
      <c r="S151" s="935">
        <v>29.83</v>
      </c>
      <c r="T151" s="935">
        <v>30.83</v>
      </c>
      <c r="U151" s="935">
        <v>31.82</v>
      </c>
      <c r="V151" s="935">
        <v>32.83</v>
      </c>
      <c r="W151" s="935">
        <v>34.01</v>
      </c>
      <c r="X151" s="935">
        <v>35.340000000000003</v>
      </c>
      <c r="Y151" s="935">
        <v>36.380000000000003</v>
      </c>
      <c r="Z151" s="935">
        <v>37.86</v>
      </c>
      <c r="AA151" s="935">
        <v>39.340000000000003</v>
      </c>
      <c r="AB151" s="935">
        <v>40.74</v>
      </c>
      <c r="AC151" s="935">
        <v>42.29</v>
      </c>
      <c r="AD151" s="935">
        <v>43.92</v>
      </c>
      <c r="AE151" s="974">
        <v>2.7E-2</v>
      </c>
      <c r="AF151" s="935"/>
      <c r="AG151" s="935"/>
      <c r="AH151" s="935"/>
      <c r="AI151" s="935"/>
      <c r="AJ151" s="935"/>
      <c r="AK151" s="935"/>
      <c r="AL151" s="935"/>
      <c r="AM151" s="935"/>
      <c r="AN151" s="935"/>
      <c r="AO151" s="935"/>
      <c r="AP151" s="935"/>
      <c r="AQ151" s="935"/>
      <c r="AR151" s="935"/>
      <c r="AS151" s="935"/>
      <c r="AT151" s="935"/>
      <c r="AU151" s="935"/>
      <c r="AV151" s="935"/>
      <c r="AW151" s="935"/>
      <c r="AX151" s="935"/>
      <c r="AY151" s="935"/>
      <c r="AZ151" s="935"/>
      <c r="BA151" s="935"/>
      <c r="BB151" s="935"/>
      <c r="BC151" s="935"/>
      <c r="BD151" s="935"/>
      <c r="BE151" s="935"/>
      <c r="BF151" s="935"/>
      <c r="BG151" s="935"/>
      <c r="BH151" s="935"/>
      <c r="BI151" s="935"/>
      <c r="BJ151" s="935"/>
      <c r="BK151" s="935"/>
      <c r="BL151" s="935"/>
      <c r="BM151" s="935"/>
      <c r="BN151" s="935"/>
      <c r="BO151" s="935"/>
      <c r="BP151" s="935"/>
      <c r="BQ151" s="935"/>
      <c r="BR151" s="935"/>
      <c r="BS151" s="935"/>
      <c r="BT151" s="935"/>
    </row>
    <row r="152" spans="1:72" x14ac:dyDescent="0.25">
      <c r="A152" s="935" t="s">
        <v>723</v>
      </c>
      <c r="B152" s="935">
        <v>8.2100000000000009</v>
      </c>
      <c r="C152" s="935">
        <v>15.52</v>
      </c>
      <c r="D152" s="935">
        <v>9.41</v>
      </c>
      <c r="E152" s="935">
        <v>9.74</v>
      </c>
      <c r="F152" s="935">
        <v>10.050000000000001</v>
      </c>
      <c r="G152" s="935">
        <v>11.48</v>
      </c>
      <c r="H152" s="935">
        <v>12.9</v>
      </c>
      <c r="I152" s="935">
        <v>13.98</v>
      </c>
      <c r="J152" s="935">
        <v>14.63</v>
      </c>
      <c r="K152" s="935">
        <v>15.52</v>
      </c>
      <c r="L152" s="935">
        <v>16.37</v>
      </c>
      <c r="M152" s="935">
        <v>17.29</v>
      </c>
      <c r="N152" s="935">
        <v>18.29</v>
      </c>
      <c r="O152" s="935">
        <v>18.899999999999999</v>
      </c>
      <c r="P152" s="935">
        <v>19.57</v>
      </c>
      <c r="Q152" s="935">
        <v>20.27</v>
      </c>
      <c r="R152" s="935">
        <v>21.01</v>
      </c>
      <c r="S152" s="935">
        <v>21.73</v>
      </c>
      <c r="T152" s="935">
        <v>22.45</v>
      </c>
      <c r="U152" s="935">
        <v>23.04</v>
      </c>
      <c r="V152" s="935">
        <v>23.8</v>
      </c>
      <c r="W152" s="935">
        <v>24.66</v>
      </c>
      <c r="X152" s="935">
        <v>25.52</v>
      </c>
      <c r="Y152" s="935">
        <v>26.47</v>
      </c>
      <c r="Z152" s="935">
        <v>27.6</v>
      </c>
      <c r="AA152" s="935">
        <v>28.58</v>
      </c>
      <c r="AB152" s="935">
        <v>29.4</v>
      </c>
      <c r="AC152" s="935">
        <v>30.75</v>
      </c>
      <c r="AD152" s="935">
        <v>31.66</v>
      </c>
      <c r="AE152" s="974">
        <v>2.7E-2</v>
      </c>
      <c r="AF152" s="935"/>
      <c r="AG152" s="935"/>
      <c r="AH152" s="935"/>
      <c r="AI152" s="935"/>
      <c r="AJ152" s="935"/>
      <c r="AK152" s="935"/>
      <c r="AL152" s="935"/>
      <c r="AM152" s="935"/>
      <c r="AN152" s="935"/>
      <c r="AO152" s="935"/>
      <c r="AP152" s="935"/>
      <c r="AQ152" s="935"/>
      <c r="AR152" s="935"/>
      <c r="AS152" s="935"/>
      <c r="AT152" s="935"/>
      <c r="AU152" s="935"/>
      <c r="AV152" s="935"/>
      <c r="AW152" s="935"/>
      <c r="AX152" s="935"/>
      <c r="AY152" s="935"/>
      <c r="AZ152" s="935"/>
      <c r="BA152" s="935"/>
      <c r="BB152" s="935"/>
      <c r="BC152" s="935"/>
      <c r="BD152" s="935"/>
      <c r="BE152" s="935"/>
      <c r="BF152" s="935"/>
      <c r="BG152" s="935"/>
      <c r="BH152" s="935"/>
      <c r="BI152" s="935"/>
      <c r="BJ152" s="935"/>
      <c r="BK152" s="935"/>
      <c r="BL152" s="935"/>
      <c r="BM152" s="935"/>
      <c r="BN152" s="935"/>
      <c r="BO152" s="935"/>
      <c r="BP152" s="935"/>
      <c r="BQ152" s="935"/>
      <c r="BR152" s="935"/>
      <c r="BS152" s="935"/>
      <c r="BT152" s="935"/>
    </row>
    <row r="153" spans="1:72" x14ac:dyDescent="0.25">
      <c r="A153" s="935" t="s">
        <v>510</v>
      </c>
      <c r="B153" s="935">
        <v>10.96</v>
      </c>
      <c r="C153" s="935">
        <v>11.94</v>
      </c>
      <c r="D153" s="935">
        <v>9.18</v>
      </c>
      <c r="E153" s="935">
        <v>8.93</v>
      </c>
      <c r="F153" s="935">
        <v>10.15</v>
      </c>
      <c r="G153" s="935">
        <v>10.65</v>
      </c>
      <c r="H153" s="935">
        <v>10.68</v>
      </c>
      <c r="I153" s="935">
        <v>10.8</v>
      </c>
      <c r="J153" s="935">
        <v>11.14</v>
      </c>
      <c r="K153" s="935">
        <v>11.44</v>
      </c>
      <c r="L153" s="935">
        <v>11.67</v>
      </c>
      <c r="M153" s="935">
        <v>11.96</v>
      </c>
      <c r="N153" s="935">
        <v>12.27</v>
      </c>
      <c r="O153" s="935">
        <v>12.65</v>
      </c>
      <c r="P153" s="935">
        <v>13.05</v>
      </c>
      <c r="Q153" s="935">
        <v>13.58</v>
      </c>
      <c r="R153" s="935">
        <v>13.92</v>
      </c>
      <c r="S153" s="935">
        <v>14.13</v>
      </c>
      <c r="T153" s="935">
        <v>14.53</v>
      </c>
      <c r="U153" s="935">
        <v>15.05</v>
      </c>
      <c r="V153" s="935">
        <v>15.62</v>
      </c>
      <c r="W153" s="935">
        <v>16.3</v>
      </c>
      <c r="X153" s="935">
        <v>17.010000000000002</v>
      </c>
      <c r="Y153" s="935">
        <v>17.78</v>
      </c>
      <c r="Z153" s="935">
        <v>18.690000000000001</v>
      </c>
      <c r="AA153" s="935">
        <v>19.329999999999998</v>
      </c>
      <c r="AB153" s="935">
        <v>19.86</v>
      </c>
      <c r="AC153" s="935">
        <v>20.61</v>
      </c>
      <c r="AD153" s="935">
        <v>21.27</v>
      </c>
      <c r="AE153" s="974">
        <v>2.1999999999999999E-2</v>
      </c>
      <c r="AF153" s="935"/>
      <c r="AG153" s="935"/>
      <c r="AH153" s="935"/>
      <c r="AI153" s="935"/>
      <c r="AJ153" s="935"/>
      <c r="AK153" s="935"/>
      <c r="AL153" s="935"/>
      <c r="AM153" s="935"/>
      <c r="AN153" s="935"/>
      <c r="AO153" s="935"/>
      <c r="AP153" s="935"/>
      <c r="AQ153" s="935"/>
      <c r="AR153" s="935"/>
      <c r="AS153" s="935"/>
      <c r="AT153" s="935"/>
      <c r="AU153" s="935"/>
      <c r="AV153" s="935"/>
      <c r="AW153" s="935"/>
      <c r="AX153" s="935"/>
      <c r="AY153" s="935"/>
      <c r="AZ153" s="935"/>
      <c r="BA153" s="935"/>
      <c r="BB153" s="935"/>
      <c r="BC153" s="935"/>
      <c r="BD153" s="935"/>
      <c r="BE153" s="935"/>
      <c r="BF153" s="935"/>
      <c r="BG153" s="935"/>
      <c r="BH153" s="935"/>
      <c r="BI153" s="935"/>
      <c r="BJ153" s="935"/>
      <c r="BK153" s="935"/>
      <c r="BL153" s="935"/>
      <c r="BM153" s="935"/>
      <c r="BN153" s="935"/>
      <c r="BO153" s="935"/>
      <c r="BP153" s="935"/>
      <c r="BQ153" s="935"/>
      <c r="BR153" s="935"/>
      <c r="BS153" s="935"/>
      <c r="BT153" s="935"/>
    </row>
    <row r="154" spans="1:72" x14ac:dyDescent="0.25">
      <c r="A154" s="935" t="s">
        <v>479</v>
      </c>
      <c r="B154" s="935">
        <v>28.18</v>
      </c>
      <c r="C154" s="935">
        <v>30.47</v>
      </c>
      <c r="D154" s="935">
        <v>29.38</v>
      </c>
      <c r="E154" s="935">
        <v>28.19</v>
      </c>
      <c r="F154" s="935">
        <v>26.85</v>
      </c>
      <c r="G154" s="935">
        <v>28.28</v>
      </c>
      <c r="H154" s="935">
        <v>28.88</v>
      </c>
      <c r="I154" s="935">
        <v>29.09</v>
      </c>
      <c r="J154" s="935">
        <v>29.58</v>
      </c>
      <c r="K154" s="935">
        <v>30.41</v>
      </c>
      <c r="L154" s="935">
        <v>31.16</v>
      </c>
      <c r="M154" s="935">
        <v>31.75</v>
      </c>
      <c r="N154" s="935">
        <v>32.270000000000003</v>
      </c>
      <c r="O154" s="935">
        <v>33.15</v>
      </c>
      <c r="P154" s="935">
        <v>34.090000000000003</v>
      </c>
      <c r="Q154" s="935">
        <v>34.97</v>
      </c>
      <c r="R154" s="935">
        <v>35.99</v>
      </c>
      <c r="S154" s="935">
        <v>36.94</v>
      </c>
      <c r="T154" s="935">
        <v>37.619999999999997</v>
      </c>
      <c r="U154" s="935">
        <v>38.61</v>
      </c>
      <c r="V154" s="935">
        <v>39.68</v>
      </c>
      <c r="W154" s="935">
        <v>40.82</v>
      </c>
      <c r="X154" s="935">
        <v>42.33</v>
      </c>
      <c r="Y154" s="935">
        <v>43.75</v>
      </c>
      <c r="Z154" s="935">
        <v>45.32</v>
      </c>
      <c r="AA154" s="935">
        <v>46.89</v>
      </c>
      <c r="AB154" s="935">
        <v>48.18</v>
      </c>
      <c r="AC154" s="935">
        <v>49.63</v>
      </c>
      <c r="AD154" s="935">
        <v>51.04</v>
      </c>
      <c r="AE154" s="974">
        <v>1.9E-2</v>
      </c>
      <c r="AF154" s="935"/>
      <c r="AG154" s="935"/>
      <c r="AH154" s="935"/>
      <c r="AI154" s="935"/>
      <c r="AJ154" s="935"/>
      <c r="AK154" s="935"/>
      <c r="AL154" s="935"/>
      <c r="AM154" s="935"/>
      <c r="AN154" s="935"/>
      <c r="AO154" s="935"/>
      <c r="AP154" s="935"/>
      <c r="AQ154" s="935"/>
      <c r="AR154" s="935"/>
      <c r="AS154" s="935"/>
      <c r="AT154" s="935"/>
      <c r="AU154" s="935"/>
      <c r="AV154" s="935"/>
      <c r="AW154" s="935"/>
      <c r="AX154" s="935"/>
      <c r="AY154" s="935"/>
      <c r="AZ154" s="935"/>
      <c r="BA154" s="935"/>
      <c r="BB154" s="935"/>
      <c r="BC154" s="935"/>
      <c r="BD154" s="935"/>
      <c r="BE154" s="935"/>
      <c r="BF154" s="935"/>
      <c r="BG154" s="935"/>
      <c r="BH154" s="935"/>
      <c r="BI154" s="935"/>
      <c r="BJ154" s="935"/>
      <c r="BK154" s="935"/>
      <c r="BL154" s="935"/>
      <c r="BM154" s="935"/>
      <c r="BN154" s="935"/>
      <c r="BO154" s="935"/>
      <c r="BP154" s="935"/>
      <c r="BQ154" s="935"/>
      <c r="BR154" s="935"/>
      <c r="BS154" s="935"/>
      <c r="BT154" s="935"/>
    </row>
    <row r="155" spans="1:72" x14ac:dyDescent="0.25">
      <c r="A155" s="935"/>
      <c r="B155" s="935"/>
      <c r="C155" s="935"/>
      <c r="D155" s="935"/>
      <c r="E155" s="935"/>
      <c r="F155" s="935"/>
      <c r="G155" s="935"/>
      <c r="H155" s="935"/>
      <c r="I155" s="935"/>
      <c r="J155" s="935"/>
      <c r="K155" s="935"/>
      <c r="L155" s="935"/>
      <c r="M155" s="935"/>
      <c r="N155" s="935"/>
      <c r="O155" s="935"/>
      <c r="P155" s="935"/>
      <c r="Q155" s="935"/>
      <c r="R155" s="935"/>
      <c r="S155" s="935"/>
      <c r="T155" s="935"/>
      <c r="U155" s="935"/>
      <c r="V155" s="935"/>
      <c r="W155" s="935"/>
      <c r="X155" s="935"/>
      <c r="Y155" s="935"/>
      <c r="Z155" s="935"/>
      <c r="AA155" s="935"/>
      <c r="AB155" s="935"/>
      <c r="AC155" s="935"/>
      <c r="AD155" s="935"/>
      <c r="AE155" s="935"/>
      <c r="AF155" s="935"/>
      <c r="AG155" s="935"/>
      <c r="AH155" s="935"/>
      <c r="AI155" s="935"/>
      <c r="AJ155" s="935"/>
      <c r="AK155" s="935"/>
      <c r="AL155" s="935"/>
      <c r="AM155" s="935"/>
      <c r="AN155" s="935"/>
      <c r="AO155" s="935"/>
      <c r="AP155" s="935"/>
      <c r="AQ155" s="935"/>
      <c r="AR155" s="935"/>
      <c r="AS155" s="935"/>
      <c r="AT155" s="935"/>
      <c r="AU155" s="935"/>
      <c r="AV155" s="935"/>
      <c r="AW155" s="935"/>
      <c r="AX155" s="935"/>
      <c r="AY155" s="935"/>
      <c r="AZ155" s="935"/>
      <c r="BA155" s="935"/>
      <c r="BB155" s="935"/>
      <c r="BC155" s="935"/>
      <c r="BD155" s="935"/>
      <c r="BE155" s="935"/>
      <c r="BF155" s="935"/>
      <c r="BG155" s="935"/>
      <c r="BH155" s="935"/>
      <c r="BI155" s="935"/>
      <c r="BJ155" s="935"/>
      <c r="BK155" s="935"/>
      <c r="BL155" s="935"/>
      <c r="BM155" s="935"/>
      <c r="BN155" s="935"/>
      <c r="BO155" s="935"/>
      <c r="BP155" s="935"/>
      <c r="BQ155" s="935"/>
      <c r="BR155" s="935"/>
      <c r="BS155" s="935"/>
      <c r="BT155" s="935"/>
    </row>
    <row r="156" spans="1:72" x14ac:dyDescent="0.25">
      <c r="A156" s="935" t="s">
        <v>612</v>
      </c>
      <c r="B156" s="935"/>
      <c r="C156" s="935"/>
      <c r="D156" s="935"/>
      <c r="E156" s="935"/>
      <c r="F156" s="935"/>
      <c r="G156" s="935"/>
      <c r="H156" s="935"/>
      <c r="I156" s="935"/>
      <c r="J156" s="935"/>
      <c r="K156" s="935"/>
      <c r="L156" s="935"/>
      <c r="M156" s="935"/>
      <c r="N156" s="935"/>
      <c r="O156" s="935"/>
      <c r="P156" s="935"/>
      <c r="Q156" s="935"/>
      <c r="R156" s="935"/>
      <c r="S156" s="935"/>
      <c r="T156" s="935"/>
      <c r="U156" s="935"/>
      <c r="V156" s="935"/>
      <c r="W156" s="935"/>
      <c r="X156" s="935"/>
      <c r="Y156" s="935"/>
      <c r="Z156" s="935"/>
      <c r="AA156" s="935"/>
      <c r="AB156" s="935"/>
      <c r="AC156" s="935"/>
      <c r="AD156" s="935"/>
      <c r="AE156" s="935"/>
      <c r="AF156" s="935"/>
      <c r="AG156" s="935"/>
      <c r="AH156" s="935"/>
      <c r="AI156" s="935"/>
      <c r="AJ156" s="935"/>
      <c r="AK156" s="935"/>
      <c r="AL156" s="935"/>
      <c r="AM156" s="935"/>
      <c r="AN156" s="935"/>
      <c r="AO156" s="935"/>
      <c r="AP156" s="935"/>
      <c r="AQ156" s="935"/>
      <c r="AR156" s="935"/>
      <c r="AS156" s="935"/>
      <c r="AT156" s="935"/>
      <c r="AU156" s="935"/>
      <c r="AV156" s="935"/>
      <c r="AW156" s="935"/>
      <c r="AX156" s="935"/>
      <c r="AY156" s="935"/>
      <c r="AZ156" s="935"/>
      <c r="BA156" s="935"/>
      <c r="BB156" s="935"/>
      <c r="BC156" s="935"/>
      <c r="BD156" s="935"/>
      <c r="BE156" s="935"/>
      <c r="BF156" s="935"/>
      <c r="BG156" s="935"/>
      <c r="BH156" s="935"/>
      <c r="BI156" s="935"/>
      <c r="BJ156" s="935"/>
      <c r="BK156" s="935"/>
      <c r="BL156" s="935"/>
      <c r="BM156" s="935"/>
      <c r="BN156" s="935"/>
      <c r="BO156" s="935"/>
      <c r="BP156" s="935"/>
      <c r="BQ156" s="935"/>
      <c r="BR156" s="935"/>
      <c r="BS156" s="935"/>
      <c r="BT156" s="935"/>
    </row>
    <row r="157" spans="1:72" x14ac:dyDescent="0.25">
      <c r="A157" s="935" t="s">
        <v>609</v>
      </c>
      <c r="B157" s="935">
        <v>21.53</v>
      </c>
      <c r="C157" s="935">
        <v>24.2</v>
      </c>
      <c r="D157" s="935">
        <v>18.920000000000002</v>
      </c>
      <c r="E157" s="935">
        <v>18.920000000000002</v>
      </c>
      <c r="F157" s="935">
        <v>19.260000000000002</v>
      </c>
      <c r="G157" s="935">
        <v>20.76</v>
      </c>
      <c r="H157" s="935">
        <v>22.51</v>
      </c>
      <c r="I157" s="935">
        <v>24</v>
      </c>
      <c r="J157" s="935">
        <v>25.06</v>
      </c>
      <c r="K157" s="935">
        <v>26.38</v>
      </c>
      <c r="L157" s="935">
        <v>27.45</v>
      </c>
      <c r="M157" s="935">
        <v>28.6</v>
      </c>
      <c r="N157" s="935">
        <v>29.51</v>
      </c>
      <c r="O157" s="935">
        <v>30.38</v>
      </c>
      <c r="P157" s="935">
        <v>31.31</v>
      </c>
      <c r="Q157" s="935">
        <v>32.270000000000003</v>
      </c>
      <c r="R157" s="935">
        <v>33.340000000000003</v>
      </c>
      <c r="S157" s="935">
        <v>34.39</v>
      </c>
      <c r="T157" s="935">
        <v>35.450000000000003</v>
      </c>
      <c r="U157" s="935">
        <v>36.4</v>
      </c>
      <c r="V157" s="935">
        <v>37.549999999999997</v>
      </c>
      <c r="W157" s="935">
        <v>38.729999999999997</v>
      </c>
      <c r="X157" s="935">
        <v>40.1</v>
      </c>
      <c r="Y157" s="935">
        <v>41.33</v>
      </c>
      <c r="Z157" s="935">
        <v>42.81</v>
      </c>
      <c r="AA157" s="935">
        <v>44.29</v>
      </c>
      <c r="AB157" s="935">
        <v>45.9</v>
      </c>
      <c r="AC157" s="935">
        <v>47.5</v>
      </c>
      <c r="AD157" s="935">
        <v>49.15</v>
      </c>
      <c r="AE157" s="974">
        <v>2.7E-2</v>
      </c>
      <c r="AF157" s="935"/>
      <c r="AG157" s="935"/>
      <c r="AH157" s="935"/>
      <c r="AI157" s="935"/>
      <c r="AJ157" s="935"/>
      <c r="AK157" s="935"/>
      <c r="AL157" s="935"/>
      <c r="AM157" s="935"/>
      <c r="AN157" s="935"/>
      <c r="AO157" s="935"/>
      <c r="AP157" s="935"/>
      <c r="AQ157" s="935"/>
      <c r="AR157" s="935"/>
      <c r="AS157" s="935"/>
      <c r="AT157" s="935"/>
      <c r="AU157" s="935"/>
      <c r="AV157" s="935"/>
      <c r="AW157" s="935"/>
      <c r="AX157" s="935"/>
      <c r="AY157" s="935"/>
      <c r="AZ157" s="935"/>
      <c r="BA157" s="935"/>
      <c r="BB157" s="935"/>
      <c r="BC157" s="935"/>
      <c r="BD157" s="935"/>
      <c r="BE157" s="935"/>
      <c r="BF157" s="935"/>
      <c r="BG157" s="935"/>
      <c r="BH157" s="935"/>
      <c r="BI157" s="935"/>
      <c r="BJ157" s="935"/>
      <c r="BK157" s="935"/>
      <c r="BL157" s="935"/>
      <c r="BM157" s="935"/>
      <c r="BN157" s="935"/>
      <c r="BO157" s="935"/>
      <c r="BP157" s="935"/>
      <c r="BQ157" s="935"/>
      <c r="BR157" s="935"/>
      <c r="BS157" s="935"/>
      <c r="BT157" s="935"/>
    </row>
    <row r="158" spans="1:72" x14ac:dyDescent="0.25">
      <c r="A158" s="935" t="s">
        <v>610</v>
      </c>
      <c r="B158" s="935">
        <v>17.68</v>
      </c>
      <c r="C158" s="935">
        <v>22.31</v>
      </c>
      <c r="D158" s="935">
        <v>16.649999999999999</v>
      </c>
      <c r="E158" s="935">
        <v>14.82</v>
      </c>
      <c r="F158" s="935">
        <v>16.05</v>
      </c>
      <c r="G158" s="935">
        <v>17.52</v>
      </c>
      <c r="H158" s="935">
        <v>18.95</v>
      </c>
      <c r="I158" s="935">
        <v>20.07</v>
      </c>
      <c r="J158" s="935">
        <v>21.18</v>
      </c>
      <c r="K158" s="935">
        <v>22.46</v>
      </c>
      <c r="L158" s="935">
        <v>23.62</v>
      </c>
      <c r="M158" s="935">
        <v>24.81</v>
      </c>
      <c r="N158" s="935">
        <v>25.76</v>
      </c>
      <c r="O158" s="935">
        <v>26.68</v>
      </c>
      <c r="P158" s="935">
        <v>27.5</v>
      </c>
      <c r="Q158" s="935">
        <v>28.52</v>
      </c>
      <c r="R158" s="935">
        <v>29.39</v>
      </c>
      <c r="S158" s="935">
        <v>30.15</v>
      </c>
      <c r="T158" s="935">
        <v>31.18</v>
      </c>
      <c r="U158" s="935">
        <v>32.159999999999997</v>
      </c>
      <c r="V158" s="935">
        <v>33.21</v>
      </c>
      <c r="W158" s="935">
        <v>34.409999999999997</v>
      </c>
      <c r="X158" s="935">
        <v>35.770000000000003</v>
      </c>
      <c r="Y158" s="935">
        <v>36.83</v>
      </c>
      <c r="Z158" s="935">
        <v>38.33</v>
      </c>
      <c r="AA158" s="935">
        <v>39.83</v>
      </c>
      <c r="AB158" s="935">
        <v>41.25</v>
      </c>
      <c r="AC158" s="935">
        <v>42.82</v>
      </c>
      <c r="AD158" s="935">
        <v>44.51</v>
      </c>
      <c r="AE158" s="974">
        <v>2.5999999999999999E-2</v>
      </c>
      <c r="AF158" s="935"/>
      <c r="AG158" s="935"/>
      <c r="AH158" s="935"/>
      <c r="AI158" s="935"/>
      <c r="AJ158" s="935"/>
      <c r="AK158" s="935"/>
      <c r="AL158" s="935"/>
      <c r="AM158" s="935"/>
      <c r="AN158" s="935"/>
      <c r="AO158" s="935"/>
      <c r="AP158" s="935"/>
      <c r="AQ158" s="935"/>
      <c r="AR158" s="935"/>
      <c r="AS158" s="935"/>
      <c r="AT158" s="935"/>
      <c r="AU158" s="935"/>
      <c r="AV158" s="935"/>
      <c r="AW158" s="935"/>
      <c r="AX158" s="935"/>
      <c r="AY158" s="935"/>
      <c r="AZ158" s="935"/>
      <c r="BA158" s="935"/>
      <c r="BB158" s="935"/>
      <c r="BC158" s="935"/>
      <c r="BD158" s="935"/>
      <c r="BE158" s="935"/>
      <c r="BF158" s="935"/>
      <c r="BG158" s="935"/>
      <c r="BH158" s="935"/>
      <c r="BI158" s="935"/>
      <c r="BJ158" s="935"/>
      <c r="BK158" s="935"/>
      <c r="BL158" s="935"/>
      <c r="BM158" s="935"/>
      <c r="BN158" s="935"/>
      <c r="BO158" s="935"/>
      <c r="BP158" s="935"/>
      <c r="BQ158" s="935"/>
      <c r="BR158" s="935"/>
      <c r="BS158" s="935"/>
      <c r="BT158" s="935"/>
    </row>
    <row r="159" spans="1:72" x14ac:dyDescent="0.25">
      <c r="A159" s="935" t="s">
        <v>611</v>
      </c>
      <c r="B159" s="935">
        <v>8.65</v>
      </c>
      <c r="C159" s="935">
        <v>16.309999999999999</v>
      </c>
      <c r="D159" s="935">
        <v>9.89</v>
      </c>
      <c r="E159" s="935">
        <v>13.52</v>
      </c>
      <c r="F159" s="935">
        <v>13.82</v>
      </c>
      <c r="G159" s="935">
        <v>15.16</v>
      </c>
      <c r="H159" s="935">
        <v>16.489999999999998</v>
      </c>
      <c r="I159" s="935">
        <v>17.62</v>
      </c>
      <c r="J159" s="935">
        <v>18.350000000000001</v>
      </c>
      <c r="K159" s="935">
        <v>19.239999999999998</v>
      </c>
      <c r="L159" s="935">
        <v>20.059999999999999</v>
      </c>
      <c r="M159" s="935">
        <v>20.97</v>
      </c>
      <c r="N159" s="935">
        <v>21.68</v>
      </c>
      <c r="O159" s="935">
        <v>22.24</v>
      </c>
      <c r="P159" s="935">
        <v>23</v>
      </c>
      <c r="Q159" s="935">
        <v>23.74</v>
      </c>
      <c r="R159" s="935">
        <v>24.52</v>
      </c>
      <c r="S159" s="935">
        <v>25.31</v>
      </c>
      <c r="T159" s="935">
        <v>26.1</v>
      </c>
      <c r="U159" s="935">
        <v>26.74</v>
      </c>
      <c r="V159" s="935">
        <v>27.57</v>
      </c>
      <c r="W159" s="935">
        <v>28.51</v>
      </c>
      <c r="X159" s="935">
        <v>29.51</v>
      </c>
      <c r="Y159" s="935">
        <v>30.6</v>
      </c>
      <c r="Z159" s="935">
        <v>31.8</v>
      </c>
      <c r="AA159" s="935">
        <v>32.92</v>
      </c>
      <c r="AB159" s="935">
        <v>34.03</v>
      </c>
      <c r="AC159" s="935">
        <v>35.29</v>
      </c>
      <c r="AD159" s="935">
        <v>36.5</v>
      </c>
      <c r="AE159" s="974">
        <v>0.03</v>
      </c>
      <c r="AF159" s="935"/>
      <c r="AG159" s="935"/>
      <c r="AH159" s="935"/>
      <c r="AI159" s="935"/>
      <c r="AJ159" s="935"/>
      <c r="AK159" s="935"/>
      <c r="AL159" s="935"/>
      <c r="AM159" s="935"/>
      <c r="AN159" s="935"/>
      <c r="AO159" s="935"/>
      <c r="AP159" s="935"/>
      <c r="AQ159" s="935"/>
      <c r="AR159" s="935"/>
      <c r="AS159" s="935"/>
      <c r="AT159" s="935"/>
      <c r="AU159" s="935"/>
      <c r="AV159" s="935"/>
      <c r="AW159" s="935"/>
      <c r="AX159" s="935"/>
      <c r="AY159" s="935"/>
      <c r="AZ159" s="935"/>
      <c r="BA159" s="935"/>
      <c r="BB159" s="935"/>
      <c r="BC159" s="935"/>
      <c r="BD159" s="935"/>
      <c r="BE159" s="935"/>
      <c r="BF159" s="935"/>
      <c r="BG159" s="935"/>
      <c r="BH159" s="935"/>
      <c r="BI159" s="935"/>
      <c r="BJ159" s="935"/>
      <c r="BK159" s="935"/>
      <c r="BL159" s="935"/>
      <c r="BM159" s="935"/>
      <c r="BN159" s="935"/>
      <c r="BO159" s="935"/>
      <c r="BP159" s="935"/>
      <c r="BQ159" s="935"/>
      <c r="BR159" s="935"/>
      <c r="BS159" s="935"/>
      <c r="BT159" s="935"/>
    </row>
    <row r="160" spans="1:72" x14ac:dyDescent="0.25">
      <c r="A160" s="935" t="s">
        <v>613</v>
      </c>
      <c r="B160" s="935">
        <v>7.41</v>
      </c>
      <c r="C160" s="935">
        <v>9.11</v>
      </c>
      <c r="D160" s="935">
        <v>4.26</v>
      </c>
      <c r="E160" s="935">
        <v>5.0199999999999996</v>
      </c>
      <c r="F160" s="935">
        <v>6.23</v>
      </c>
      <c r="G160" s="935">
        <v>6.76</v>
      </c>
      <c r="H160" s="935">
        <v>6.82</v>
      </c>
      <c r="I160" s="935">
        <v>6.89</v>
      </c>
      <c r="J160" s="935">
        <v>7.18</v>
      </c>
      <c r="K160" s="935">
        <v>7.39</v>
      </c>
      <c r="L160" s="935">
        <v>7.52</v>
      </c>
      <c r="M160" s="935">
        <v>7.71</v>
      </c>
      <c r="N160" s="935">
        <v>7.91</v>
      </c>
      <c r="O160" s="935">
        <v>8.19</v>
      </c>
      <c r="P160" s="935">
        <v>8.4700000000000006</v>
      </c>
      <c r="Q160" s="935">
        <v>8.8800000000000008</v>
      </c>
      <c r="R160" s="935">
        <v>9.14</v>
      </c>
      <c r="S160" s="935">
        <v>9.26</v>
      </c>
      <c r="T160" s="935">
        <v>9.52</v>
      </c>
      <c r="U160" s="935">
        <v>9.9</v>
      </c>
      <c r="V160" s="935">
        <v>10.31</v>
      </c>
      <c r="W160" s="935">
        <v>10.85</v>
      </c>
      <c r="X160" s="935">
        <v>11.41</v>
      </c>
      <c r="Y160" s="935">
        <v>12.04</v>
      </c>
      <c r="Z160" s="935">
        <v>12.79</v>
      </c>
      <c r="AA160" s="935">
        <v>13.25</v>
      </c>
      <c r="AB160" s="935">
        <v>13.56</v>
      </c>
      <c r="AC160" s="935">
        <v>14.17</v>
      </c>
      <c r="AD160" s="935">
        <v>14.67</v>
      </c>
      <c r="AE160" s="974">
        <v>1.7999999999999999E-2</v>
      </c>
      <c r="AF160" s="935"/>
      <c r="AG160" s="935"/>
      <c r="AH160" s="935"/>
      <c r="AI160" s="935"/>
      <c r="AJ160" s="935"/>
      <c r="AK160" s="935"/>
      <c r="AL160" s="935"/>
      <c r="AM160" s="935"/>
      <c r="AN160" s="935"/>
      <c r="AO160" s="935"/>
      <c r="AP160" s="935"/>
      <c r="AQ160" s="935"/>
      <c r="AR160" s="935"/>
      <c r="AS160" s="935"/>
      <c r="AT160" s="935"/>
      <c r="AU160" s="935"/>
      <c r="AV160" s="935"/>
      <c r="AW160" s="935"/>
      <c r="AX160" s="935"/>
      <c r="AY160" s="935"/>
      <c r="AZ160" s="935"/>
      <c r="BA160" s="935"/>
      <c r="BB160" s="935"/>
      <c r="BC160" s="935"/>
      <c r="BD160" s="935"/>
      <c r="BE160" s="935"/>
      <c r="BF160" s="935"/>
      <c r="BG160" s="935"/>
      <c r="BH160" s="935"/>
      <c r="BI160" s="935"/>
      <c r="BJ160" s="935"/>
      <c r="BK160" s="935"/>
      <c r="BL160" s="935"/>
      <c r="BM160" s="935"/>
      <c r="BN160" s="935"/>
      <c r="BO160" s="935"/>
      <c r="BP160" s="935"/>
      <c r="BQ160" s="935"/>
      <c r="BR160" s="935"/>
      <c r="BS160" s="935"/>
      <c r="BT160" s="935"/>
    </row>
    <row r="161" spans="1:72" x14ac:dyDescent="0.25">
      <c r="A161" s="935" t="s">
        <v>614</v>
      </c>
      <c r="B161" s="935">
        <v>3.61</v>
      </c>
      <c r="C161" s="935">
        <v>4.49</v>
      </c>
      <c r="D161" s="935">
        <v>4.79</v>
      </c>
      <c r="E161" s="935">
        <v>4.9400000000000004</v>
      </c>
      <c r="F161" s="935">
        <v>5.07</v>
      </c>
      <c r="G161" s="935">
        <v>5.31</v>
      </c>
      <c r="H161" s="935">
        <v>5.44</v>
      </c>
      <c r="I161" s="935">
        <v>5.56</v>
      </c>
      <c r="J161" s="935">
        <v>5.66</v>
      </c>
      <c r="K161" s="935">
        <v>5.77</v>
      </c>
      <c r="L161" s="935">
        <v>5.97</v>
      </c>
      <c r="M161" s="935">
        <v>6.14</v>
      </c>
      <c r="N161" s="935">
        <v>6.34</v>
      </c>
      <c r="O161" s="935">
        <v>6.5</v>
      </c>
      <c r="P161" s="935">
        <v>6.68</v>
      </c>
      <c r="Q161" s="935">
        <v>6.84</v>
      </c>
      <c r="R161" s="935">
        <v>6.98</v>
      </c>
      <c r="S161" s="935">
        <v>7.07</v>
      </c>
      <c r="T161" s="935">
        <v>7.11</v>
      </c>
      <c r="U161" s="935">
        <v>7.15</v>
      </c>
      <c r="V161" s="935">
        <v>7.27</v>
      </c>
      <c r="W161" s="935">
        <v>7.43</v>
      </c>
      <c r="X161" s="935">
        <v>7.55</v>
      </c>
      <c r="Y161" s="935">
        <v>7.72</v>
      </c>
      <c r="Z161" s="935">
        <v>7.86</v>
      </c>
      <c r="AA161" s="935">
        <v>8.02</v>
      </c>
      <c r="AB161" s="935">
        <v>8.18</v>
      </c>
      <c r="AC161" s="935">
        <v>8.33</v>
      </c>
      <c r="AD161" s="935">
        <v>8.5</v>
      </c>
      <c r="AE161" s="974">
        <v>2.4E-2</v>
      </c>
      <c r="AF161" s="935"/>
      <c r="AG161" s="935"/>
      <c r="AH161" s="935"/>
      <c r="AI161" s="935"/>
      <c r="AJ161" s="935"/>
      <c r="AK161" s="935"/>
      <c r="AL161" s="935"/>
      <c r="AM161" s="935"/>
      <c r="AN161" s="935"/>
      <c r="AO161" s="935"/>
      <c r="AP161" s="935"/>
      <c r="AQ161" s="935"/>
      <c r="AR161" s="935"/>
      <c r="AS161" s="935"/>
      <c r="AT161" s="935"/>
      <c r="AU161" s="935"/>
      <c r="AV161" s="935"/>
      <c r="AW161" s="935"/>
      <c r="AX161" s="935"/>
      <c r="AY161" s="935"/>
      <c r="AZ161" s="935"/>
      <c r="BA161" s="935"/>
      <c r="BB161" s="935"/>
      <c r="BC161" s="935"/>
      <c r="BD161" s="935"/>
      <c r="BE161" s="935"/>
      <c r="BF161" s="935"/>
      <c r="BG161" s="935"/>
      <c r="BH161" s="935"/>
      <c r="BI161" s="935"/>
      <c r="BJ161" s="935"/>
      <c r="BK161" s="935"/>
      <c r="BL161" s="935"/>
      <c r="BM161" s="935"/>
      <c r="BN161" s="935"/>
      <c r="BO161" s="935"/>
      <c r="BP161" s="935"/>
      <c r="BQ161" s="935"/>
      <c r="BR161" s="935"/>
      <c r="BS161" s="935"/>
      <c r="BT161" s="935"/>
    </row>
    <row r="162" spans="1:72" x14ac:dyDescent="0.25">
      <c r="A162" s="935" t="s">
        <v>615</v>
      </c>
      <c r="B162" s="935">
        <v>2.4300000000000002</v>
      </c>
      <c r="C162" s="935">
        <v>2.84</v>
      </c>
      <c r="D162" s="935">
        <v>2.83</v>
      </c>
      <c r="E162" s="935">
        <v>2.77</v>
      </c>
      <c r="F162" s="935">
        <v>2.81</v>
      </c>
      <c r="G162" s="935">
        <v>2.85</v>
      </c>
      <c r="H162" s="935">
        <v>2.86</v>
      </c>
      <c r="I162" s="935">
        <v>2.93</v>
      </c>
      <c r="J162" s="935">
        <v>3</v>
      </c>
      <c r="K162" s="935">
        <v>3.04</v>
      </c>
      <c r="L162" s="935">
        <v>3.11</v>
      </c>
      <c r="M162" s="935">
        <v>3.16</v>
      </c>
      <c r="N162" s="935">
        <v>3.2</v>
      </c>
      <c r="O162" s="935">
        <v>3.26</v>
      </c>
      <c r="P162" s="935">
        <v>3.31</v>
      </c>
      <c r="Q162" s="935">
        <v>3.38</v>
      </c>
      <c r="R162" s="935">
        <v>3.43</v>
      </c>
      <c r="S162" s="935">
        <v>3.5</v>
      </c>
      <c r="T162" s="935">
        <v>3.56</v>
      </c>
      <c r="U162" s="935">
        <v>3.65</v>
      </c>
      <c r="V162" s="935">
        <v>3.72</v>
      </c>
      <c r="W162" s="935">
        <v>3.82</v>
      </c>
      <c r="X162" s="935">
        <v>3.91</v>
      </c>
      <c r="Y162" s="935">
        <v>4.01</v>
      </c>
      <c r="Z162" s="935">
        <v>4.12</v>
      </c>
      <c r="AA162" s="935">
        <v>4.21</v>
      </c>
      <c r="AB162" s="935">
        <v>4.33</v>
      </c>
      <c r="AC162" s="935">
        <v>4.4400000000000004</v>
      </c>
      <c r="AD162" s="935">
        <v>4.55</v>
      </c>
      <c r="AE162" s="974">
        <v>1.7999999999999999E-2</v>
      </c>
      <c r="AF162" s="935"/>
      <c r="AG162" s="935"/>
      <c r="AH162" s="935"/>
      <c r="AI162" s="935"/>
      <c r="AJ162" s="935"/>
      <c r="AK162" s="935"/>
      <c r="AL162" s="935"/>
      <c r="AM162" s="935"/>
      <c r="AN162" s="935"/>
      <c r="AO162" s="935"/>
      <c r="AP162" s="935"/>
      <c r="AQ162" s="935"/>
      <c r="AR162" s="935"/>
      <c r="AS162" s="935"/>
      <c r="AT162" s="935"/>
      <c r="AU162" s="935"/>
      <c r="AV162" s="935"/>
      <c r="AW162" s="935"/>
      <c r="AX162" s="935"/>
      <c r="AY162" s="935"/>
      <c r="AZ162" s="935"/>
      <c r="BA162" s="935"/>
      <c r="BB162" s="935"/>
      <c r="BC162" s="935"/>
      <c r="BD162" s="935"/>
      <c r="BE162" s="935"/>
      <c r="BF162" s="935"/>
      <c r="BG162" s="935"/>
      <c r="BH162" s="935"/>
      <c r="BI162" s="935"/>
      <c r="BJ162" s="935"/>
      <c r="BK162" s="935"/>
      <c r="BL162" s="935"/>
      <c r="BM162" s="935"/>
      <c r="BN162" s="935"/>
      <c r="BO162" s="935"/>
      <c r="BP162" s="935"/>
      <c r="BQ162" s="935"/>
      <c r="BR162" s="935"/>
      <c r="BS162" s="935"/>
      <c r="BT162" s="935"/>
    </row>
    <row r="163" spans="1:72" x14ac:dyDescent="0.25">
      <c r="A163" s="935" t="s">
        <v>616</v>
      </c>
      <c r="B163" s="935" t="s">
        <v>788</v>
      </c>
      <c r="C163" s="935" t="s">
        <v>788</v>
      </c>
      <c r="D163" s="935" t="s">
        <v>788</v>
      </c>
      <c r="E163" s="935" t="s">
        <v>788</v>
      </c>
      <c r="F163" s="935">
        <v>1.32</v>
      </c>
      <c r="G163" s="935">
        <v>1.1000000000000001</v>
      </c>
      <c r="H163" s="935">
        <v>1.1200000000000001</v>
      </c>
      <c r="I163" s="935">
        <v>1.55</v>
      </c>
      <c r="J163" s="935">
        <v>1.58</v>
      </c>
      <c r="K163" s="935">
        <v>1.65</v>
      </c>
      <c r="L163" s="935">
        <v>1.72</v>
      </c>
      <c r="M163" s="935">
        <v>1.74</v>
      </c>
      <c r="N163" s="935">
        <v>1.76</v>
      </c>
      <c r="O163" s="935">
        <v>1.79</v>
      </c>
      <c r="P163" s="935">
        <v>1.86</v>
      </c>
      <c r="Q163" s="935">
        <v>1.91</v>
      </c>
      <c r="R163" s="935">
        <v>1.98</v>
      </c>
      <c r="S163" s="935">
        <v>1.99</v>
      </c>
      <c r="T163" s="935">
        <v>2.02</v>
      </c>
      <c r="U163" s="935">
        <v>2.04</v>
      </c>
      <c r="V163" s="935">
        <v>2.0699999999999998</v>
      </c>
      <c r="W163" s="935">
        <v>2.1</v>
      </c>
      <c r="X163" s="935">
        <v>2.13</v>
      </c>
      <c r="Y163" s="935">
        <v>2.1800000000000002</v>
      </c>
      <c r="Z163" s="935">
        <v>2.2200000000000002</v>
      </c>
      <c r="AA163" s="935">
        <v>2.2799999999999998</v>
      </c>
      <c r="AB163" s="935">
        <v>2.35</v>
      </c>
      <c r="AC163" s="935">
        <v>2.44</v>
      </c>
      <c r="AD163" s="935">
        <v>2.5299999999999998</v>
      </c>
      <c r="AE163" s="935" t="s">
        <v>788</v>
      </c>
      <c r="AF163" s="935"/>
      <c r="AG163" s="935"/>
      <c r="AH163" s="935"/>
      <c r="AI163" s="935"/>
      <c r="AJ163" s="935"/>
      <c r="AK163" s="935"/>
      <c r="AL163" s="935"/>
      <c r="AM163" s="935"/>
      <c r="AN163" s="935"/>
      <c r="AO163" s="935"/>
      <c r="AP163" s="935"/>
      <c r="AQ163" s="935"/>
      <c r="AR163" s="935"/>
      <c r="AS163" s="935"/>
      <c r="AT163" s="935"/>
      <c r="AU163" s="935"/>
      <c r="AV163" s="935"/>
      <c r="AW163" s="935"/>
      <c r="AX163" s="935"/>
      <c r="AY163" s="935"/>
      <c r="AZ163" s="935"/>
      <c r="BA163" s="935"/>
      <c r="BB163" s="935"/>
      <c r="BC163" s="935"/>
      <c r="BD163" s="935"/>
      <c r="BE163" s="935"/>
      <c r="BF163" s="935"/>
      <c r="BG163" s="935"/>
      <c r="BH163" s="935"/>
      <c r="BI163" s="935"/>
      <c r="BJ163" s="935"/>
      <c r="BK163" s="935"/>
      <c r="BL163" s="935"/>
      <c r="BM163" s="935"/>
      <c r="BN163" s="935"/>
      <c r="BO163" s="935"/>
      <c r="BP163" s="935"/>
      <c r="BQ163" s="935"/>
      <c r="BR163" s="935"/>
      <c r="BS163" s="935"/>
      <c r="BT163" s="935"/>
    </row>
    <row r="164" spans="1:72" x14ac:dyDescent="0.25">
      <c r="A164" s="935" t="s">
        <v>479</v>
      </c>
      <c r="B164" s="935">
        <v>18.600000000000001</v>
      </c>
      <c r="C164" s="935">
        <v>20.21</v>
      </c>
      <c r="D164" s="935">
        <v>20.350000000000001</v>
      </c>
      <c r="E164" s="935">
        <v>19.73</v>
      </c>
      <c r="F164" s="935">
        <v>17.86</v>
      </c>
      <c r="G164" s="935">
        <v>18.77</v>
      </c>
      <c r="H164" s="935">
        <v>18.98</v>
      </c>
      <c r="I164" s="935">
        <v>19.010000000000002</v>
      </c>
      <c r="J164" s="935">
        <v>19.36</v>
      </c>
      <c r="K164" s="935">
        <v>19.989999999999998</v>
      </c>
      <c r="L164" s="935">
        <v>20.51</v>
      </c>
      <c r="M164" s="935">
        <v>20.91</v>
      </c>
      <c r="N164" s="935">
        <v>21.27</v>
      </c>
      <c r="O164" s="935">
        <v>21.9</v>
      </c>
      <c r="P164" s="935">
        <v>22.56</v>
      </c>
      <c r="Q164" s="935">
        <v>23.2</v>
      </c>
      <c r="R164" s="935">
        <v>23.95</v>
      </c>
      <c r="S164" s="935">
        <v>24.64</v>
      </c>
      <c r="T164" s="935">
        <v>25.11</v>
      </c>
      <c r="U164" s="935">
        <v>25.79</v>
      </c>
      <c r="V164" s="935">
        <v>26.57</v>
      </c>
      <c r="W164" s="935">
        <v>27.41</v>
      </c>
      <c r="X164" s="935">
        <v>28.5</v>
      </c>
      <c r="Y164" s="935">
        <v>29.55</v>
      </c>
      <c r="Z164" s="935">
        <v>30.67</v>
      </c>
      <c r="AA164" s="935">
        <v>31.8</v>
      </c>
      <c r="AB164" s="935">
        <v>32.71</v>
      </c>
      <c r="AC164" s="935">
        <v>33.76</v>
      </c>
      <c r="AD164" s="935">
        <v>34.799999999999997</v>
      </c>
      <c r="AE164" s="974">
        <v>0.02</v>
      </c>
      <c r="AF164" s="935"/>
      <c r="AG164" s="935"/>
      <c r="AH164" s="935"/>
      <c r="AI164" s="935"/>
      <c r="AJ164" s="935"/>
      <c r="AK164" s="935"/>
      <c r="AL164" s="935"/>
      <c r="AM164" s="935"/>
      <c r="AN164" s="935"/>
      <c r="AO164" s="935"/>
      <c r="AP164" s="935"/>
      <c r="AQ164" s="935"/>
      <c r="AR164" s="935"/>
      <c r="AS164" s="935"/>
      <c r="AT164" s="935"/>
      <c r="AU164" s="935"/>
      <c r="AV164" s="935"/>
      <c r="AW164" s="935"/>
      <c r="AX164" s="935"/>
      <c r="AY164" s="935"/>
      <c r="AZ164" s="935"/>
      <c r="BA164" s="935"/>
      <c r="BB164" s="935"/>
      <c r="BC164" s="935"/>
      <c r="BD164" s="935"/>
      <c r="BE164" s="935"/>
      <c r="BF164" s="935"/>
      <c r="BG164" s="935"/>
      <c r="BH164" s="935"/>
      <c r="BI164" s="935"/>
      <c r="BJ164" s="935"/>
      <c r="BK164" s="935"/>
      <c r="BL164" s="935"/>
      <c r="BM164" s="935"/>
      <c r="BN164" s="935"/>
      <c r="BO164" s="935"/>
      <c r="BP164" s="935"/>
      <c r="BQ164" s="935"/>
      <c r="BR164" s="935"/>
      <c r="BS164" s="935"/>
      <c r="BT164" s="935"/>
    </row>
    <row r="165" spans="1:72" x14ac:dyDescent="0.25">
      <c r="A165" s="935"/>
      <c r="B165" s="935"/>
      <c r="C165" s="935"/>
      <c r="D165" s="935"/>
      <c r="E165" s="935"/>
      <c r="F165" s="935"/>
      <c r="G165" s="935"/>
      <c r="H165" s="935"/>
      <c r="I165" s="935"/>
      <c r="J165" s="935"/>
      <c r="K165" s="935"/>
      <c r="L165" s="935"/>
      <c r="M165" s="935"/>
      <c r="N165" s="935"/>
      <c r="O165" s="935"/>
      <c r="P165" s="935"/>
      <c r="Q165" s="935"/>
      <c r="R165" s="935"/>
      <c r="S165" s="935"/>
      <c r="T165" s="935"/>
      <c r="U165" s="935"/>
      <c r="V165" s="935"/>
      <c r="W165" s="935"/>
      <c r="X165" s="935"/>
      <c r="Y165" s="935"/>
      <c r="Z165" s="935"/>
      <c r="AA165" s="935"/>
      <c r="AB165" s="935"/>
      <c r="AC165" s="935"/>
      <c r="AD165" s="935"/>
      <c r="AE165" s="935"/>
      <c r="AF165" s="935"/>
      <c r="AG165" s="935"/>
      <c r="AH165" s="935"/>
      <c r="AI165" s="935"/>
      <c r="AJ165" s="935"/>
      <c r="AK165" s="935"/>
      <c r="AL165" s="935"/>
      <c r="AM165" s="935"/>
      <c r="AN165" s="935"/>
      <c r="AO165" s="935"/>
      <c r="AP165" s="935"/>
      <c r="AQ165" s="935"/>
      <c r="AR165" s="935"/>
      <c r="AS165" s="935"/>
      <c r="AT165" s="935"/>
      <c r="AU165" s="935"/>
      <c r="AV165" s="935"/>
      <c r="AW165" s="935"/>
      <c r="AX165" s="935"/>
      <c r="AY165" s="935"/>
      <c r="AZ165" s="935"/>
      <c r="BA165" s="935"/>
      <c r="BB165" s="935"/>
      <c r="BC165" s="935"/>
      <c r="BD165" s="935"/>
      <c r="BE165" s="935"/>
      <c r="BF165" s="935"/>
      <c r="BG165" s="935"/>
      <c r="BH165" s="935"/>
      <c r="BI165" s="935"/>
      <c r="BJ165" s="935"/>
      <c r="BK165" s="935"/>
      <c r="BL165" s="935"/>
      <c r="BM165" s="935"/>
      <c r="BN165" s="935"/>
      <c r="BO165" s="935"/>
      <c r="BP165" s="935"/>
      <c r="BQ165" s="935"/>
      <c r="BR165" s="935"/>
      <c r="BS165" s="935"/>
      <c r="BT165" s="935"/>
    </row>
    <row r="166" spans="1:72" x14ac:dyDescent="0.25">
      <c r="A166" s="935" t="s">
        <v>487</v>
      </c>
      <c r="B166" s="935"/>
      <c r="C166" s="935"/>
      <c r="D166" s="935"/>
      <c r="E166" s="935"/>
      <c r="F166" s="935"/>
      <c r="G166" s="935"/>
      <c r="H166" s="935"/>
      <c r="I166" s="935"/>
      <c r="J166" s="935"/>
      <c r="K166" s="935"/>
      <c r="L166" s="935"/>
      <c r="M166" s="935"/>
      <c r="N166" s="935"/>
      <c r="O166" s="935"/>
      <c r="P166" s="935"/>
      <c r="Q166" s="935"/>
      <c r="R166" s="935"/>
      <c r="S166" s="935"/>
      <c r="T166" s="935"/>
      <c r="U166" s="935"/>
      <c r="V166" s="935"/>
      <c r="W166" s="935"/>
      <c r="X166" s="935"/>
      <c r="Y166" s="935"/>
      <c r="Z166" s="935"/>
      <c r="AA166" s="935"/>
      <c r="AB166" s="935"/>
      <c r="AC166" s="935"/>
      <c r="AD166" s="935"/>
      <c r="AE166" s="935"/>
      <c r="AF166" s="935"/>
      <c r="AG166" s="935"/>
      <c r="AH166" s="935"/>
      <c r="AI166" s="935"/>
      <c r="AJ166" s="935"/>
      <c r="AK166" s="935"/>
      <c r="AL166" s="935"/>
      <c r="AM166" s="935"/>
      <c r="AN166" s="935"/>
      <c r="AO166" s="935"/>
      <c r="AP166" s="935"/>
      <c r="AQ166" s="935"/>
      <c r="AR166" s="935"/>
      <c r="AS166" s="935"/>
      <c r="AT166" s="935"/>
      <c r="AU166" s="935"/>
      <c r="AV166" s="935"/>
      <c r="AW166" s="935"/>
      <c r="AX166" s="935"/>
      <c r="AY166" s="935"/>
      <c r="AZ166" s="935"/>
      <c r="BA166" s="935"/>
      <c r="BB166" s="935"/>
      <c r="BC166" s="935"/>
      <c r="BD166" s="935"/>
      <c r="BE166" s="935"/>
      <c r="BF166" s="935"/>
      <c r="BG166" s="935"/>
      <c r="BH166" s="935"/>
      <c r="BI166" s="935"/>
      <c r="BJ166" s="935"/>
      <c r="BK166" s="935"/>
      <c r="BL166" s="935"/>
      <c r="BM166" s="935"/>
      <c r="BN166" s="935"/>
      <c r="BO166" s="935"/>
      <c r="BP166" s="935"/>
      <c r="BQ166" s="935"/>
      <c r="BR166" s="935"/>
      <c r="BS166" s="935"/>
      <c r="BT166" s="935"/>
    </row>
    <row r="167" spans="1:72" x14ac:dyDescent="0.25">
      <c r="A167" s="935" t="s">
        <v>617</v>
      </c>
      <c r="B167" s="935">
        <v>23.31</v>
      </c>
      <c r="C167" s="935">
        <v>29.93</v>
      </c>
      <c r="D167" s="935">
        <v>25.58</v>
      </c>
      <c r="E167" s="935">
        <v>24.61</v>
      </c>
      <c r="F167" s="935">
        <v>25.02</v>
      </c>
      <c r="G167" s="935">
        <v>26.61</v>
      </c>
      <c r="H167" s="935">
        <v>28.36</v>
      </c>
      <c r="I167" s="935">
        <v>29.9</v>
      </c>
      <c r="J167" s="935">
        <v>31.07</v>
      </c>
      <c r="K167" s="935">
        <v>32.36</v>
      </c>
      <c r="L167" s="935">
        <v>33.58</v>
      </c>
      <c r="M167" s="935">
        <v>34.89</v>
      </c>
      <c r="N167" s="935">
        <v>35.840000000000003</v>
      </c>
      <c r="O167" s="935">
        <v>36.82</v>
      </c>
      <c r="P167" s="935">
        <v>37.89</v>
      </c>
      <c r="Q167" s="935">
        <v>38.979999999999997</v>
      </c>
      <c r="R167" s="935">
        <v>40.17</v>
      </c>
      <c r="S167" s="935">
        <v>41.36</v>
      </c>
      <c r="T167" s="935">
        <v>42.56</v>
      </c>
      <c r="U167" s="935">
        <v>43.64</v>
      </c>
      <c r="V167" s="935">
        <v>44.94</v>
      </c>
      <c r="W167" s="935">
        <v>46.27</v>
      </c>
      <c r="X167" s="935">
        <v>47.79</v>
      </c>
      <c r="Y167" s="935">
        <v>49.17</v>
      </c>
      <c r="Z167" s="935">
        <v>50.81</v>
      </c>
      <c r="AA167" s="935">
        <v>52.46</v>
      </c>
      <c r="AB167" s="935">
        <v>54.21</v>
      </c>
      <c r="AC167" s="935">
        <v>55.95</v>
      </c>
      <c r="AD167" s="935">
        <v>57.77</v>
      </c>
      <c r="AE167" s="974">
        <v>2.5000000000000001E-2</v>
      </c>
      <c r="AF167" s="935"/>
      <c r="AG167" s="935"/>
      <c r="AH167" s="935"/>
      <c r="AI167" s="935"/>
      <c r="AJ167" s="935"/>
      <c r="AK167" s="935"/>
      <c r="AL167" s="935"/>
      <c r="AM167" s="935"/>
      <c r="AN167" s="935"/>
      <c r="AO167" s="935"/>
      <c r="AP167" s="935"/>
      <c r="AQ167" s="935"/>
      <c r="AR167" s="935"/>
      <c r="AS167" s="935"/>
      <c r="AT167" s="935"/>
      <c r="AU167" s="935"/>
      <c r="AV167" s="935"/>
      <c r="AW167" s="935"/>
      <c r="AX167" s="935"/>
      <c r="AY167" s="935"/>
      <c r="AZ167" s="935"/>
      <c r="BA167" s="935"/>
      <c r="BB167" s="935"/>
      <c r="BC167" s="935"/>
      <c r="BD167" s="935"/>
      <c r="BE167" s="935"/>
      <c r="BF167" s="935"/>
      <c r="BG167" s="935"/>
      <c r="BH167" s="935"/>
      <c r="BI167" s="935"/>
      <c r="BJ167" s="935"/>
      <c r="BK167" s="935"/>
      <c r="BL167" s="935"/>
      <c r="BM167" s="935"/>
      <c r="BN167" s="935"/>
      <c r="BO167" s="935"/>
      <c r="BP167" s="935"/>
      <c r="BQ167" s="935"/>
      <c r="BR167" s="935"/>
      <c r="BS167" s="935"/>
      <c r="BT167" s="935"/>
    </row>
    <row r="168" spans="1:72" x14ac:dyDescent="0.25">
      <c r="A168" s="935" t="s">
        <v>618</v>
      </c>
      <c r="B168" s="935">
        <v>26.83</v>
      </c>
      <c r="C168" s="935">
        <v>26.93</v>
      </c>
      <c r="D168" s="935">
        <v>23.64</v>
      </c>
      <c r="E168" s="935">
        <v>21.26</v>
      </c>
      <c r="F168" s="935">
        <v>21.89</v>
      </c>
      <c r="G168" s="935">
        <v>23.43</v>
      </c>
      <c r="H168" s="935">
        <v>26.07</v>
      </c>
      <c r="I168" s="935">
        <v>27.64</v>
      </c>
      <c r="J168" s="935">
        <v>28.47</v>
      </c>
      <c r="K168" s="935">
        <v>28.45</v>
      </c>
      <c r="L168" s="935">
        <v>29.92</v>
      </c>
      <c r="M168" s="935">
        <v>31.23</v>
      </c>
      <c r="N168" s="935">
        <v>31.97</v>
      </c>
      <c r="O168" s="935">
        <v>32.94</v>
      </c>
      <c r="P168" s="935">
        <v>34.090000000000003</v>
      </c>
      <c r="Q168" s="935">
        <v>35.479999999999997</v>
      </c>
      <c r="R168" s="935">
        <v>36.880000000000003</v>
      </c>
      <c r="S168" s="935">
        <v>37.979999999999997</v>
      </c>
      <c r="T168" s="935">
        <v>39.17</v>
      </c>
      <c r="U168" s="935">
        <v>40.479999999999997</v>
      </c>
      <c r="V168" s="935">
        <v>41.72</v>
      </c>
      <c r="W168" s="935">
        <v>43.4</v>
      </c>
      <c r="X168" s="935">
        <v>44.96</v>
      </c>
      <c r="Y168" s="935">
        <v>46.25</v>
      </c>
      <c r="Z168" s="935">
        <v>47.62</v>
      </c>
      <c r="AA168" s="935">
        <v>49.36</v>
      </c>
      <c r="AB168" s="935">
        <v>50.75</v>
      </c>
      <c r="AC168" s="935">
        <v>52.29</v>
      </c>
      <c r="AD168" s="935">
        <v>54.17</v>
      </c>
      <c r="AE168" s="974">
        <v>2.5999999999999999E-2</v>
      </c>
      <c r="AF168" s="935"/>
      <c r="AG168" s="935"/>
      <c r="AH168" s="935"/>
      <c r="AI168" s="935"/>
      <c r="AJ168" s="935"/>
      <c r="AK168" s="935"/>
      <c r="AL168" s="935"/>
      <c r="AM168" s="935"/>
      <c r="AN168" s="935"/>
      <c r="AO168" s="935"/>
      <c r="AP168" s="935"/>
      <c r="AQ168" s="935"/>
      <c r="AR168" s="935"/>
      <c r="AS168" s="935"/>
      <c r="AT168" s="935"/>
      <c r="AU168" s="935"/>
      <c r="AV168" s="935"/>
      <c r="AW168" s="935"/>
      <c r="AX168" s="935"/>
      <c r="AY168" s="935"/>
      <c r="AZ168" s="935"/>
      <c r="BA168" s="935"/>
      <c r="BB168" s="935"/>
      <c r="BC168" s="935"/>
      <c r="BD168" s="935"/>
      <c r="BE168" s="935"/>
      <c r="BF168" s="935"/>
      <c r="BG168" s="935"/>
      <c r="BH168" s="935"/>
      <c r="BI168" s="935"/>
      <c r="BJ168" s="935"/>
      <c r="BK168" s="935"/>
      <c r="BL168" s="935"/>
      <c r="BM168" s="935"/>
      <c r="BN168" s="935"/>
      <c r="BO168" s="935"/>
      <c r="BP168" s="935"/>
      <c r="BQ168" s="935"/>
      <c r="BR168" s="935"/>
      <c r="BS168" s="935"/>
      <c r="BT168" s="935"/>
    </row>
    <row r="169" spans="1:72" x14ac:dyDescent="0.25">
      <c r="A169" s="935" t="s">
        <v>619</v>
      </c>
      <c r="B169" s="935">
        <v>23.15</v>
      </c>
      <c r="C169" s="935">
        <v>26.76</v>
      </c>
      <c r="D169" s="935">
        <v>19.43</v>
      </c>
      <c r="E169" s="935">
        <v>21.17</v>
      </c>
      <c r="F169" s="935">
        <v>21.79</v>
      </c>
      <c r="G169" s="935">
        <v>23.32</v>
      </c>
      <c r="H169" s="935">
        <v>25.87</v>
      </c>
      <c r="I169" s="935">
        <v>27.33</v>
      </c>
      <c r="J169" s="935">
        <v>28.27</v>
      </c>
      <c r="K169" s="935">
        <v>29.42</v>
      </c>
      <c r="L169" s="935">
        <v>30.58</v>
      </c>
      <c r="M169" s="935">
        <v>31.65</v>
      </c>
      <c r="N169" s="935">
        <v>32.6</v>
      </c>
      <c r="O169" s="935">
        <v>33.72</v>
      </c>
      <c r="P169" s="935">
        <v>34.72</v>
      </c>
      <c r="Q169" s="935">
        <v>35.94</v>
      </c>
      <c r="R169" s="935">
        <v>37.020000000000003</v>
      </c>
      <c r="S169" s="935">
        <v>37.96</v>
      </c>
      <c r="T169" s="935">
        <v>39.18</v>
      </c>
      <c r="U169" s="935">
        <v>40.44</v>
      </c>
      <c r="V169" s="935">
        <v>41.69</v>
      </c>
      <c r="W169" s="935">
        <v>43.21</v>
      </c>
      <c r="X169" s="935">
        <v>44.7</v>
      </c>
      <c r="Y169" s="935">
        <v>45.91</v>
      </c>
      <c r="Z169" s="935">
        <v>47.47</v>
      </c>
      <c r="AA169" s="935">
        <v>49.16</v>
      </c>
      <c r="AB169" s="935">
        <v>50.66</v>
      </c>
      <c r="AC169" s="935">
        <v>52.36</v>
      </c>
      <c r="AD169" s="935">
        <v>54.33</v>
      </c>
      <c r="AE169" s="974">
        <v>2.7E-2</v>
      </c>
      <c r="AF169" s="935"/>
      <c r="AG169" s="935"/>
      <c r="AH169" s="935"/>
      <c r="AI169" s="935"/>
      <c r="AJ169" s="935"/>
      <c r="AK169" s="935"/>
      <c r="AL169" s="935"/>
      <c r="AM169" s="935"/>
      <c r="AN169" s="935"/>
      <c r="AO169" s="935"/>
      <c r="AP169" s="935"/>
      <c r="AQ169" s="935"/>
      <c r="AR169" s="935"/>
      <c r="AS169" s="935"/>
      <c r="AT169" s="935"/>
      <c r="AU169" s="935"/>
      <c r="AV169" s="935"/>
      <c r="AW169" s="935"/>
      <c r="AX169" s="935"/>
      <c r="AY169" s="935"/>
      <c r="AZ169" s="935"/>
      <c r="BA169" s="935"/>
      <c r="BB169" s="935"/>
      <c r="BC169" s="935"/>
      <c r="BD169" s="935"/>
      <c r="BE169" s="935"/>
      <c r="BF169" s="935"/>
      <c r="BG169" s="935"/>
      <c r="BH169" s="935"/>
      <c r="BI169" s="935"/>
      <c r="BJ169" s="935"/>
      <c r="BK169" s="935"/>
      <c r="BL169" s="935"/>
      <c r="BM169" s="935"/>
      <c r="BN169" s="935"/>
      <c r="BO169" s="935"/>
      <c r="BP169" s="935"/>
      <c r="BQ169" s="935"/>
      <c r="BR169" s="935"/>
      <c r="BS169" s="935"/>
      <c r="BT169" s="935"/>
    </row>
    <row r="170" spans="1:72" x14ac:dyDescent="0.25">
      <c r="A170" s="935" t="s">
        <v>620</v>
      </c>
      <c r="B170" s="935">
        <v>15.42</v>
      </c>
      <c r="C170" s="935">
        <v>22.71</v>
      </c>
      <c r="D170" s="935">
        <v>12.92</v>
      </c>
      <c r="E170" s="935">
        <v>15.23</v>
      </c>
      <c r="F170" s="935">
        <v>15.82</v>
      </c>
      <c r="G170" s="935">
        <v>17.510000000000002</v>
      </c>
      <c r="H170" s="935">
        <v>19.05</v>
      </c>
      <c r="I170" s="935">
        <v>20.23</v>
      </c>
      <c r="J170" s="935">
        <v>21.21</v>
      </c>
      <c r="K170" s="935">
        <v>22.42</v>
      </c>
      <c r="L170" s="935">
        <v>23.58</v>
      </c>
      <c r="M170" s="935">
        <v>24.67</v>
      </c>
      <c r="N170" s="935">
        <v>25.58</v>
      </c>
      <c r="O170" s="935">
        <v>26.51</v>
      </c>
      <c r="P170" s="935">
        <v>27.27</v>
      </c>
      <c r="Q170" s="935">
        <v>28.18</v>
      </c>
      <c r="R170" s="935">
        <v>29.2</v>
      </c>
      <c r="S170" s="935">
        <v>30.07</v>
      </c>
      <c r="T170" s="935">
        <v>31.1</v>
      </c>
      <c r="U170" s="935">
        <v>32.130000000000003</v>
      </c>
      <c r="V170" s="935">
        <v>33.21</v>
      </c>
      <c r="W170" s="935">
        <v>34.54</v>
      </c>
      <c r="X170" s="935">
        <v>35.83</v>
      </c>
      <c r="Y170" s="935">
        <v>36.99</v>
      </c>
      <c r="Z170" s="935">
        <v>38.42</v>
      </c>
      <c r="AA170" s="935">
        <v>39.92</v>
      </c>
      <c r="AB170" s="935">
        <v>41.32</v>
      </c>
      <c r="AC170" s="935">
        <v>42.87</v>
      </c>
      <c r="AD170" s="935">
        <v>44.51</v>
      </c>
      <c r="AE170" s="974">
        <v>2.5000000000000001E-2</v>
      </c>
      <c r="AF170" s="935"/>
      <c r="AG170" s="935"/>
      <c r="AH170" s="935"/>
      <c r="AI170" s="935"/>
      <c r="AJ170" s="935"/>
      <c r="AK170" s="935"/>
      <c r="AL170" s="935"/>
      <c r="AM170" s="935"/>
      <c r="AN170" s="935"/>
      <c r="AO170" s="935"/>
      <c r="AP170" s="935"/>
      <c r="AQ170" s="935"/>
      <c r="AR170" s="935"/>
      <c r="AS170" s="935"/>
      <c r="AT170" s="935"/>
      <c r="AU170" s="935"/>
      <c r="AV170" s="935"/>
      <c r="AW170" s="935"/>
      <c r="AX170" s="935"/>
      <c r="AY170" s="935"/>
      <c r="AZ170" s="935"/>
      <c r="BA170" s="935"/>
      <c r="BB170" s="935"/>
      <c r="BC170" s="935"/>
      <c r="BD170" s="935"/>
      <c r="BE170" s="935"/>
      <c r="BF170" s="935"/>
      <c r="BG170" s="935"/>
      <c r="BH170" s="935"/>
      <c r="BI170" s="935"/>
      <c r="BJ170" s="935"/>
      <c r="BK170" s="935"/>
      <c r="BL170" s="935"/>
      <c r="BM170" s="935"/>
      <c r="BN170" s="935"/>
      <c r="BO170" s="935"/>
      <c r="BP170" s="935"/>
      <c r="BQ170" s="935"/>
      <c r="BR170" s="935"/>
      <c r="BS170" s="935"/>
      <c r="BT170" s="935"/>
    </row>
    <row r="171" spans="1:72" x14ac:dyDescent="0.25">
      <c r="A171" s="935" t="s">
        <v>724</v>
      </c>
      <c r="B171" s="935">
        <v>21.08</v>
      </c>
      <c r="C171" s="935">
        <v>27.65</v>
      </c>
      <c r="D171" s="935">
        <v>18.04</v>
      </c>
      <c r="E171" s="935">
        <v>19.7</v>
      </c>
      <c r="F171" s="935">
        <v>20.149999999999999</v>
      </c>
      <c r="G171" s="935">
        <v>21.71</v>
      </c>
      <c r="H171" s="935">
        <v>23.2</v>
      </c>
      <c r="I171" s="935">
        <v>24.38</v>
      </c>
      <c r="J171" s="935">
        <v>25.56</v>
      </c>
      <c r="K171" s="935">
        <v>26.86</v>
      </c>
      <c r="L171" s="935">
        <v>28.03</v>
      </c>
      <c r="M171" s="935">
        <v>29.31</v>
      </c>
      <c r="N171" s="935">
        <v>30.31</v>
      </c>
      <c r="O171" s="935">
        <v>31.28</v>
      </c>
      <c r="P171" s="935">
        <v>32.19</v>
      </c>
      <c r="Q171" s="935">
        <v>33.32</v>
      </c>
      <c r="R171" s="935">
        <v>34.22</v>
      </c>
      <c r="S171" s="935">
        <v>35.03</v>
      </c>
      <c r="T171" s="935">
        <v>36.130000000000003</v>
      </c>
      <c r="U171" s="935">
        <v>37.17</v>
      </c>
      <c r="V171" s="935">
        <v>38.32</v>
      </c>
      <c r="W171" s="935">
        <v>39.61</v>
      </c>
      <c r="X171" s="935">
        <v>41.05</v>
      </c>
      <c r="Y171" s="935">
        <v>42.2</v>
      </c>
      <c r="Z171" s="935">
        <v>43.79</v>
      </c>
      <c r="AA171" s="935">
        <v>45.41</v>
      </c>
      <c r="AB171" s="935">
        <v>46.88</v>
      </c>
      <c r="AC171" s="935">
        <v>48.53</v>
      </c>
      <c r="AD171" s="935">
        <v>50.35</v>
      </c>
      <c r="AE171" s="974">
        <v>2.1999999999999999E-2</v>
      </c>
      <c r="AF171" s="935"/>
      <c r="AG171" s="935"/>
      <c r="AH171" s="935"/>
      <c r="AI171" s="935"/>
      <c r="AJ171" s="935"/>
      <c r="AK171" s="935"/>
      <c r="AL171" s="935"/>
      <c r="AM171" s="935"/>
      <c r="AN171" s="935"/>
      <c r="AO171" s="935"/>
      <c r="AP171" s="935"/>
      <c r="AQ171" s="935"/>
      <c r="AR171" s="935"/>
      <c r="AS171" s="935"/>
      <c r="AT171" s="935"/>
      <c r="AU171" s="935"/>
      <c r="AV171" s="935"/>
      <c r="AW171" s="935"/>
      <c r="AX171" s="935"/>
      <c r="AY171" s="935"/>
      <c r="AZ171" s="935"/>
      <c r="BA171" s="935"/>
      <c r="BB171" s="935"/>
      <c r="BC171" s="935"/>
      <c r="BD171" s="935"/>
      <c r="BE171" s="935"/>
      <c r="BF171" s="935"/>
      <c r="BG171" s="935"/>
      <c r="BH171" s="935"/>
      <c r="BI171" s="935"/>
      <c r="BJ171" s="935"/>
      <c r="BK171" s="935"/>
      <c r="BL171" s="935"/>
      <c r="BM171" s="935"/>
      <c r="BN171" s="935"/>
      <c r="BO171" s="935"/>
      <c r="BP171" s="935"/>
      <c r="BQ171" s="935"/>
      <c r="BR171" s="935"/>
      <c r="BS171" s="935"/>
      <c r="BT171" s="935"/>
    </row>
    <row r="172" spans="1:72" x14ac:dyDescent="0.25">
      <c r="A172" s="935" t="s">
        <v>611</v>
      </c>
      <c r="B172" s="935">
        <v>8.99</v>
      </c>
      <c r="C172" s="935">
        <v>14.49</v>
      </c>
      <c r="D172" s="935">
        <v>9</v>
      </c>
      <c r="E172" s="935">
        <v>10.51</v>
      </c>
      <c r="F172" s="935">
        <v>10.77</v>
      </c>
      <c r="G172" s="935">
        <v>12.17</v>
      </c>
      <c r="H172" s="935">
        <v>13.4</v>
      </c>
      <c r="I172" s="935">
        <v>14.45</v>
      </c>
      <c r="J172" s="935">
        <v>15.13</v>
      </c>
      <c r="K172" s="935">
        <v>15.77</v>
      </c>
      <c r="L172" s="935">
        <v>16.670000000000002</v>
      </c>
      <c r="M172" s="935">
        <v>17.43</v>
      </c>
      <c r="N172" s="935">
        <v>17.940000000000001</v>
      </c>
      <c r="O172" s="935">
        <v>18.32</v>
      </c>
      <c r="P172" s="935">
        <v>19</v>
      </c>
      <c r="Q172" s="935">
        <v>19.57</v>
      </c>
      <c r="R172" s="935">
        <v>20.260000000000002</v>
      </c>
      <c r="S172" s="935">
        <v>20.94</v>
      </c>
      <c r="T172" s="935">
        <v>21.63</v>
      </c>
      <c r="U172" s="935">
        <v>22.13</v>
      </c>
      <c r="V172" s="935">
        <v>23.02</v>
      </c>
      <c r="W172" s="935">
        <v>23.85</v>
      </c>
      <c r="X172" s="935">
        <v>24.8</v>
      </c>
      <c r="Y172" s="935">
        <v>25.81</v>
      </c>
      <c r="Z172" s="935">
        <v>26.88</v>
      </c>
      <c r="AA172" s="935">
        <v>27.91</v>
      </c>
      <c r="AB172" s="935">
        <v>28.9</v>
      </c>
      <c r="AC172" s="935">
        <v>30.02</v>
      </c>
      <c r="AD172" s="935">
        <v>31.26</v>
      </c>
      <c r="AE172" s="974">
        <v>2.9000000000000001E-2</v>
      </c>
      <c r="AF172" s="935"/>
      <c r="AG172" s="935"/>
      <c r="AH172" s="935"/>
      <c r="AI172" s="935"/>
      <c r="AJ172" s="935"/>
      <c r="AK172" s="935"/>
      <c r="AL172" s="935"/>
      <c r="AM172" s="935"/>
      <c r="AN172" s="935"/>
      <c r="AO172" s="935"/>
      <c r="AP172" s="935"/>
      <c r="AQ172" s="935"/>
      <c r="AR172" s="935"/>
      <c r="AS172" s="935"/>
      <c r="AT172" s="935"/>
      <c r="AU172" s="935"/>
      <c r="AV172" s="935"/>
      <c r="AW172" s="935"/>
      <c r="AX172" s="935"/>
      <c r="AY172" s="935"/>
      <c r="AZ172" s="935"/>
      <c r="BA172" s="935"/>
      <c r="BB172" s="935"/>
      <c r="BC172" s="935"/>
      <c r="BD172" s="935"/>
      <c r="BE172" s="935"/>
      <c r="BF172" s="935"/>
      <c r="BG172" s="935"/>
      <c r="BH172" s="935"/>
      <c r="BI172" s="935"/>
      <c r="BJ172" s="935"/>
      <c r="BK172" s="935"/>
      <c r="BL172" s="935"/>
      <c r="BM172" s="935"/>
      <c r="BN172" s="935"/>
      <c r="BO172" s="935"/>
      <c r="BP172" s="935"/>
      <c r="BQ172" s="935"/>
      <c r="BR172" s="935"/>
      <c r="BS172" s="935"/>
      <c r="BT172" s="935"/>
    </row>
    <row r="173" spans="1:72" x14ac:dyDescent="0.25">
      <c r="A173" s="935" t="s">
        <v>622</v>
      </c>
      <c r="B173" s="935">
        <v>13.54</v>
      </c>
      <c r="C173" s="935">
        <v>15.96</v>
      </c>
      <c r="D173" s="935">
        <v>11.54</v>
      </c>
      <c r="E173" s="935">
        <v>12.36</v>
      </c>
      <c r="F173" s="935">
        <v>13.66</v>
      </c>
      <c r="G173" s="935">
        <v>14.28</v>
      </c>
      <c r="H173" s="935">
        <v>14.39</v>
      </c>
      <c r="I173" s="935">
        <v>14.52</v>
      </c>
      <c r="J173" s="935">
        <v>14.9</v>
      </c>
      <c r="K173" s="935">
        <v>15.21</v>
      </c>
      <c r="L173" s="935">
        <v>15.46</v>
      </c>
      <c r="M173" s="935">
        <v>15.74</v>
      </c>
      <c r="N173" s="935">
        <v>16.04</v>
      </c>
      <c r="O173" s="935">
        <v>16.43</v>
      </c>
      <c r="P173" s="935">
        <v>16.8</v>
      </c>
      <c r="Q173" s="935">
        <v>17.32</v>
      </c>
      <c r="R173" s="935">
        <v>17.64</v>
      </c>
      <c r="S173" s="935">
        <v>17.829999999999998</v>
      </c>
      <c r="T173" s="935">
        <v>18.23</v>
      </c>
      <c r="U173" s="935">
        <v>18.760000000000002</v>
      </c>
      <c r="V173" s="935">
        <v>19.309999999999999</v>
      </c>
      <c r="W173" s="935">
        <v>19.98</v>
      </c>
      <c r="X173" s="935">
        <v>20.67</v>
      </c>
      <c r="Y173" s="935">
        <v>21.42</v>
      </c>
      <c r="Z173" s="935">
        <v>22.31</v>
      </c>
      <c r="AA173" s="935">
        <v>22.94</v>
      </c>
      <c r="AB173" s="935">
        <v>23.44</v>
      </c>
      <c r="AC173" s="935">
        <v>24.19</v>
      </c>
      <c r="AD173" s="935">
        <v>24.84</v>
      </c>
      <c r="AE173" s="974">
        <v>1.7000000000000001E-2</v>
      </c>
      <c r="AF173" s="935"/>
      <c r="AG173" s="935"/>
      <c r="AH173" s="935"/>
      <c r="AI173" s="935"/>
      <c r="AJ173" s="935"/>
      <c r="AK173" s="935"/>
      <c r="AL173" s="935"/>
      <c r="AM173" s="935"/>
      <c r="AN173" s="935"/>
      <c r="AO173" s="935"/>
      <c r="AP173" s="935"/>
      <c r="AQ173" s="935"/>
      <c r="AR173" s="935"/>
      <c r="AS173" s="935"/>
      <c r="AT173" s="935"/>
      <c r="AU173" s="935"/>
      <c r="AV173" s="935"/>
      <c r="AW173" s="935"/>
      <c r="AX173" s="935"/>
      <c r="AY173" s="935"/>
      <c r="AZ173" s="935"/>
      <c r="BA173" s="935"/>
      <c r="BB173" s="935"/>
      <c r="BC173" s="935"/>
      <c r="BD173" s="935"/>
      <c r="BE173" s="935"/>
      <c r="BF173" s="935"/>
      <c r="BG173" s="935"/>
      <c r="BH173" s="935"/>
      <c r="BI173" s="935"/>
      <c r="BJ173" s="935"/>
      <c r="BK173" s="935"/>
      <c r="BL173" s="935"/>
      <c r="BM173" s="935"/>
      <c r="BN173" s="935"/>
      <c r="BO173" s="935"/>
      <c r="BP173" s="935"/>
      <c r="BQ173" s="935"/>
      <c r="BR173" s="935"/>
      <c r="BS173" s="935"/>
      <c r="BT173" s="935"/>
    </row>
    <row r="174" spans="1:72" x14ac:dyDescent="0.25">
      <c r="A174" s="935" t="s">
        <v>479</v>
      </c>
      <c r="B174" s="935">
        <v>31.32</v>
      </c>
      <c r="C174" s="935">
        <v>33.729999999999997</v>
      </c>
      <c r="D174" s="935">
        <v>32.79</v>
      </c>
      <c r="E174" s="935">
        <v>31.2</v>
      </c>
      <c r="F174" s="935">
        <v>28.83</v>
      </c>
      <c r="G174" s="935">
        <v>31.39</v>
      </c>
      <c r="H174" s="935">
        <v>32.01</v>
      </c>
      <c r="I174" s="935">
        <v>31.85</v>
      </c>
      <c r="J174" s="935">
        <v>32.08</v>
      </c>
      <c r="K174" s="935">
        <v>32.909999999999997</v>
      </c>
      <c r="L174" s="935">
        <v>33.549999999999997</v>
      </c>
      <c r="M174" s="935">
        <v>33.97</v>
      </c>
      <c r="N174" s="935">
        <v>34.26</v>
      </c>
      <c r="O174" s="935">
        <v>34.89</v>
      </c>
      <c r="P174" s="935">
        <v>35.61</v>
      </c>
      <c r="Q174" s="935">
        <v>36.26</v>
      </c>
      <c r="R174" s="935">
        <v>37.11</v>
      </c>
      <c r="S174" s="935">
        <v>38.1</v>
      </c>
      <c r="T174" s="935">
        <v>38.86</v>
      </c>
      <c r="U174" s="935">
        <v>40</v>
      </c>
      <c r="V174" s="935">
        <v>41.47</v>
      </c>
      <c r="W174" s="935">
        <v>43.05</v>
      </c>
      <c r="X174" s="935">
        <v>45.05</v>
      </c>
      <c r="Y174" s="935">
        <v>46.8</v>
      </c>
      <c r="Z174" s="935">
        <v>48.78</v>
      </c>
      <c r="AA174" s="935">
        <v>50.72</v>
      </c>
      <c r="AB174" s="935">
        <v>52.33</v>
      </c>
      <c r="AC174" s="935">
        <v>54.13</v>
      </c>
      <c r="AD174" s="935">
        <v>55.89</v>
      </c>
      <c r="AE174" s="974">
        <v>1.9E-2</v>
      </c>
      <c r="AF174" s="935"/>
      <c r="AG174" s="935"/>
      <c r="AH174" s="935"/>
      <c r="AI174" s="935"/>
      <c r="AJ174" s="935"/>
      <c r="AK174" s="935"/>
      <c r="AL174" s="935"/>
      <c r="AM174" s="935"/>
      <c r="AN174" s="935"/>
      <c r="AO174" s="935"/>
      <c r="AP174" s="935"/>
      <c r="AQ174" s="935"/>
      <c r="AR174" s="935"/>
      <c r="AS174" s="935"/>
      <c r="AT174" s="935"/>
      <c r="AU174" s="935"/>
      <c r="AV174" s="935"/>
      <c r="AW174" s="935"/>
      <c r="AX174" s="935"/>
      <c r="AY174" s="935"/>
      <c r="AZ174" s="935"/>
      <c r="BA174" s="935"/>
      <c r="BB174" s="935"/>
      <c r="BC174" s="935"/>
      <c r="BD174" s="935"/>
      <c r="BE174" s="935"/>
      <c r="BF174" s="935"/>
      <c r="BG174" s="935"/>
      <c r="BH174" s="935"/>
      <c r="BI174" s="935"/>
      <c r="BJ174" s="935"/>
      <c r="BK174" s="935"/>
      <c r="BL174" s="935"/>
      <c r="BM174" s="935"/>
      <c r="BN174" s="935"/>
      <c r="BO174" s="935"/>
      <c r="BP174" s="935"/>
      <c r="BQ174" s="935"/>
      <c r="BR174" s="935"/>
      <c r="BS174" s="935"/>
      <c r="BT174" s="935"/>
    </row>
    <row r="175" spans="1:72" x14ac:dyDescent="0.25">
      <c r="A175" s="935"/>
      <c r="B175" s="935"/>
      <c r="C175" s="935"/>
      <c r="D175" s="935"/>
      <c r="E175" s="935"/>
      <c r="F175" s="935"/>
      <c r="G175" s="935"/>
      <c r="H175" s="935"/>
      <c r="I175" s="935"/>
      <c r="J175" s="935"/>
      <c r="K175" s="935"/>
      <c r="L175" s="935"/>
      <c r="M175" s="935"/>
      <c r="N175" s="935"/>
      <c r="O175" s="935"/>
      <c r="P175" s="935"/>
      <c r="Q175" s="935"/>
      <c r="R175" s="935"/>
      <c r="S175" s="935"/>
      <c r="T175" s="935"/>
      <c r="U175" s="935"/>
      <c r="V175" s="935"/>
      <c r="W175" s="935"/>
      <c r="X175" s="935"/>
      <c r="Y175" s="935"/>
      <c r="Z175" s="935"/>
      <c r="AA175" s="935"/>
      <c r="AB175" s="935"/>
      <c r="AC175" s="935"/>
      <c r="AD175" s="935"/>
      <c r="AE175" s="935"/>
      <c r="AF175" s="935"/>
      <c r="AG175" s="935"/>
      <c r="AH175" s="935"/>
      <c r="AI175" s="935"/>
      <c r="AJ175" s="935"/>
      <c r="AK175" s="935"/>
      <c r="AL175" s="935"/>
      <c r="AM175" s="935"/>
      <c r="AN175" s="935"/>
      <c r="AO175" s="935"/>
      <c r="AP175" s="935"/>
      <c r="AQ175" s="935"/>
      <c r="AR175" s="935"/>
      <c r="AS175" s="935"/>
      <c r="AT175" s="935"/>
      <c r="AU175" s="935"/>
      <c r="AV175" s="935"/>
      <c r="AW175" s="935"/>
      <c r="AX175" s="935"/>
      <c r="AY175" s="935"/>
      <c r="AZ175" s="935"/>
      <c r="BA175" s="935"/>
      <c r="BB175" s="935"/>
      <c r="BC175" s="935"/>
      <c r="BD175" s="935"/>
      <c r="BE175" s="935"/>
      <c r="BF175" s="935"/>
      <c r="BG175" s="935"/>
      <c r="BH175" s="935"/>
      <c r="BI175" s="935"/>
      <c r="BJ175" s="935"/>
      <c r="BK175" s="935"/>
      <c r="BL175" s="935"/>
      <c r="BM175" s="935"/>
      <c r="BN175" s="935"/>
      <c r="BO175" s="935"/>
      <c r="BP175" s="935"/>
      <c r="BQ175" s="935"/>
      <c r="BR175" s="935"/>
      <c r="BS175" s="935"/>
      <c r="BT175" s="935"/>
    </row>
    <row r="176" spans="1:72" x14ac:dyDescent="0.25">
      <c r="A176" s="935" t="s">
        <v>623</v>
      </c>
      <c r="B176" s="935"/>
      <c r="C176" s="935"/>
      <c r="D176" s="935"/>
      <c r="E176" s="935"/>
      <c r="F176" s="935"/>
      <c r="G176" s="935"/>
      <c r="H176" s="935"/>
      <c r="I176" s="935"/>
      <c r="J176" s="935"/>
      <c r="K176" s="935"/>
      <c r="L176" s="935"/>
      <c r="M176" s="935"/>
      <c r="N176" s="935"/>
      <c r="O176" s="935"/>
      <c r="P176" s="935"/>
      <c r="Q176" s="935"/>
      <c r="R176" s="935"/>
      <c r="S176" s="935"/>
      <c r="T176" s="935"/>
      <c r="U176" s="935"/>
      <c r="V176" s="935"/>
      <c r="W176" s="935"/>
      <c r="X176" s="935"/>
      <c r="Y176" s="935"/>
      <c r="Z176" s="935"/>
      <c r="AA176" s="935"/>
      <c r="AB176" s="935"/>
      <c r="AC176" s="935"/>
      <c r="AD176" s="935"/>
      <c r="AE176" s="935"/>
      <c r="AF176" s="935"/>
      <c r="AG176" s="935"/>
      <c r="AH176" s="935"/>
      <c r="AI176" s="935"/>
      <c r="AJ176" s="935"/>
      <c r="AK176" s="935"/>
      <c r="AL176" s="935"/>
      <c r="AM176" s="935"/>
      <c r="AN176" s="935"/>
      <c r="AO176" s="935"/>
      <c r="AP176" s="935"/>
      <c r="AQ176" s="935"/>
      <c r="AR176" s="935"/>
      <c r="AS176" s="935"/>
      <c r="AT176" s="935"/>
      <c r="AU176" s="935"/>
      <c r="AV176" s="935"/>
      <c r="AW176" s="935"/>
      <c r="AX176" s="935"/>
      <c r="AY176" s="935"/>
      <c r="AZ176" s="935"/>
      <c r="BA176" s="935"/>
      <c r="BB176" s="935"/>
      <c r="BC176" s="935"/>
      <c r="BD176" s="935"/>
      <c r="BE176" s="935"/>
      <c r="BF176" s="935"/>
      <c r="BG176" s="935"/>
      <c r="BH176" s="935"/>
      <c r="BI176" s="935"/>
      <c r="BJ176" s="935"/>
      <c r="BK176" s="935"/>
      <c r="BL176" s="935"/>
      <c r="BM176" s="935"/>
      <c r="BN176" s="935"/>
      <c r="BO176" s="935"/>
      <c r="BP176" s="935"/>
      <c r="BQ176" s="935"/>
      <c r="BR176" s="935"/>
      <c r="BS176" s="935"/>
      <c r="BT176" s="935"/>
    </row>
    <row r="177" spans="1:72" x14ac:dyDescent="0.25">
      <c r="A177" s="935" t="s">
        <v>610</v>
      </c>
      <c r="B177" s="935">
        <v>15.41</v>
      </c>
      <c r="C177" s="935">
        <v>19.37</v>
      </c>
      <c r="D177" s="935">
        <v>14.46</v>
      </c>
      <c r="E177" s="935">
        <v>14.33</v>
      </c>
      <c r="F177" s="935">
        <v>14.68</v>
      </c>
      <c r="G177" s="935">
        <v>16.09</v>
      </c>
      <c r="H177" s="935">
        <v>17.46</v>
      </c>
      <c r="I177" s="935">
        <v>18.510000000000002</v>
      </c>
      <c r="J177" s="935">
        <v>19.350000000000001</v>
      </c>
      <c r="K177" s="935">
        <v>20.67</v>
      </c>
      <c r="L177" s="935">
        <v>21.81</v>
      </c>
      <c r="M177" s="935">
        <v>22.96</v>
      </c>
      <c r="N177" s="935">
        <v>23.88</v>
      </c>
      <c r="O177" s="935">
        <v>24.75</v>
      </c>
      <c r="P177" s="935">
        <v>25.46</v>
      </c>
      <c r="Q177" s="935">
        <v>26.24</v>
      </c>
      <c r="R177" s="935">
        <v>27.22</v>
      </c>
      <c r="S177" s="935">
        <v>28.03</v>
      </c>
      <c r="T177" s="935">
        <v>28.98</v>
      </c>
      <c r="U177" s="935">
        <v>29.93</v>
      </c>
      <c r="V177" s="935">
        <v>30.88</v>
      </c>
      <c r="W177" s="935">
        <v>32</v>
      </c>
      <c r="X177" s="935">
        <v>33.28</v>
      </c>
      <c r="Y177" s="935">
        <v>34.28</v>
      </c>
      <c r="Z177" s="935">
        <v>35.71</v>
      </c>
      <c r="AA177" s="935">
        <v>37.130000000000003</v>
      </c>
      <c r="AB177" s="935">
        <v>38.46</v>
      </c>
      <c r="AC177" s="935">
        <v>39.950000000000003</v>
      </c>
      <c r="AD177" s="935">
        <v>41.52</v>
      </c>
      <c r="AE177" s="974">
        <v>2.9000000000000001E-2</v>
      </c>
      <c r="AF177" s="935"/>
      <c r="AG177" s="935"/>
      <c r="AH177" s="935"/>
      <c r="AI177" s="935"/>
      <c r="AJ177" s="935"/>
      <c r="AK177" s="935"/>
      <c r="AL177" s="935"/>
      <c r="AM177" s="935"/>
      <c r="AN177" s="935"/>
      <c r="AO177" s="935"/>
      <c r="AP177" s="935"/>
      <c r="AQ177" s="935"/>
      <c r="AR177" s="935"/>
      <c r="AS177" s="935"/>
      <c r="AT177" s="935"/>
      <c r="AU177" s="935"/>
      <c r="AV177" s="935"/>
      <c r="AW177" s="935"/>
      <c r="AX177" s="935"/>
      <c r="AY177" s="935"/>
      <c r="AZ177" s="935"/>
      <c r="BA177" s="935"/>
      <c r="BB177" s="935"/>
      <c r="BC177" s="935"/>
      <c r="BD177" s="935"/>
      <c r="BE177" s="935"/>
      <c r="BF177" s="935"/>
      <c r="BG177" s="935"/>
      <c r="BH177" s="935"/>
      <c r="BI177" s="935"/>
      <c r="BJ177" s="935"/>
      <c r="BK177" s="935"/>
      <c r="BL177" s="935"/>
      <c r="BM177" s="935"/>
      <c r="BN177" s="935"/>
      <c r="BO177" s="935"/>
      <c r="BP177" s="935"/>
      <c r="BQ177" s="935"/>
      <c r="BR177" s="935"/>
      <c r="BS177" s="935"/>
      <c r="BT177" s="935"/>
    </row>
    <row r="178" spans="1:72" x14ac:dyDescent="0.25">
      <c r="A178" s="935" t="s">
        <v>611</v>
      </c>
      <c r="B178" s="935">
        <v>8.84</v>
      </c>
      <c r="C178" s="935">
        <v>14.56</v>
      </c>
      <c r="D178" s="935">
        <v>8.92</v>
      </c>
      <c r="E178" s="935">
        <v>12.37</v>
      </c>
      <c r="F178" s="935">
        <v>12.7</v>
      </c>
      <c r="G178" s="935">
        <v>14.13</v>
      </c>
      <c r="H178" s="935">
        <v>15.48</v>
      </c>
      <c r="I178" s="935">
        <v>16.55</v>
      </c>
      <c r="J178" s="935">
        <v>17.3</v>
      </c>
      <c r="K178" s="935">
        <v>18.07</v>
      </c>
      <c r="L178" s="935">
        <v>19.010000000000002</v>
      </c>
      <c r="M178" s="935">
        <v>19.88</v>
      </c>
      <c r="N178" s="935">
        <v>20.54</v>
      </c>
      <c r="O178" s="935">
        <v>21.05</v>
      </c>
      <c r="P178" s="935">
        <v>21.8</v>
      </c>
      <c r="Q178" s="935">
        <v>22.48</v>
      </c>
      <c r="R178" s="935">
        <v>23.26</v>
      </c>
      <c r="S178" s="935">
        <v>24.05</v>
      </c>
      <c r="T178" s="935">
        <v>24.83</v>
      </c>
      <c r="U178" s="935">
        <v>25.46</v>
      </c>
      <c r="V178" s="935">
        <v>26.42</v>
      </c>
      <c r="W178" s="935">
        <v>27.37</v>
      </c>
      <c r="X178" s="935">
        <v>28.4</v>
      </c>
      <c r="Y178" s="935">
        <v>29.5</v>
      </c>
      <c r="Z178" s="935">
        <v>30.7</v>
      </c>
      <c r="AA178" s="935">
        <v>31.85</v>
      </c>
      <c r="AB178" s="935">
        <v>32.92</v>
      </c>
      <c r="AC178" s="935">
        <v>34.19</v>
      </c>
      <c r="AD178" s="935">
        <v>35.49</v>
      </c>
      <c r="AE178" s="974">
        <v>3.4000000000000002E-2</v>
      </c>
      <c r="AF178" s="935"/>
      <c r="AG178" s="935"/>
      <c r="AH178" s="935"/>
      <c r="AI178" s="935"/>
      <c r="AJ178" s="935"/>
      <c r="AK178" s="935"/>
      <c r="AL178" s="935"/>
      <c r="AM178" s="935"/>
      <c r="AN178" s="935"/>
      <c r="AO178" s="935"/>
      <c r="AP178" s="935"/>
      <c r="AQ178" s="935"/>
      <c r="AR178" s="935"/>
      <c r="AS178" s="935"/>
      <c r="AT178" s="935"/>
      <c r="AU178" s="935"/>
      <c r="AV178" s="935"/>
      <c r="AW178" s="935"/>
      <c r="AX178" s="935"/>
      <c r="AY178" s="935"/>
      <c r="AZ178" s="935"/>
      <c r="BA178" s="935"/>
      <c r="BB178" s="935"/>
      <c r="BC178" s="935"/>
      <c r="BD178" s="935"/>
      <c r="BE178" s="935"/>
      <c r="BF178" s="935"/>
      <c r="BG178" s="935"/>
      <c r="BH178" s="935"/>
      <c r="BI178" s="935"/>
      <c r="BJ178" s="935"/>
      <c r="BK178" s="935"/>
      <c r="BL178" s="935"/>
      <c r="BM178" s="935"/>
      <c r="BN178" s="935"/>
      <c r="BO178" s="935"/>
      <c r="BP178" s="935"/>
      <c r="BQ178" s="935"/>
      <c r="BR178" s="935"/>
      <c r="BS178" s="935"/>
      <c r="BT178" s="935"/>
    </row>
    <row r="179" spans="1:72" x14ac:dyDescent="0.25">
      <c r="A179" s="935" t="s">
        <v>510</v>
      </c>
      <c r="B179" s="935">
        <v>7.1</v>
      </c>
      <c r="C179" s="935">
        <v>9.09</v>
      </c>
      <c r="D179" s="935">
        <v>4.2</v>
      </c>
      <c r="E179" s="935">
        <v>4.99</v>
      </c>
      <c r="F179" s="935">
        <v>6.07</v>
      </c>
      <c r="G179" s="935">
        <v>6.53</v>
      </c>
      <c r="H179" s="935">
        <v>6.4</v>
      </c>
      <c r="I179" s="935">
        <v>6.47</v>
      </c>
      <c r="J179" s="935">
        <v>6.77</v>
      </c>
      <c r="K179" s="935">
        <v>6.99</v>
      </c>
      <c r="L179" s="935">
        <v>7.13</v>
      </c>
      <c r="M179" s="935">
        <v>7.32</v>
      </c>
      <c r="N179" s="935">
        <v>7.53</v>
      </c>
      <c r="O179" s="935">
        <v>7.85</v>
      </c>
      <c r="P179" s="935">
        <v>8.1300000000000008</v>
      </c>
      <c r="Q179" s="935">
        <v>8.5399999999999991</v>
      </c>
      <c r="R179" s="935">
        <v>8.7799999999999994</v>
      </c>
      <c r="S179" s="935">
        <v>8.91</v>
      </c>
      <c r="T179" s="935">
        <v>9.17</v>
      </c>
      <c r="U179" s="935">
        <v>9.57</v>
      </c>
      <c r="V179" s="935">
        <v>9.9700000000000006</v>
      </c>
      <c r="W179" s="935">
        <v>10.51</v>
      </c>
      <c r="X179" s="935">
        <v>11.09</v>
      </c>
      <c r="Y179" s="935">
        <v>11.66</v>
      </c>
      <c r="Z179" s="935">
        <v>12.38</v>
      </c>
      <c r="AA179" s="935">
        <v>12.84</v>
      </c>
      <c r="AB179" s="935">
        <v>13.16</v>
      </c>
      <c r="AC179" s="935">
        <v>13.75</v>
      </c>
      <c r="AD179" s="935">
        <v>14.22</v>
      </c>
      <c r="AE179" s="974">
        <v>1.7000000000000001E-2</v>
      </c>
      <c r="AF179" s="935"/>
      <c r="AG179" s="935"/>
      <c r="AH179" s="935"/>
      <c r="AI179" s="935"/>
      <c r="AJ179" s="935"/>
      <c r="AK179" s="935"/>
      <c r="AL179" s="935"/>
      <c r="AM179" s="935"/>
      <c r="AN179" s="935"/>
      <c r="AO179" s="935"/>
      <c r="AP179" s="935"/>
      <c r="AQ179" s="935"/>
      <c r="AR179" s="935"/>
      <c r="AS179" s="935"/>
      <c r="AT179" s="935"/>
      <c r="AU179" s="935"/>
      <c r="AV179" s="935"/>
      <c r="AW179" s="935"/>
      <c r="AX179" s="935"/>
      <c r="AY179" s="935"/>
      <c r="AZ179" s="935"/>
      <c r="BA179" s="935"/>
      <c r="BB179" s="935"/>
      <c r="BC179" s="935"/>
      <c r="BD179" s="935"/>
      <c r="BE179" s="935"/>
      <c r="BF179" s="935"/>
      <c r="BG179" s="935"/>
      <c r="BH179" s="935"/>
      <c r="BI179" s="935"/>
      <c r="BJ179" s="935"/>
      <c r="BK179" s="935"/>
      <c r="BL179" s="935"/>
      <c r="BM179" s="935"/>
      <c r="BN179" s="935"/>
      <c r="BO179" s="935"/>
      <c r="BP179" s="935"/>
      <c r="BQ179" s="935"/>
      <c r="BR179" s="935"/>
      <c r="BS179" s="935"/>
      <c r="BT179" s="935"/>
    </row>
    <row r="180" spans="1:72" x14ac:dyDescent="0.25">
      <c r="A180" s="935" t="s">
        <v>624</v>
      </c>
      <c r="B180" s="935">
        <v>1.76</v>
      </c>
      <c r="C180" s="935">
        <v>2.0499999999999998</v>
      </c>
      <c r="D180" s="935">
        <v>2.1800000000000002</v>
      </c>
      <c r="E180" s="935">
        <v>2.0499999999999998</v>
      </c>
      <c r="F180" s="935">
        <v>2.0699999999999998</v>
      </c>
      <c r="G180" s="935">
        <v>2.1</v>
      </c>
      <c r="H180" s="935">
        <v>2.15</v>
      </c>
      <c r="I180" s="935">
        <v>2.19</v>
      </c>
      <c r="J180" s="935">
        <v>2.2400000000000002</v>
      </c>
      <c r="K180" s="935">
        <v>2.2599999999999998</v>
      </c>
      <c r="L180" s="935">
        <v>2.31</v>
      </c>
      <c r="M180" s="935">
        <v>2.34</v>
      </c>
      <c r="N180" s="935">
        <v>2.38</v>
      </c>
      <c r="O180" s="935">
        <v>2.42</v>
      </c>
      <c r="P180" s="935">
        <v>2.4700000000000002</v>
      </c>
      <c r="Q180" s="935">
        <v>2.54</v>
      </c>
      <c r="R180" s="935">
        <v>2.59</v>
      </c>
      <c r="S180" s="935">
        <v>2.65</v>
      </c>
      <c r="T180" s="935">
        <v>2.69</v>
      </c>
      <c r="U180" s="935">
        <v>2.77</v>
      </c>
      <c r="V180" s="935">
        <v>2.82</v>
      </c>
      <c r="W180" s="935">
        <v>2.9</v>
      </c>
      <c r="X180" s="935">
        <v>2.98</v>
      </c>
      <c r="Y180" s="935">
        <v>3.06</v>
      </c>
      <c r="Z180" s="935">
        <v>3.15</v>
      </c>
      <c r="AA180" s="935">
        <v>3.23</v>
      </c>
      <c r="AB180" s="935">
        <v>3.32</v>
      </c>
      <c r="AC180" s="935">
        <v>3.41</v>
      </c>
      <c r="AD180" s="935">
        <v>3.51</v>
      </c>
      <c r="AE180" s="974">
        <v>0.02</v>
      </c>
      <c r="AF180" s="935"/>
      <c r="AG180" s="935"/>
      <c r="AH180" s="935"/>
      <c r="AI180" s="935"/>
      <c r="AJ180" s="935"/>
      <c r="AK180" s="935"/>
      <c r="AL180" s="935"/>
      <c r="AM180" s="935"/>
      <c r="AN180" s="935"/>
      <c r="AO180" s="935"/>
      <c r="AP180" s="935"/>
      <c r="AQ180" s="935"/>
      <c r="AR180" s="935"/>
      <c r="AS180" s="935"/>
      <c r="AT180" s="935"/>
      <c r="AU180" s="935"/>
      <c r="AV180" s="935"/>
      <c r="AW180" s="935"/>
      <c r="AX180" s="935"/>
      <c r="AY180" s="935"/>
      <c r="AZ180" s="935"/>
      <c r="BA180" s="935"/>
      <c r="BB180" s="935"/>
      <c r="BC180" s="935"/>
      <c r="BD180" s="935"/>
      <c r="BE180" s="935"/>
      <c r="BF180" s="935"/>
      <c r="BG180" s="935"/>
      <c r="BH180" s="935"/>
      <c r="BI180" s="935"/>
      <c r="BJ180" s="935"/>
      <c r="BK180" s="935"/>
      <c r="BL180" s="935"/>
      <c r="BM180" s="935"/>
      <c r="BN180" s="935"/>
      <c r="BO180" s="935"/>
      <c r="BP180" s="935"/>
      <c r="BQ180" s="935"/>
      <c r="BR180" s="935"/>
      <c r="BS180" s="935"/>
      <c r="BT180" s="935"/>
    </row>
    <row r="181" spans="1:72" x14ac:dyDescent="0.25">
      <c r="A181" s="935"/>
      <c r="B181" s="935"/>
      <c r="C181" s="935"/>
      <c r="D181" s="935"/>
      <c r="E181" s="935"/>
      <c r="F181" s="935"/>
      <c r="G181" s="935"/>
      <c r="H181" s="935"/>
      <c r="I181" s="935"/>
      <c r="J181" s="935"/>
      <c r="K181" s="935"/>
      <c r="L181" s="935"/>
      <c r="M181" s="935"/>
      <c r="N181" s="935"/>
      <c r="O181" s="935"/>
      <c r="P181" s="935"/>
      <c r="Q181" s="935"/>
      <c r="R181" s="935"/>
      <c r="S181" s="935"/>
      <c r="T181" s="935"/>
      <c r="U181" s="935"/>
      <c r="V181" s="935"/>
      <c r="W181" s="935"/>
      <c r="X181" s="935"/>
      <c r="Y181" s="935"/>
      <c r="Z181" s="935"/>
      <c r="AA181" s="935"/>
      <c r="AB181" s="935"/>
      <c r="AC181" s="935"/>
      <c r="AD181" s="935"/>
      <c r="AE181" s="935"/>
      <c r="AF181" s="935"/>
      <c r="AG181" s="935"/>
      <c r="AH181" s="935"/>
      <c r="AI181" s="935"/>
      <c r="AJ181" s="935"/>
      <c r="AK181" s="935"/>
      <c r="AL181" s="935"/>
      <c r="AM181" s="935"/>
      <c r="AN181" s="935"/>
      <c r="AO181" s="935"/>
      <c r="AP181" s="935"/>
      <c r="AQ181" s="935"/>
      <c r="AR181" s="935"/>
      <c r="AS181" s="935"/>
      <c r="AT181" s="935"/>
      <c r="AU181" s="935"/>
      <c r="AV181" s="935"/>
      <c r="AW181" s="935"/>
      <c r="AX181" s="935"/>
      <c r="AY181" s="935"/>
      <c r="AZ181" s="935"/>
      <c r="BA181" s="935"/>
      <c r="BB181" s="935"/>
      <c r="BC181" s="935"/>
      <c r="BD181" s="935"/>
      <c r="BE181" s="935"/>
      <c r="BF181" s="935"/>
      <c r="BG181" s="935"/>
      <c r="BH181" s="935"/>
      <c r="BI181" s="935"/>
      <c r="BJ181" s="935"/>
      <c r="BK181" s="935"/>
      <c r="BL181" s="935"/>
      <c r="BM181" s="935"/>
      <c r="BN181" s="935"/>
      <c r="BO181" s="935"/>
      <c r="BP181" s="935"/>
      <c r="BQ181" s="935"/>
      <c r="BR181" s="935"/>
      <c r="BS181" s="935"/>
      <c r="BT181" s="935"/>
    </row>
    <row r="182" spans="1:72" x14ac:dyDescent="0.25">
      <c r="A182" s="935" t="s">
        <v>625</v>
      </c>
      <c r="B182" s="935"/>
      <c r="C182" s="935"/>
      <c r="D182" s="935"/>
      <c r="E182" s="935"/>
      <c r="F182" s="935"/>
      <c r="G182" s="935"/>
      <c r="H182" s="935"/>
      <c r="I182" s="935"/>
      <c r="J182" s="935"/>
      <c r="K182" s="935"/>
      <c r="L182" s="935"/>
      <c r="M182" s="935"/>
      <c r="N182" s="935"/>
      <c r="O182" s="935"/>
      <c r="P182" s="935"/>
      <c r="Q182" s="935"/>
      <c r="R182" s="935"/>
      <c r="S182" s="935"/>
      <c r="T182" s="935"/>
      <c r="U182" s="935"/>
      <c r="V182" s="935"/>
      <c r="W182" s="935"/>
      <c r="X182" s="935"/>
      <c r="Y182" s="935"/>
      <c r="Z182" s="935"/>
      <c r="AA182" s="935"/>
      <c r="AB182" s="935"/>
      <c r="AC182" s="935"/>
      <c r="AD182" s="935"/>
      <c r="AE182" s="935"/>
      <c r="AF182" s="935"/>
      <c r="AG182" s="935"/>
      <c r="AH182" s="935"/>
      <c r="AI182" s="935"/>
      <c r="AJ182" s="935"/>
      <c r="AK182" s="935"/>
      <c r="AL182" s="935"/>
      <c r="AM182" s="935"/>
      <c r="AN182" s="935"/>
      <c r="AO182" s="935"/>
      <c r="AP182" s="935"/>
      <c r="AQ182" s="935"/>
      <c r="AR182" s="935"/>
      <c r="AS182" s="935"/>
      <c r="AT182" s="935"/>
      <c r="AU182" s="935"/>
      <c r="AV182" s="935"/>
      <c r="AW182" s="935"/>
      <c r="AX182" s="935"/>
      <c r="AY182" s="935"/>
      <c r="AZ182" s="935"/>
      <c r="BA182" s="935"/>
      <c r="BB182" s="935"/>
      <c r="BC182" s="935"/>
      <c r="BD182" s="935"/>
      <c r="BE182" s="935"/>
      <c r="BF182" s="935"/>
      <c r="BG182" s="935"/>
      <c r="BH182" s="935"/>
      <c r="BI182" s="935"/>
      <c r="BJ182" s="935"/>
      <c r="BK182" s="935"/>
      <c r="BL182" s="935"/>
      <c r="BM182" s="935"/>
      <c r="BN182" s="935"/>
      <c r="BO182" s="935"/>
      <c r="BP182" s="935"/>
      <c r="BQ182" s="935"/>
      <c r="BR182" s="935"/>
      <c r="BS182" s="935"/>
      <c r="BT182" s="935"/>
    </row>
    <row r="183" spans="1:72" x14ac:dyDescent="0.25">
      <c r="A183" s="935" t="s">
        <v>609</v>
      </c>
      <c r="B183" s="935">
        <v>18.53</v>
      </c>
      <c r="C183" s="935">
        <v>20.190000000000001</v>
      </c>
      <c r="D183" s="935">
        <v>18.64</v>
      </c>
      <c r="E183" s="935">
        <v>17.36</v>
      </c>
      <c r="F183" s="935">
        <v>17.61</v>
      </c>
      <c r="G183" s="935">
        <v>18.920000000000002</v>
      </c>
      <c r="H183" s="935">
        <v>20.43</v>
      </c>
      <c r="I183" s="935">
        <v>21.72</v>
      </c>
      <c r="J183" s="935">
        <v>22.62</v>
      </c>
      <c r="K183" s="935">
        <v>23.64</v>
      </c>
      <c r="L183" s="935">
        <v>24.56</v>
      </c>
      <c r="M183" s="935">
        <v>25.55</v>
      </c>
      <c r="N183" s="935">
        <v>26.28</v>
      </c>
      <c r="O183" s="935">
        <v>27.06</v>
      </c>
      <c r="P183" s="935">
        <v>27.91</v>
      </c>
      <c r="Q183" s="935">
        <v>28.78</v>
      </c>
      <c r="R183" s="935">
        <v>29.75</v>
      </c>
      <c r="S183" s="935">
        <v>30.7</v>
      </c>
      <c r="T183" s="935">
        <v>31.68</v>
      </c>
      <c r="U183" s="935">
        <v>32.54</v>
      </c>
      <c r="V183" s="935">
        <v>33.6</v>
      </c>
      <c r="W183" s="935">
        <v>34.69</v>
      </c>
      <c r="X183" s="935">
        <v>35.950000000000003</v>
      </c>
      <c r="Y183" s="935">
        <v>37.049999999999997</v>
      </c>
      <c r="Z183" s="935">
        <v>38.44</v>
      </c>
      <c r="AA183" s="935">
        <v>39.83</v>
      </c>
      <c r="AB183" s="935">
        <v>41.29</v>
      </c>
      <c r="AC183" s="935">
        <v>42.77</v>
      </c>
      <c r="AD183" s="935">
        <v>44.32</v>
      </c>
      <c r="AE183" s="974">
        <v>0.03</v>
      </c>
      <c r="AF183" s="935"/>
      <c r="AG183" s="935"/>
      <c r="AH183" s="935"/>
      <c r="AI183" s="935"/>
      <c r="AJ183" s="935"/>
      <c r="AK183" s="935"/>
      <c r="AL183" s="935"/>
      <c r="AM183" s="935"/>
      <c r="AN183" s="935"/>
      <c r="AO183" s="935"/>
      <c r="AP183" s="935"/>
      <c r="AQ183" s="935"/>
      <c r="AR183" s="935"/>
      <c r="AS183" s="935"/>
      <c r="AT183" s="935"/>
      <c r="AU183" s="935"/>
      <c r="AV183" s="935"/>
      <c r="AW183" s="935"/>
      <c r="AX183" s="935"/>
      <c r="AY183" s="935"/>
      <c r="AZ183" s="935"/>
      <c r="BA183" s="935"/>
      <c r="BB183" s="935"/>
      <c r="BC183" s="935"/>
      <c r="BD183" s="935"/>
      <c r="BE183" s="935"/>
      <c r="BF183" s="935"/>
      <c r="BG183" s="935"/>
      <c r="BH183" s="935"/>
      <c r="BI183" s="935"/>
      <c r="BJ183" s="935"/>
      <c r="BK183" s="935"/>
      <c r="BL183" s="935"/>
      <c r="BM183" s="935"/>
      <c r="BN183" s="935"/>
      <c r="BO183" s="935"/>
      <c r="BP183" s="935"/>
      <c r="BQ183" s="935"/>
      <c r="BR183" s="935"/>
      <c r="BS183" s="935"/>
      <c r="BT183" s="935"/>
    </row>
    <row r="184" spans="1:72" x14ac:dyDescent="0.25">
      <c r="A184" s="935" t="s">
        <v>618</v>
      </c>
      <c r="B184" s="935">
        <v>26.83</v>
      </c>
      <c r="C184" s="935">
        <v>26.93</v>
      </c>
      <c r="D184" s="935">
        <v>23.64</v>
      </c>
      <c r="E184" s="935">
        <v>21.26</v>
      </c>
      <c r="F184" s="935">
        <v>21.89</v>
      </c>
      <c r="G184" s="935">
        <v>23.43</v>
      </c>
      <c r="H184" s="935">
        <v>26.07</v>
      </c>
      <c r="I184" s="935">
        <v>27.64</v>
      </c>
      <c r="J184" s="935">
        <v>28.47</v>
      </c>
      <c r="K184" s="935">
        <v>28.45</v>
      </c>
      <c r="L184" s="935">
        <v>29.92</v>
      </c>
      <c r="M184" s="935">
        <v>31.23</v>
      </c>
      <c r="N184" s="935">
        <v>31.97</v>
      </c>
      <c r="O184" s="935">
        <v>32.94</v>
      </c>
      <c r="P184" s="935">
        <v>34.090000000000003</v>
      </c>
      <c r="Q184" s="935">
        <v>35.479999999999997</v>
      </c>
      <c r="R184" s="935">
        <v>36.880000000000003</v>
      </c>
      <c r="S184" s="935">
        <v>37.979999999999997</v>
      </c>
      <c r="T184" s="935">
        <v>39.17</v>
      </c>
      <c r="U184" s="935">
        <v>40.479999999999997</v>
      </c>
      <c r="V184" s="935">
        <v>41.72</v>
      </c>
      <c r="W184" s="935">
        <v>43.4</v>
      </c>
      <c r="X184" s="935">
        <v>44.96</v>
      </c>
      <c r="Y184" s="935">
        <v>46.25</v>
      </c>
      <c r="Z184" s="935">
        <v>47.62</v>
      </c>
      <c r="AA184" s="935">
        <v>49.36</v>
      </c>
      <c r="AB184" s="935">
        <v>50.75</v>
      </c>
      <c r="AC184" s="935">
        <v>52.29</v>
      </c>
      <c r="AD184" s="935">
        <v>54.17</v>
      </c>
      <c r="AE184" s="974">
        <v>2.5999999999999999E-2</v>
      </c>
      <c r="AF184" s="935"/>
      <c r="AG184" s="935"/>
      <c r="AH184" s="935"/>
      <c r="AI184" s="935"/>
      <c r="AJ184" s="935"/>
      <c r="AK184" s="935"/>
      <c r="AL184" s="935"/>
      <c r="AM184" s="935"/>
      <c r="AN184" s="935"/>
      <c r="AO184" s="935"/>
      <c r="AP184" s="935"/>
      <c r="AQ184" s="935"/>
      <c r="AR184" s="935"/>
      <c r="AS184" s="935"/>
      <c r="AT184" s="935"/>
      <c r="AU184" s="935"/>
      <c r="AV184" s="935"/>
      <c r="AW184" s="935"/>
      <c r="AX184" s="935"/>
      <c r="AY184" s="935"/>
      <c r="AZ184" s="935"/>
      <c r="BA184" s="935"/>
      <c r="BB184" s="935"/>
      <c r="BC184" s="935"/>
      <c r="BD184" s="935"/>
      <c r="BE184" s="935"/>
      <c r="BF184" s="935"/>
      <c r="BG184" s="935"/>
      <c r="BH184" s="935"/>
      <c r="BI184" s="935"/>
      <c r="BJ184" s="935"/>
      <c r="BK184" s="935"/>
      <c r="BL184" s="935"/>
      <c r="BM184" s="935"/>
      <c r="BN184" s="935"/>
      <c r="BO184" s="935"/>
      <c r="BP184" s="935"/>
      <c r="BQ184" s="935"/>
      <c r="BR184" s="935"/>
      <c r="BS184" s="935"/>
      <c r="BT184" s="935"/>
    </row>
    <row r="185" spans="1:72" x14ac:dyDescent="0.25">
      <c r="A185" s="935" t="s">
        <v>619</v>
      </c>
      <c r="B185" s="935">
        <v>23.03</v>
      </c>
      <c r="C185" s="935">
        <v>26.54</v>
      </c>
      <c r="D185" s="935">
        <v>19.440000000000001</v>
      </c>
      <c r="E185" s="935">
        <v>21.17</v>
      </c>
      <c r="F185" s="935">
        <v>21.79</v>
      </c>
      <c r="G185" s="935">
        <v>23.32</v>
      </c>
      <c r="H185" s="935">
        <v>25.87</v>
      </c>
      <c r="I185" s="935">
        <v>27.33</v>
      </c>
      <c r="J185" s="935">
        <v>28.27</v>
      </c>
      <c r="K185" s="935">
        <v>29.42</v>
      </c>
      <c r="L185" s="935">
        <v>30.58</v>
      </c>
      <c r="M185" s="935">
        <v>31.64</v>
      </c>
      <c r="N185" s="935">
        <v>32.6</v>
      </c>
      <c r="O185" s="935">
        <v>33.71</v>
      </c>
      <c r="P185" s="935">
        <v>34.71</v>
      </c>
      <c r="Q185" s="935">
        <v>35.93</v>
      </c>
      <c r="R185" s="935">
        <v>37.020000000000003</v>
      </c>
      <c r="S185" s="935">
        <v>37.950000000000003</v>
      </c>
      <c r="T185" s="935">
        <v>39.17</v>
      </c>
      <c r="U185" s="935">
        <v>40.43</v>
      </c>
      <c r="V185" s="935">
        <v>41.68</v>
      </c>
      <c r="W185" s="935">
        <v>43.21</v>
      </c>
      <c r="X185" s="935">
        <v>44.69</v>
      </c>
      <c r="Y185" s="935">
        <v>45.9</v>
      </c>
      <c r="Z185" s="935">
        <v>47.46</v>
      </c>
      <c r="AA185" s="935">
        <v>49.15</v>
      </c>
      <c r="AB185" s="935">
        <v>50.65</v>
      </c>
      <c r="AC185" s="935">
        <v>52.35</v>
      </c>
      <c r="AD185" s="935">
        <v>54.32</v>
      </c>
      <c r="AE185" s="974">
        <v>2.7E-2</v>
      </c>
      <c r="AF185" s="935"/>
      <c r="AG185" s="935"/>
      <c r="AH185" s="935"/>
      <c r="AI185" s="935"/>
      <c r="AJ185" s="935"/>
      <c r="AK185" s="935"/>
      <c r="AL185" s="935"/>
      <c r="AM185" s="935"/>
      <c r="AN185" s="935"/>
      <c r="AO185" s="935"/>
      <c r="AP185" s="935"/>
      <c r="AQ185" s="935"/>
      <c r="AR185" s="935"/>
      <c r="AS185" s="935"/>
      <c r="AT185" s="935"/>
      <c r="AU185" s="935"/>
      <c r="AV185" s="935"/>
      <c r="AW185" s="935"/>
      <c r="AX185" s="935"/>
      <c r="AY185" s="935"/>
      <c r="AZ185" s="935"/>
      <c r="BA185" s="935"/>
      <c r="BB185" s="935"/>
      <c r="BC185" s="935"/>
      <c r="BD185" s="935"/>
      <c r="BE185" s="935"/>
      <c r="BF185" s="935"/>
      <c r="BG185" s="935"/>
      <c r="BH185" s="935"/>
      <c r="BI185" s="935"/>
      <c r="BJ185" s="935"/>
      <c r="BK185" s="935"/>
      <c r="BL185" s="935"/>
      <c r="BM185" s="935"/>
      <c r="BN185" s="935"/>
      <c r="BO185" s="935"/>
      <c r="BP185" s="935"/>
      <c r="BQ185" s="935"/>
      <c r="BR185" s="935"/>
      <c r="BS185" s="935"/>
      <c r="BT185" s="935"/>
    </row>
    <row r="186" spans="1:72" x14ac:dyDescent="0.25">
      <c r="A186" s="935" t="s">
        <v>626</v>
      </c>
      <c r="B186" s="935">
        <v>15.42</v>
      </c>
      <c r="C186" s="935">
        <v>22.71</v>
      </c>
      <c r="D186" s="935">
        <v>12.92</v>
      </c>
      <c r="E186" s="935">
        <v>15.23</v>
      </c>
      <c r="F186" s="935">
        <v>15.82</v>
      </c>
      <c r="G186" s="935">
        <v>17.510000000000002</v>
      </c>
      <c r="H186" s="935">
        <v>19.05</v>
      </c>
      <c r="I186" s="935">
        <v>20.23</v>
      </c>
      <c r="J186" s="935">
        <v>21.21</v>
      </c>
      <c r="K186" s="935">
        <v>22.42</v>
      </c>
      <c r="L186" s="935">
        <v>23.58</v>
      </c>
      <c r="M186" s="935">
        <v>24.67</v>
      </c>
      <c r="N186" s="935">
        <v>25.58</v>
      </c>
      <c r="O186" s="935">
        <v>26.51</v>
      </c>
      <c r="P186" s="935">
        <v>27.27</v>
      </c>
      <c r="Q186" s="935">
        <v>28.18</v>
      </c>
      <c r="R186" s="935">
        <v>29.2</v>
      </c>
      <c r="S186" s="935">
        <v>30.07</v>
      </c>
      <c r="T186" s="935">
        <v>31.1</v>
      </c>
      <c r="U186" s="935">
        <v>32.130000000000003</v>
      </c>
      <c r="V186" s="935">
        <v>33.21</v>
      </c>
      <c r="W186" s="935">
        <v>34.54</v>
      </c>
      <c r="X186" s="935">
        <v>35.83</v>
      </c>
      <c r="Y186" s="935">
        <v>36.99</v>
      </c>
      <c r="Z186" s="935">
        <v>38.42</v>
      </c>
      <c r="AA186" s="935">
        <v>39.92</v>
      </c>
      <c r="AB186" s="935">
        <v>41.32</v>
      </c>
      <c r="AC186" s="935">
        <v>42.87</v>
      </c>
      <c r="AD186" s="935">
        <v>44.51</v>
      </c>
      <c r="AE186" s="974">
        <v>2.5000000000000001E-2</v>
      </c>
      <c r="AF186" s="935"/>
      <c r="AG186" s="935"/>
      <c r="AH186" s="935"/>
      <c r="AI186" s="935"/>
      <c r="AJ186" s="935"/>
      <c r="AK186" s="935"/>
      <c r="AL186" s="935"/>
      <c r="AM186" s="935"/>
      <c r="AN186" s="935"/>
      <c r="AO186" s="935"/>
      <c r="AP186" s="935"/>
      <c r="AQ186" s="935"/>
      <c r="AR186" s="935"/>
      <c r="AS186" s="935"/>
      <c r="AT186" s="935"/>
      <c r="AU186" s="935"/>
      <c r="AV186" s="935"/>
      <c r="AW186" s="935"/>
      <c r="AX186" s="935"/>
      <c r="AY186" s="935"/>
      <c r="AZ186" s="935"/>
      <c r="BA186" s="935"/>
      <c r="BB186" s="935"/>
      <c r="BC186" s="935"/>
      <c r="BD186" s="935"/>
      <c r="BE186" s="935"/>
      <c r="BF186" s="935"/>
      <c r="BG186" s="935"/>
      <c r="BH186" s="935"/>
      <c r="BI186" s="935"/>
      <c r="BJ186" s="935"/>
      <c r="BK186" s="935"/>
      <c r="BL186" s="935"/>
      <c r="BM186" s="935"/>
      <c r="BN186" s="935"/>
      <c r="BO186" s="935"/>
      <c r="BP186" s="935"/>
      <c r="BQ186" s="935"/>
      <c r="BR186" s="935"/>
      <c r="BS186" s="935"/>
      <c r="BT186" s="935"/>
    </row>
    <row r="187" spans="1:72" x14ac:dyDescent="0.25">
      <c r="A187" s="935" t="s">
        <v>610</v>
      </c>
      <c r="B187" s="935">
        <v>20.260000000000002</v>
      </c>
      <c r="C187" s="935">
        <v>26.27</v>
      </c>
      <c r="D187" s="935">
        <v>17.73</v>
      </c>
      <c r="E187" s="935">
        <v>18.260000000000002</v>
      </c>
      <c r="F187" s="935">
        <v>18.940000000000001</v>
      </c>
      <c r="G187" s="935">
        <v>20.58</v>
      </c>
      <c r="H187" s="935">
        <v>22.21</v>
      </c>
      <c r="I187" s="935">
        <v>23.39</v>
      </c>
      <c r="J187" s="935">
        <v>24.55</v>
      </c>
      <c r="K187" s="935">
        <v>25.86</v>
      </c>
      <c r="L187" s="935">
        <v>27.09</v>
      </c>
      <c r="M187" s="935">
        <v>28.33</v>
      </c>
      <c r="N187" s="935">
        <v>29.33</v>
      </c>
      <c r="O187" s="935">
        <v>30.3</v>
      </c>
      <c r="P187" s="935">
        <v>31.19</v>
      </c>
      <c r="Q187" s="935">
        <v>32.29</v>
      </c>
      <c r="R187" s="935">
        <v>33.22</v>
      </c>
      <c r="S187" s="935">
        <v>34.04</v>
      </c>
      <c r="T187" s="935">
        <v>35.14</v>
      </c>
      <c r="U187" s="935">
        <v>36.19</v>
      </c>
      <c r="V187" s="935">
        <v>37.31</v>
      </c>
      <c r="W187" s="935">
        <v>38.6</v>
      </c>
      <c r="X187" s="935">
        <v>40.04</v>
      </c>
      <c r="Y187" s="935">
        <v>41.2</v>
      </c>
      <c r="Z187" s="935">
        <v>42.78</v>
      </c>
      <c r="AA187" s="935">
        <v>44.38</v>
      </c>
      <c r="AB187" s="935">
        <v>45.87</v>
      </c>
      <c r="AC187" s="935">
        <v>47.52</v>
      </c>
      <c r="AD187" s="935">
        <v>49.31</v>
      </c>
      <c r="AE187" s="974">
        <v>2.4E-2</v>
      </c>
      <c r="AF187" s="935"/>
      <c r="AG187" s="935"/>
      <c r="AH187" s="935"/>
      <c r="AI187" s="935"/>
      <c r="AJ187" s="935"/>
      <c r="AK187" s="935"/>
      <c r="AL187" s="935"/>
      <c r="AM187" s="935"/>
      <c r="AN187" s="935"/>
      <c r="AO187" s="935"/>
      <c r="AP187" s="935"/>
      <c r="AQ187" s="935"/>
      <c r="AR187" s="935"/>
      <c r="AS187" s="935"/>
      <c r="AT187" s="935"/>
      <c r="AU187" s="935"/>
      <c r="AV187" s="935"/>
      <c r="AW187" s="935"/>
      <c r="AX187" s="935"/>
      <c r="AY187" s="935"/>
      <c r="AZ187" s="935"/>
      <c r="BA187" s="935"/>
      <c r="BB187" s="935"/>
      <c r="BC187" s="935"/>
      <c r="BD187" s="935"/>
      <c r="BE187" s="935"/>
      <c r="BF187" s="935"/>
      <c r="BG187" s="935"/>
      <c r="BH187" s="935"/>
      <c r="BI187" s="935"/>
      <c r="BJ187" s="935"/>
      <c r="BK187" s="935"/>
      <c r="BL187" s="935"/>
      <c r="BM187" s="935"/>
      <c r="BN187" s="935"/>
      <c r="BO187" s="935"/>
      <c r="BP187" s="935"/>
      <c r="BQ187" s="935"/>
      <c r="BR187" s="935"/>
      <c r="BS187" s="935"/>
      <c r="BT187" s="935"/>
    </row>
    <row r="188" spans="1:72" x14ac:dyDescent="0.25">
      <c r="A188" s="935" t="s">
        <v>611</v>
      </c>
      <c r="B188" s="935">
        <v>8.8699999999999992</v>
      </c>
      <c r="C188" s="935">
        <v>14.77</v>
      </c>
      <c r="D188" s="935">
        <v>9.1</v>
      </c>
      <c r="E188" s="935">
        <v>11.22</v>
      </c>
      <c r="F188" s="935">
        <v>11.49</v>
      </c>
      <c r="G188" s="935">
        <v>12.89</v>
      </c>
      <c r="H188" s="935">
        <v>14.14</v>
      </c>
      <c r="I188" s="935">
        <v>15.19</v>
      </c>
      <c r="J188" s="935">
        <v>15.89</v>
      </c>
      <c r="K188" s="935">
        <v>16.600000000000001</v>
      </c>
      <c r="L188" s="935">
        <v>17.5</v>
      </c>
      <c r="M188" s="935">
        <v>18.3</v>
      </c>
      <c r="N188" s="935">
        <v>18.89</v>
      </c>
      <c r="O188" s="935">
        <v>19.329999999999998</v>
      </c>
      <c r="P188" s="935">
        <v>20.03</v>
      </c>
      <c r="Q188" s="935">
        <v>20.64</v>
      </c>
      <c r="R188" s="935">
        <v>21.36</v>
      </c>
      <c r="S188" s="935">
        <v>22.08</v>
      </c>
      <c r="T188" s="935">
        <v>22.8</v>
      </c>
      <c r="U188" s="935">
        <v>23.35</v>
      </c>
      <c r="V188" s="935">
        <v>24.24</v>
      </c>
      <c r="W188" s="935">
        <v>25.11</v>
      </c>
      <c r="X188" s="935">
        <v>26.08</v>
      </c>
      <c r="Y188" s="935">
        <v>27.11</v>
      </c>
      <c r="Z188" s="935">
        <v>28.23</v>
      </c>
      <c r="AA188" s="935">
        <v>29.29</v>
      </c>
      <c r="AB188" s="935">
        <v>30.29</v>
      </c>
      <c r="AC188" s="935">
        <v>31.46</v>
      </c>
      <c r="AD188" s="935">
        <v>32.700000000000003</v>
      </c>
      <c r="AE188" s="974">
        <v>0.03</v>
      </c>
      <c r="AF188" s="935"/>
      <c r="AG188" s="935"/>
      <c r="AH188" s="935"/>
      <c r="AI188" s="935"/>
      <c r="AJ188" s="935"/>
      <c r="AK188" s="935"/>
      <c r="AL188" s="935"/>
      <c r="AM188" s="935"/>
      <c r="AN188" s="935"/>
      <c r="AO188" s="935"/>
      <c r="AP188" s="935"/>
      <c r="AQ188" s="935"/>
      <c r="AR188" s="935"/>
      <c r="AS188" s="935"/>
      <c r="AT188" s="935"/>
      <c r="AU188" s="935"/>
      <c r="AV188" s="935"/>
      <c r="AW188" s="935"/>
      <c r="AX188" s="935"/>
      <c r="AY188" s="935"/>
      <c r="AZ188" s="935"/>
      <c r="BA188" s="935"/>
      <c r="BB188" s="935"/>
      <c r="BC188" s="935"/>
      <c r="BD188" s="935"/>
      <c r="BE188" s="935"/>
      <c r="BF188" s="935"/>
      <c r="BG188" s="935"/>
      <c r="BH188" s="935"/>
      <c r="BI188" s="935"/>
      <c r="BJ188" s="935"/>
      <c r="BK188" s="935"/>
      <c r="BL188" s="935"/>
      <c r="BM188" s="935"/>
      <c r="BN188" s="935"/>
      <c r="BO188" s="935"/>
      <c r="BP188" s="935"/>
      <c r="BQ188" s="935"/>
      <c r="BR188" s="935"/>
      <c r="BS188" s="935"/>
      <c r="BT188" s="935"/>
    </row>
    <row r="189" spans="1:72" x14ac:dyDescent="0.25">
      <c r="A189" s="935" t="s">
        <v>510</v>
      </c>
      <c r="B189" s="935">
        <v>8.99</v>
      </c>
      <c r="C189" s="935">
        <v>10.53</v>
      </c>
      <c r="D189" s="935">
        <v>6.67</v>
      </c>
      <c r="E189" s="935">
        <v>7.08</v>
      </c>
      <c r="F189" s="935">
        <v>8.2100000000000009</v>
      </c>
      <c r="G189" s="935">
        <v>8.68</v>
      </c>
      <c r="H189" s="935">
        <v>8.67</v>
      </c>
      <c r="I189" s="935">
        <v>8.7799999999999994</v>
      </c>
      <c r="J189" s="935">
        <v>9.07</v>
      </c>
      <c r="K189" s="935">
        <v>9.33</v>
      </c>
      <c r="L189" s="935">
        <v>9.5</v>
      </c>
      <c r="M189" s="935">
        <v>9.73</v>
      </c>
      <c r="N189" s="935">
        <v>9.98</v>
      </c>
      <c r="O189" s="935">
        <v>10.32</v>
      </c>
      <c r="P189" s="935">
        <v>10.67</v>
      </c>
      <c r="Q189" s="935">
        <v>11.14</v>
      </c>
      <c r="R189" s="935">
        <v>11.42</v>
      </c>
      <c r="S189" s="935">
        <v>11.55</v>
      </c>
      <c r="T189" s="935">
        <v>11.88</v>
      </c>
      <c r="U189" s="935">
        <v>12.31</v>
      </c>
      <c r="V189" s="935">
        <v>12.79</v>
      </c>
      <c r="W189" s="935">
        <v>13.39</v>
      </c>
      <c r="X189" s="935">
        <v>14.02</v>
      </c>
      <c r="Y189" s="935">
        <v>14.7</v>
      </c>
      <c r="Z189" s="935">
        <v>15.51</v>
      </c>
      <c r="AA189" s="935">
        <v>16.05</v>
      </c>
      <c r="AB189" s="935">
        <v>16.46</v>
      </c>
      <c r="AC189" s="935">
        <v>17.12</v>
      </c>
      <c r="AD189" s="935">
        <v>17.71</v>
      </c>
      <c r="AE189" s="974">
        <v>1.9E-2</v>
      </c>
      <c r="AF189" s="935"/>
      <c r="AG189" s="935"/>
      <c r="AH189" s="935"/>
      <c r="AI189" s="935"/>
      <c r="AJ189" s="935"/>
      <c r="AK189" s="935"/>
      <c r="AL189" s="935"/>
      <c r="AM189" s="935"/>
      <c r="AN189" s="935"/>
      <c r="AO189" s="935"/>
      <c r="AP189" s="935"/>
      <c r="AQ189" s="935"/>
      <c r="AR189" s="935"/>
      <c r="AS189" s="935"/>
      <c r="AT189" s="935"/>
      <c r="AU189" s="935"/>
      <c r="AV189" s="935"/>
      <c r="AW189" s="935"/>
      <c r="AX189" s="935"/>
      <c r="AY189" s="935"/>
      <c r="AZ189" s="935"/>
      <c r="BA189" s="935"/>
      <c r="BB189" s="935"/>
      <c r="BC189" s="935"/>
      <c r="BD189" s="935"/>
      <c r="BE189" s="935"/>
      <c r="BF189" s="935"/>
      <c r="BG189" s="935"/>
      <c r="BH189" s="935"/>
      <c r="BI189" s="935"/>
      <c r="BJ189" s="935"/>
      <c r="BK189" s="935"/>
      <c r="BL189" s="935"/>
      <c r="BM189" s="935"/>
      <c r="BN189" s="935"/>
      <c r="BO189" s="935"/>
      <c r="BP189" s="935"/>
      <c r="BQ189" s="935"/>
      <c r="BR189" s="935"/>
      <c r="BS189" s="935"/>
      <c r="BT189" s="935"/>
    </row>
    <row r="190" spans="1:72" x14ac:dyDescent="0.25">
      <c r="A190" s="935" t="s">
        <v>614</v>
      </c>
      <c r="B190" s="935">
        <v>3.61</v>
      </c>
      <c r="C190" s="935">
        <v>4.49</v>
      </c>
      <c r="D190" s="935">
        <v>4.79</v>
      </c>
      <c r="E190" s="935">
        <v>4.9400000000000004</v>
      </c>
      <c r="F190" s="935">
        <v>5.07</v>
      </c>
      <c r="G190" s="935">
        <v>5.31</v>
      </c>
      <c r="H190" s="935">
        <v>5.44</v>
      </c>
      <c r="I190" s="935">
        <v>5.56</v>
      </c>
      <c r="J190" s="935">
        <v>5.66</v>
      </c>
      <c r="K190" s="935">
        <v>5.77</v>
      </c>
      <c r="L190" s="935">
        <v>5.97</v>
      </c>
      <c r="M190" s="935">
        <v>6.14</v>
      </c>
      <c r="N190" s="935">
        <v>6.34</v>
      </c>
      <c r="O190" s="935">
        <v>6.5</v>
      </c>
      <c r="P190" s="935">
        <v>6.68</v>
      </c>
      <c r="Q190" s="935">
        <v>6.84</v>
      </c>
      <c r="R190" s="935">
        <v>6.98</v>
      </c>
      <c r="S190" s="935">
        <v>7.07</v>
      </c>
      <c r="T190" s="935">
        <v>7.11</v>
      </c>
      <c r="U190" s="935">
        <v>7.15</v>
      </c>
      <c r="V190" s="935">
        <v>7.27</v>
      </c>
      <c r="W190" s="935">
        <v>7.43</v>
      </c>
      <c r="X190" s="935">
        <v>7.55</v>
      </c>
      <c r="Y190" s="935">
        <v>7.72</v>
      </c>
      <c r="Z190" s="935">
        <v>7.86</v>
      </c>
      <c r="AA190" s="935">
        <v>8.02</v>
      </c>
      <c r="AB190" s="935">
        <v>8.18</v>
      </c>
      <c r="AC190" s="935">
        <v>8.33</v>
      </c>
      <c r="AD190" s="935">
        <v>8.5</v>
      </c>
      <c r="AE190" s="974">
        <v>2.4E-2</v>
      </c>
      <c r="AF190" s="935"/>
      <c r="AG190" s="935"/>
      <c r="AH190" s="935"/>
      <c r="AI190" s="935"/>
      <c r="AJ190" s="935"/>
      <c r="AK190" s="935"/>
      <c r="AL190" s="935"/>
      <c r="AM190" s="935"/>
      <c r="AN190" s="935"/>
      <c r="AO190" s="935"/>
      <c r="AP190" s="935"/>
      <c r="AQ190" s="935"/>
      <c r="AR190" s="935"/>
      <c r="AS190" s="935"/>
      <c r="AT190" s="935"/>
      <c r="AU190" s="935"/>
      <c r="AV190" s="935"/>
      <c r="AW190" s="935"/>
      <c r="AX190" s="935"/>
      <c r="AY190" s="935"/>
      <c r="AZ190" s="935"/>
      <c r="BA190" s="935"/>
      <c r="BB190" s="935"/>
      <c r="BC190" s="935"/>
      <c r="BD190" s="935"/>
      <c r="BE190" s="935"/>
      <c r="BF190" s="935"/>
      <c r="BG190" s="935"/>
      <c r="BH190" s="935"/>
      <c r="BI190" s="935"/>
      <c r="BJ190" s="935"/>
      <c r="BK190" s="935"/>
      <c r="BL190" s="935"/>
      <c r="BM190" s="935"/>
      <c r="BN190" s="935"/>
      <c r="BO190" s="935"/>
      <c r="BP190" s="935"/>
      <c r="BQ190" s="935"/>
      <c r="BR190" s="935"/>
      <c r="BS190" s="935"/>
      <c r="BT190" s="935"/>
    </row>
    <row r="191" spans="1:72" x14ac:dyDescent="0.25">
      <c r="A191" s="935" t="s">
        <v>627</v>
      </c>
      <c r="B191" s="935">
        <v>1.8</v>
      </c>
      <c r="C191" s="935">
        <v>2.1</v>
      </c>
      <c r="D191" s="935">
        <v>2.2200000000000002</v>
      </c>
      <c r="E191" s="935">
        <v>2.09</v>
      </c>
      <c r="F191" s="935">
        <v>2.11</v>
      </c>
      <c r="G191" s="935">
        <v>2.14</v>
      </c>
      <c r="H191" s="935">
        <v>2.19</v>
      </c>
      <c r="I191" s="935">
        <v>2.23</v>
      </c>
      <c r="J191" s="935">
        <v>2.2799999999999998</v>
      </c>
      <c r="K191" s="935">
        <v>2.2999999999999998</v>
      </c>
      <c r="L191" s="935">
        <v>2.35</v>
      </c>
      <c r="M191" s="935">
        <v>2.39</v>
      </c>
      <c r="N191" s="935">
        <v>2.4300000000000002</v>
      </c>
      <c r="O191" s="935">
        <v>2.4700000000000002</v>
      </c>
      <c r="P191" s="935">
        <v>2.52</v>
      </c>
      <c r="Q191" s="935">
        <v>2.58</v>
      </c>
      <c r="R191" s="935">
        <v>2.64</v>
      </c>
      <c r="S191" s="935">
        <v>2.69</v>
      </c>
      <c r="T191" s="935">
        <v>2.74</v>
      </c>
      <c r="U191" s="935">
        <v>2.81</v>
      </c>
      <c r="V191" s="935">
        <v>2.87</v>
      </c>
      <c r="W191" s="935">
        <v>2.95</v>
      </c>
      <c r="X191" s="935">
        <v>3.03</v>
      </c>
      <c r="Y191" s="935">
        <v>3.11</v>
      </c>
      <c r="Z191" s="935">
        <v>3.2</v>
      </c>
      <c r="AA191" s="935">
        <v>3.28</v>
      </c>
      <c r="AB191" s="935">
        <v>3.37</v>
      </c>
      <c r="AC191" s="935">
        <v>3.46</v>
      </c>
      <c r="AD191" s="935">
        <v>3.56</v>
      </c>
      <c r="AE191" s="974">
        <v>0.02</v>
      </c>
      <c r="AF191" s="935"/>
      <c r="AG191" s="935"/>
      <c r="AH191" s="935"/>
      <c r="AI191" s="935"/>
      <c r="AJ191" s="935"/>
      <c r="AK191" s="935"/>
      <c r="AL191" s="935"/>
      <c r="AM191" s="935"/>
      <c r="AN191" s="935"/>
      <c r="AO191" s="935"/>
      <c r="AP191" s="935"/>
      <c r="AQ191" s="935"/>
      <c r="AR191" s="935"/>
      <c r="AS191" s="935"/>
      <c r="AT191" s="935"/>
      <c r="AU191" s="935"/>
      <c r="AV191" s="935"/>
      <c r="AW191" s="935"/>
      <c r="AX191" s="935"/>
      <c r="AY191" s="935"/>
      <c r="AZ191" s="935"/>
      <c r="BA191" s="935"/>
      <c r="BB191" s="935"/>
      <c r="BC191" s="935"/>
      <c r="BD191" s="935"/>
      <c r="BE191" s="935"/>
      <c r="BF191" s="935"/>
      <c r="BG191" s="935"/>
      <c r="BH191" s="935"/>
      <c r="BI191" s="935"/>
      <c r="BJ191" s="935"/>
      <c r="BK191" s="935"/>
      <c r="BL191" s="935"/>
      <c r="BM191" s="935"/>
      <c r="BN191" s="935"/>
      <c r="BO191" s="935"/>
      <c r="BP191" s="935"/>
      <c r="BQ191" s="935"/>
      <c r="BR191" s="935"/>
      <c r="BS191" s="935"/>
      <c r="BT191" s="935"/>
    </row>
    <row r="192" spans="1:72" x14ac:dyDescent="0.25">
      <c r="A192" s="935" t="s">
        <v>616</v>
      </c>
      <c r="B192" s="935" t="s">
        <v>788</v>
      </c>
      <c r="C192" s="935" t="s">
        <v>788</v>
      </c>
      <c r="D192" s="935" t="s">
        <v>788</v>
      </c>
      <c r="E192" s="935" t="s">
        <v>788</v>
      </c>
      <c r="F192" s="935">
        <v>1.32</v>
      </c>
      <c r="G192" s="935">
        <v>1.1000000000000001</v>
      </c>
      <c r="H192" s="935">
        <v>1.1200000000000001</v>
      </c>
      <c r="I192" s="935">
        <v>1.55</v>
      </c>
      <c r="J192" s="935">
        <v>1.58</v>
      </c>
      <c r="K192" s="935">
        <v>1.65</v>
      </c>
      <c r="L192" s="935">
        <v>1.72</v>
      </c>
      <c r="M192" s="935">
        <v>1.74</v>
      </c>
      <c r="N192" s="935">
        <v>1.76</v>
      </c>
      <c r="O192" s="935">
        <v>1.79</v>
      </c>
      <c r="P192" s="935">
        <v>1.86</v>
      </c>
      <c r="Q192" s="935">
        <v>1.91</v>
      </c>
      <c r="R192" s="935">
        <v>1.98</v>
      </c>
      <c r="S192" s="935">
        <v>1.99</v>
      </c>
      <c r="T192" s="935">
        <v>2.02</v>
      </c>
      <c r="U192" s="935">
        <v>2.04</v>
      </c>
      <c r="V192" s="935">
        <v>2.0699999999999998</v>
      </c>
      <c r="W192" s="935">
        <v>2.1</v>
      </c>
      <c r="X192" s="935">
        <v>2.13</v>
      </c>
      <c r="Y192" s="935">
        <v>2.1800000000000002</v>
      </c>
      <c r="Z192" s="935">
        <v>2.2200000000000002</v>
      </c>
      <c r="AA192" s="935">
        <v>2.2799999999999998</v>
      </c>
      <c r="AB192" s="935">
        <v>2.35</v>
      </c>
      <c r="AC192" s="935">
        <v>2.44</v>
      </c>
      <c r="AD192" s="935">
        <v>2.5299999999999998</v>
      </c>
      <c r="AE192" s="935" t="s">
        <v>788</v>
      </c>
      <c r="AF192" s="935"/>
      <c r="AG192" s="935"/>
      <c r="AH192" s="935"/>
      <c r="AI192" s="935"/>
      <c r="AJ192" s="935"/>
      <c r="AK192" s="935"/>
      <c r="AL192" s="935"/>
      <c r="AM192" s="935"/>
      <c r="AN192" s="935"/>
      <c r="AO192" s="935"/>
      <c r="AP192" s="935"/>
      <c r="AQ192" s="935"/>
      <c r="AR192" s="935"/>
      <c r="AS192" s="935"/>
      <c r="AT192" s="935"/>
      <c r="AU192" s="935"/>
      <c r="AV192" s="935"/>
      <c r="AW192" s="935"/>
      <c r="AX192" s="935"/>
      <c r="AY192" s="935"/>
      <c r="AZ192" s="935"/>
      <c r="BA192" s="935"/>
      <c r="BB192" s="935"/>
      <c r="BC192" s="935"/>
      <c r="BD192" s="935"/>
      <c r="BE192" s="935"/>
      <c r="BF192" s="935"/>
      <c r="BG192" s="935"/>
      <c r="BH192" s="935"/>
      <c r="BI192" s="935"/>
      <c r="BJ192" s="935"/>
      <c r="BK192" s="935"/>
      <c r="BL192" s="935"/>
      <c r="BM192" s="935"/>
      <c r="BN192" s="935"/>
      <c r="BO192" s="935"/>
      <c r="BP192" s="935"/>
      <c r="BQ192" s="935"/>
      <c r="BR192" s="935"/>
      <c r="BS192" s="935"/>
      <c r="BT192" s="935"/>
    </row>
    <row r="193" spans="1:72" x14ac:dyDescent="0.25">
      <c r="A193" s="935" t="s">
        <v>479</v>
      </c>
      <c r="B193" s="935">
        <v>26.66</v>
      </c>
      <c r="C193" s="935">
        <v>28.81</v>
      </c>
      <c r="D193" s="935">
        <v>28.5</v>
      </c>
      <c r="E193" s="935">
        <v>27.58</v>
      </c>
      <c r="F193" s="935">
        <v>26.29</v>
      </c>
      <c r="G193" s="935">
        <v>27.63</v>
      </c>
      <c r="H193" s="935">
        <v>28.19</v>
      </c>
      <c r="I193" s="935">
        <v>28.46</v>
      </c>
      <c r="J193" s="935">
        <v>28.92</v>
      </c>
      <c r="K193" s="935">
        <v>29.72</v>
      </c>
      <c r="L193" s="935">
        <v>30.45</v>
      </c>
      <c r="M193" s="935">
        <v>31.03</v>
      </c>
      <c r="N193" s="935">
        <v>31.53</v>
      </c>
      <c r="O193" s="935">
        <v>32.4</v>
      </c>
      <c r="P193" s="935">
        <v>33.33</v>
      </c>
      <c r="Q193" s="935">
        <v>34.229999999999997</v>
      </c>
      <c r="R193" s="935">
        <v>35.22</v>
      </c>
      <c r="S193" s="935">
        <v>36.159999999999997</v>
      </c>
      <c r="T193" s="935">
        <v>36.869999999999997</v>
      </c>
      <c r="U193" s="935">
        <v>37.86</v>
      </c>
      <c r="V193" s="935">
        <v>38.94</v>
      </c>
      <c r="W193" s="935">
        <v>40.090000000000003</v>
      </c>
      <c r="X193" s="935">
        <v>41.58</v>
      </c>
      <c r="Y193" s="935">
        <v>43</v>
      </c>
      <c r="Z193" s="935">
        <v>44.53</v>
      </c>
      <c r="AA193" s="935">
        <v>46.07</v>
      </c>
      <c r="AB193" s="935">
        <v>47.34</v>
      </c>
      <c r="AC193" s="935">
        <v>48.78</v>
      </c>
      <c r="AD193" s="935">
        <v>50.19</v>
      </c>
      <c r="AE193" s="974">
        <v>2.1000000000000001E-2</v>
      </c>
      <c r="AF193" s="935"/>
      <c r="AG193" s="935"/>
      <c r="AH193" s="935"/>
      <c r="AI193" s="935"/>
      <c r="AJ193" s="935"/>
      <c r="AK193" s="935"/>
      <c r="AL193" s="935"/>
      <c r="AM193" s="935"/>
      <c r="AN193" s="935"/>
      <c r="AO193" s="935"/>
      <c r="AP193" s="935"/>
      <c r="AQ193" s="935"/>
      <c r="AR193" s="935"/>
      <c r="AS193" s="935"/>
      <c r="AT193" s="935"/>
      <c r="AU193" s="935"/>
      <c r="AV193" s="935"/>
      <c r="AW193" s="935"/>
      <c r="AX193" s="935"/>
      <c r="AY193" s="935"/>
      <c r="AZ193" s="935"/>
      <c r="BA193" s="935"/>
      <c r="BB193" s="935"/>
      <c r="BC193" s="935"/>
      <c r="BD193" s="935"/>
      <c r="BE193" s="935"/>
      <c r="BF193" s="935"/>
      <c r="BG193" s="935"/>
      <c r="BH193" s="935"/>
      <c r="BI193" s="935"/>
      <c r="BJ193" s="935"/>
      <c r="BK193" s="935"/>
      <c r="BL193" s="935"/>
      <c r="BM193" s="935"/>
      <c r="BN193" s="935"/>
      <c r="BO193" s="935"/>
      <c r="BP193" s="935"/>
      <c r="BQ193" s="935"/>
      <c r="BR193" s="935"/>
      <c r="BS193" s="935"/>
      <c r="BT193" s="935"/>
    </row>
    <row r="194" spans="1:72" x14ac:dyDescent="0.25">
      <c r="A194" s="935"/>
      <c r="B194" s="935"/>
      <c r="C194" s="935"/>
      <c r="D194" s="935"/>
      <c r="E194" s="935"/>
      <c r="F194" s="935"/>
      <c r="G194" s="935"/>
      <c r="H194" s="935"/>
      <c r="I194" s="935"/>
      <c r="J194" s="935"/>
      <c r="K194" s="935"/>
      <c r="L194" s="935"/>
      <c r="M194" s="935"/>
      <c r="N194" s="935"/>
      <c r="O194" s="935"/>
      <c r="P194" s="935"/>
      <c r="Q194" s="935"/>
      <c r="R194" s="935"/>
      <c r="S194" s="935"/>
      <c r="T194" s="935"/>
      <c r="U194" s="935"/>
      <c r="V194" s="935"/>
      <c r="W194" s="935"/>
      <c r="X194" s="935"/>
      <c r="Y194" s="935"/>
      <c r="Z194" s="935"/>
      <c r="AA194" s="935"/>
      <c r="AB194" s="935"/>
      <c r="AC194" s="935"/>
      <c r="AD194" s="935"/>
      <c r="AE194" s="935"/>
      <c r="AF194" s="935"/>
      <c r="AG194" s="935"/>
      <c r="AH194" s="935"/>
      <c r="AI194" s="935"/>
      <c r="AJ194" s="935"/>
      <c r="AK194" s="935"/>
      <c r="AL194" s="935"/>
      <c r="AM194" s="935"/>
      <c r="AN194" s="935"/>
      <c r="AO194" s="935"/>
      <c r="AP194" s="935"/>
      <c r="AQ194" s="935"/>
      <c r="AR194" s="935"/>
      <c r="AS194" s="935"/>
      <c r="AT194" s="935"/>
      <c r="AU194" s="935"/>
      <c r="AV194" s="935"/>
      <c r="AW194" s="935"/>
      <c r="AX194" s="935"/>
      <c r="AY194" s="935"/>
      <c r="AZ194" s="935"/>
      <c r="BA194" s="935"/>
      <c r="BB194" s="935"/>
      <c r="BC194" s="935"/>
      <c r="BD194" s="935"/>
      <c r="BE194" s="935"/>
      <c r="BF194" s="935"/>
      <c r="BG194" s="935"/>
      <c r="BH194" s="935"/>
      <c r="BI194" s="935"/>
      <c r="BJ194" s="935"/>
      <c r="BK194" s="935"/>
      <c r="BL194" s="935"/>
      <c r="BM194" s="935"/>
      <c r="BN194" s="935"/>
      <c r="BO194" s="935"/>
      <c r="BP194" s="935"/>
      <c r="BQ194" s="935"/>
      <c r="BR194" s="935"/>
      <c r="BS194" s="935"/>
      <c r="BT194" s="935"/>
    </row>
    <row r="195" spans="1:72" x14ac:dyDescent="0.25">
      <c r="A195" s="935" t="s">
        <v>513</v>
      </c>
      <c r="B195" s="935"/>
      <c r="C195" s="935"/>
      <c r="D195" s="935"/>
      <c r="E195" s="935"/>
      <c r="F195" s="935"/>
      <c r="G195" s="935"/>
      <c r="H195" s="935"/>
      <c r="I195" s="935"/>
      <c r="J195" s="935"/>
      <c r="K195" s="935"/>
      <c r="L195" s="935"/>
      <c r="M195" s="935"/>
      <c r="N195" s="935"/>
      <c r="O195" s="935"/>
      <c r="P195" s="935"/>
      <c r="Q195" s="935"/>
      <c r="R195" s="935"/>
      <c r="S195" s="935"/>
      <c r="T195" s="935"/>
      <c r="U195" s="935"/>
      <c r="V195" s="935"/>
      <c r="W195" s="935"/>
      <c r="X195" s="935"/>
      <c r="Y195" s="935"/>
      <c r="Z195" s="935"/>
      <c r="AA195" s="935"/>
      <c r="AB195" s="935"/>
      <c r="AC195" s="935"/>
      <c r="AD195" s="935"/>
      <c r="AE195" s="935"/>
      <c r="AF195" s="935"/>
      <c r="AG195" s="935"/>
      <c r="AH195" s="935"/>
      <c r="AI195" s="935"/>
      <c r="AJ195" s="935"/>
      <c r="AK195" s="935"/>
      <c r="AL195" s="935"/>
      <c r="AM195" s="935"/>
      <c r="AN195" s="935"/>
      <c r="AO195" s="935"/>
      <c r="AP195" s="935"/>
      <c r="AQ195" s="935"/>
      <c r="AR195" s="935"/>
      <c r="AS195" s="935"/>
      <c r="AT195" s="935"/>
      <c r="AU195" s="935"/>
      <c r="AV195" s="935"/>
      <c r="AW195" s="935"/>
      <c r="AX195" s="935"/>
      <c r="AY195" s="935"/>
      <c r="AZ195" s="935"/>
      <c r="BA195" s="935"/>
      <c r="BB195" s="935"/>
      <c r="BC195" s="935"/>
      <c r="BD195" s="935"/>
      <c r="BE195" s="935"/>
      <c r="BF195" s="935"/>
      <c r="BG195" s="935"/>
      <c r="BH195" s="935"/>
      <c r="BI195" s="935"/>
      <c r="BJ195" s="935"/>
      <c r="BK195" s="935"/>
      <c r="BL195" s="935"/>
      <c r="BM195" s="935"/>
      <c r="BN195" s="935"/>
      <c r="BO195" s="935"/>
      <c r="BP195" s="935"/>
      <c r="BQ195" s="935"/>
      <c r="BR195" s="935"/>
      <c r="BS195" s="935"/>
      <c r="BT195" s="935"/>
    </row>
    <row r="196" spans="1:72" x14ac:dyDescent="0.25">
      <c r="A196" s="935" t="s">
        <v>727</v>
      </c>
      <c r="B196" s="935"/>
      <c r="C196" s="935"/>
      <c r="D196" s="935"/>
      <c r="E196" s="935"/>
      <c r="F196" s="935"/>
      <c r="G196" s="935"/>
      <c r="H196" s="935"/>
      <c r="I196" s="935"/>
      <c r="J196" s="935"/>
      <c r="K196" s="935"/>
      <c r="L196" s="935"/>
      <c r="M196" s="935"/>
      <c r="N196" s="935"/>
      <c r="O196" s="935"/>
      <c r="P196" s="935"/>
      <c r="Q196" s="935"/>
      <c r="R196" s="935"/>
      <c r="S196" s="935"/>
      <c r="T196" s="935"/>
      <c r="U196" s="935"/>
      <c r="V196" s="935"/>
      <c r="W196" s="935"/>
      <c r="X196" s="935"/>
      <c r="Y196" s="935"/>
      <c r="Z196" s="935"/>
      <c r="AA196" s="935"/>
      <c r="AB196" s="935"/>
      <c r="AC196" s="935"/>
      <c r="AD196" s="935"/>
      <c r="AE196" s="935"/>
      <c r="AF196" s="935"/>
      <c r="AG196" s="935"/>
      <c r="AH196" s="935"/>
      <c r="AI196" s="935"/>
      <c r="AJ196" s="935"/>
      <c r="AK196" s="935"/>
      <c r="AL196" s="935"/>
      <c r="AM196" s="935"/>
      <c r="AN196" s="935"/>
      <c r="AO196" s="935"/>
      <c r="AP196" s="935"/>
      <c r="AQ196" s="935"/>
      <c r="AR196" s="935"/>
      <c r="AS196" s="935"/>
      <c r="AT196" s="935"/>
      <c r="AU196" s="935"/>
      <c r="AV196" s="935"/>
      <c r="AW196" s="935"/>
      <c r="AX196" s="935"/>
      <c r="AY196" s="935"/>
      <c r="AZ196" s="935"/>
      <c r="BA196" s="935"/>
      <c r="BB196" s="935"/>
      <c r="BC196" s="935"/>
      <c r="BD196" s="935"/>
      <c r="BE196" s="935"/>
      <c r="BF196" s="935"/>
      <c r="BG196" s="935"/>
      <c r="BH196" s="935"/>
      <c r="BI196" s="935"/>
      <c r="BJ196" s="935"/>
      <c r="BK196" s="935"/>
      <c r="BL196" s="935"/>
      <c r="BM196" s="935"/>
      <c r="BN196" s="935"/>
      <c r="BO196" s="935"/>
      <c r="BP196" s="935"/>
      <c r="BQ196" s="935"/>
      <c r="BR196" s="935"/>
      <c r="BS196" s="935"/>
      <c r="BT196" s="935"/>
    </row>
    <row r="197" spans="1:72" x14ac:dyDescent="0.25">
      <c r="A197" s="935" t="s">
        <v>473</v>
      </c>
      <c r="B197" s="935">
        <v>236.38</v>
      </c>
      <c r="C197" s="935">
        <v>254.66</v>
      </c>
      <c r="D197" s="935">
        <v>235.17</v>
      </c>
      <c r="E197" s="935">
        <v>230.51</v>
      </c>
      <c r="F197" s="935">
        <v>232.31</v>
      </c>
      <c r="G197" s="935">
        <v>244.12</v>
      </c>
      <c r="H197" s="935">
        <v>246.57</v>
      </c>
      <c r="I197" s="935">
        <v>251.37</v>
      </c>
      <c r="J197" s="935">
        <v>257.29000000000002</v>
      </c>
      <c r="K197" s="935">
        <v>266.02999999999997</v>
      </c>
      <c r="L197" s="935">
        <v>273.52999999999997</v>
      </c>
      <c r="M197" s="935">
        <v>281.39999999999998</v>
      </c>
      <c r="N197" s="935">
        <v>289.27</v>
      </c>
      <c r="O197" s="935">
        <v>299.58999999999997</v>
      </c>
      <c r="P197" s="935">
        <v>309.45</v>
      </c>
      <c r="Q197" s="935">
        <v>320.3</v>
      </c>
      <c r="R197" s="935">
        <v>330.83</v>
      </c>
      <c r="S197" s="935">
        <v>341.36</v>
      </c>
      <c r="T197" s="935">
        <v>351.09</v>
      </c>
      <c r="U197" s="935">
        <v>363.72</v>
      </c>
      <c r="V197" s="935">
        <v>377.1</v>
      </c>
      <c r="W197" s="935">
        <v>392.03</v>
      </c>
      <c r="X197" s="935">
        <v>407.27</v>
      </c>
      <c r="Y197" s="935">
        <v>423.22</v>
      </c>
      <c r="Z197" s="935">
        <v>441.01</v>
      </c>
      <c r="AA197" s="935">
        <v>458.4</v>
      </c>
      <c r="AB197" s="935">
        <v>471.99</v>
      </c>
      <c r="AC197" s="935">
        <v>489.06</v>
      </c>
      <c r="AD197" s="935">
        <v>506.03</v>
      </c>
      <c r="AE197" s="974">
        <v>2.5999999999999999E-2</v>
      </c>
      <c r="AF197" s="935"/>
      <c r="AG197" s="935"/>
      <c r="AH197" s="935"/>
      <c r="AI197" s="935"/>
      <c r="AJ197" s="935"/>
      <c r="AK197" s="935"/>
      <c r="AL197" s="935"/>
      <c r="AM197" s="935"/>
      <c r="AN197" s="935"/>
      <c r="AO197" s="935"/>
      <c r="AP197" s="935"/>
      <c r="AQ197" s="935"/>
      <c r="AR197" s="935"/>
      <c r="AS197" s="935"/>
      <c r="AT197" s="935"/>
      <c r="AU197" s="935"/>
      <c r="AV197" s="935"/>
      <c r="AW197" s="935"/>
      <c r="AX197" s="935"/>
      <c r="AY197" s="935"/>
      <c r="AZ197" s="935"/>
      <c r="BA197" s="935"/>
      <c r="BB197" s="935"/>
      <c r="BC197" s="935"/>
      <c r="BD197" s="935"/>
      <c r="BE197" s="935"/>
      <c r="BF197" s="935"/>
      <c r="BG197" s="935"/>
      <c r="BH197" s="935"/>
      <c r="BI197" s="935"/>
      <c r="BJ197" s="935"/>
      <c r="BK197" s="935"/>
      <c r="BL197" s="935"/>
      <c r="BM197" s="935"/>
      <c r="BN197" s="935"/>
      <c r="BO197" s="935"/>
      <c r="BP197" s="935"/>
      <c r="BQ197" s="935"/>
      <c r="BR197" s="935"/>
      <c r="BS197" s="935"/>
      <c r="BT197" s="935"/>
    </row>
    <row r="198" spans="1:72" x14ac:dyDescent="0.25">
      <c r="A198" s="935" t="s">
        <v>480</v>
      </c>
      <c r="B198" s="935">
        <v>172.75</v>
      </c>
      <c r="C198" s="935">
        <v>191.19</v>
      </c>
      <c r="D198" s="935">
        <v>171.27</v>
      </c>
      <c r="E198" s="935">
        <v>168.36</v>
      </c>
      <c r="F198" s="935">
        <v>170.83</v>
      </c>
      <c r="G198" s="935">
        <v>182.74</v>
      </c>
      <c r="H198" s="935">
        <v>187.26</v>
      </c>
      <c r="I198" s="935">
        <v>190.86</v>
      </c>
      <c r="J198" s="935">
        <v>197.13</v>
      </c>
      <c r="K198" s="935">
        <v>205.11</v>
      </c>
      <c r="L198" s="935">
        <v>212.7</v>
      </c>
      <c r="M198" s="935">
        <v>219.88</v>
      </c>
      <c r="N198" s="935">
        <v>226.94</v>
      </c>
      <c r="O198" s="935">
        <v>236.05</v>
      </c>
      <c r="P198" s="935">
        <v>245.65</v>
      </c>
      <c r="Q198" s="935">
        <v>255.58</v>
      </c>
      <c r="R198" s="935">
        <v>265.91000000000003</v>
      </c>
      <c r="S198" s="935">
        <v>275.66000000000003</v>
      </c>
      <c r="T198" s="935">
        <v>285.08999999999997</v>
      </c>
      <c r="U198" s="935">
        <v>296.79000000000002</v>
      </c>
      <c r="V198" s="935">
        <v>309.27</v>
      </c>
      <c r="W198" s="935">
        <v>322.77</v>
      </c>
      <c r="X198" s="935">
        <v>338.69</v>
      </c>
      <c r="Y198" s="935">
        <v>354.37</v>
      </c>
      <c r="Z198" s="935">
        <v>371.75</v>
      </c>
      <c r="AA198" s="935">
        <v>388.64</v>
      </c>
      <c r="AB198" s="935">
        <v>403.84</v>
      </c>
      <c r="AC198" s="935">
        <v>421.34</v>
      </c>
      <c r="AD198" s="935">
        <v>438.74</v>
      </c>
      <c r="AE198" s="974">
        <v>3.1E-2</v>
      </c>
      <c r="AF198" s="935"/>
      <c r="AG198" s="935"/>
      <c r="AH198" s="935"/>
      <c r="AI198" s="935"/>
      <c r="AJ198" s="935"/>
      <c r="AK198" s="935"/>
      <c r="AL198" s="935"/>
      <c r="AM198" s="935"/>
      <c r="AN198" s="935"/>
      <c r="AO198" s="935"/>
      <c r="AP198" s="935"/>
      <c r="AQ198" s="935"/>
      <c r="AR198" s="935"/>
      <c r="AS198" s="935"/>
      <c r="AT198" s="935"/>
      <c r="AU198" s="935"/>
      <c r="AV198" s="935"/>
      <c r="AW198" s="935"/>
      <c r="AX198" s="935"/>
      <c r="AY198" s="935"/>
      <c r="AZ198" s="935"/>
      <c r="BA198" s="935"/>
      <c r="BB198" s="935"/>
      <c r="BC198" s="935"/>
      <c r="BD198" s="935"/>
      <c r="BE198" s="935"/>
      <c r="BF198" s="935"/>
      <c r="BG198" s="935"/>
      <c r="BH198" s="935"/>
      <c r="BI198" s="935"/>
      <c r="BJ198" s="935"/>
      <c r="BK198" s="935"/>
      <c r="BL198" s="935"/>
      <c r="BM198" s="935"/>
      <c r="BN198" s="935"/>
      <c r="BO198" s="935"/>
      <c r="BP198" s="935"/>
      <c r="BQ198" s="935"/>
      <c r="BR198" s="935"/>
      <c r="BS198" s="935"/>
      <c r="BT198" s="935"/>
    </row>
    <row r="199" spans="1:72" x14ac:dyDescent="0.25">
      <c r="A199" s="935" t="s">
        <v>515</v>
      </c>
      <c r="B199" s="935">
        <v>214.89</v>
      </c>
      <c r="C199" s="935">
        <v>244.81</v>
      </c>
      <c r="D199" s="935">
        <v>178.09</v>
      </c>
      <c r="E199" s="935">
        <v>168.16</v>
      </c>
      <c r="F199" s="935">
        <v>181.07</v>
      </c>
      <c r="G199" s="935">
        <v>202.87</v>
      </c>
      <c r="H199" s="935">
        <v>217.07</v>
      </c>
      <c r="I199" s="935">
        <v>227.35</v>
      </c>
      <c r="J199" s="935">
        <v>237.51</v>
      </c>
      <c r="K199" s="935">
        <v>248.26</v>
      </c>
      <c r="L199" s="935">
        <v>257.8</v>
      </c>
      <c r="M199" s="935">
        <v>268.36</v>
      </c>
      <c r="N199" s="935">
        <v>277.25</v>
      </c>
      <c r="O199" s="935">
        <v>287.02999999999997</v>
      </c>
      <c r="P199" s="935">
        <v>295.06</v>
      </c>
      <c r="Q199" s="935">
        <v>303.12</v>
      </c>
      <c r="R199" s="935">
        <v>311.48</v>
      </c>
      <c r="S199" s="935">
        <v>319.60000000000002</v>
      </c>
      <c r="T199" s="935">
        <v>328.09</v>
      </c>
      <c r="U199" s="935">
        <v>336.58</v>
      </c>
      <c r="V199" s="935">
        <v>346.81</v>
      </c>
      <c r="W199" s="935">
        <v>357.93</v>
      </c>
      <c r="X199" s="935">
        <v>370.58</v>
      </c>
      <c r="Y199" s="935">
        <v>382.62</v>
      </c>
      <c r="Z199" s="935">
        <v>397.61</v>
      </c>
      <c r="AA199" s="935">
        <v>409.44</v>
      </c>
      <c r="AB199" s="935">
        <v>421.52</v>
      </c>
      <c r="AC199" s="935">
        <v>436.23</v>
      </c>
      <c r="AD199" s="935">
        <v>449</v>
      </c>
      <c r="AE199" s="974">
        <v>2.3E-2</v>
      </c>
      <c r="AF199" s="935"/>
      <c r="AG199" s="935"/>
      <c r="AH199" s="935"/>
      <c r="AI199" s="935"/>
      <c r="AJ199" s="935"/>
      <c r="AK199" s="935"/>
      <c r="AL199" s="935"/>
      <c r="AM199" s="935"/>
      <c r="AN199" s="935"/>
      <c r="AO199" s="935"/>
      <c r="AP199" s="935"/>
      <c r="AQ199" s="935"/>
      <c r="AR199" s="935"/>
      <c r="AS199" s="935"/>
      <c r="AT199" s="935"/>
      <c r="AU199" s="935"/>
      <c r="AV199" s="935"/>
      <c r="AW199" s="935"/>
      <c r="AX199" s="935"/>
      <c r="AY199" s="935"/>
      <c r="AZ199" s="935"/>
      <c r="BA199" s="935"/>
      <c r="BB199" s="935"/>
      <c r="BC199" s="935"/>
      <c r="BD199" s="935"/>
      <c r="BE199" s="935"/>
      <c r="BF199" s="935"/>
      <c r="BG199" s="935"/>
      <c r="BH199" s="935"/>
      <c r="BI199" s="935"/>
      <c r="BJ199" s="935"/>
      <c r="BK199" s="935"/>
      <c r="BL199" s="935"/>
      <c r="BM199" s="935"/>
      <c r="BN199" s="935"/>
      <c r="BO199" s="935"/>
      <c r="BP199" s="935"/>
      <c r="BQ199" s="935"/>
      <c r="BR199" s="935"/>
      <c r="BS199" s="935"/>
      <c r="BT199" s="935"/>
    </row>
    <row r="200" spans="1:72" x14ac:dyDescent="0.25">
      <c r="A200" s="935" t="s">
        <v>487</v>
      </c>
      <c r="B200" s="935">
        <v>599.94000000000005</v>
      </c>
      <c r="C200" s="935">
        <v>705.86</v>
      </c>
      <c r="D200" s="935">
        <v>472.76</v>
      </c>
      <c r="E200" s="935">
        <v>523.54</v>
      </c>
      <c r="F200" s="935">
        <v>551.54</v>
      </c>
      <c r="G200" s="935">
        <v>600.52</v>
      </c>
      <c r="H200" s="935">
        <v>663.3</v>
      </c>
      <c r="I200" s="935">
        <v>702.29</v>
      </c>
      <c r="J200" s="935">
        <v>730.78</v>
      </c>
      <c r="K200" s="935">
        <v>762.17</v>
      </c>
      <c r="L200" s="935">
        <v>797.53</v>
      </c>
      <c r="M200" s="935">
        <v>828.81</v>
      </c>
      <c r="N200" s="935">
        <v>859.4</v>
      </c>
      <c r="O200" s="935">
        <v>891.87</v>
      </c>
      <c r="P200" s="935">
        <v>920.68</v>
      </c>
      <c r="Q200" s="935">
        <v>948.26</v>
      </c>
      <c r="R200" s="935">
        <v>986.59</v>
      </c>
      <c r="S200" s="935">
        <v>1021.27</v>
      </c>
      <c r="T200" s="935">
        <v>1062.24</v>
      </c>
      <c r="U200" s="935">
        <v>1101.69</v>
      </c>
      <c r="V200" s="935">
        <v>1143.03</v>
      </c>
      <c r="W200" s="935">
        <v>1188</v>
      </c>
      <c r="X200" s="935">
        <v>1232.23</v>
      </c>
      <c r="Y200" s="935">
        <v>1277.8499999999999</v>
      </c>
      <c r="Z200" s="935">
        <v>1321.12</v>
      </c>
      <c r="AA200" s="935">
        <v>1371.03</v>
      </c>
      <c r="AB200" s="935">
        <v>1423.78</v>
      </c>
      <c r="AC200" s="935">
        <v>1471.43</v>
      </c>
      <c r="AD200" s="935">
        <v>1525.95</v>
      </c>
      <c r="AE200" s="974">
        <v>2.9000000000000001E-2</v>
      </c>
      <c r="AF200" s="935"/>
      <c r="AG200" s="935"/>
      <c r="AH200" s="935"/>
      <c r="AI200" s="935"/>
      <c r="AJ200" s="935"/>
      <c r="AK200" s="935"/>
      <c r="AL200" s="935"/>
      <c r="AM200" s="935"/>
      <c r="AN200" s="935"/>
      <c r="AO200" s="935"/>
      <c r="AP200" s="935"/>
      <c r="AQ200" s="935"/>
      <c r="AR200" s="935"/>
      <c r="AS200" s="935"/>
      <c r="AT200" s="935"/>
      <c r="AU200" s="935"/>
      <c r="AV200" s="935"/>
      <c r="AW200" s="935"/>
      <c r="AX200" s="935"/>
      <c r="AY200" s="935"/>
      <c r="AZ200" s="935"/>
      <c r="BA200" s="935"/>
      <c r="BB200" s="935"/>
      <c r="BC200" s="935"/>
      <c r="BD200" s="935"/>
      <c r="BE200" s="935"/>
      <c r="BF200" s="935"/>
      <c r="BG200" s="935"/>
      <c r="BH200" s="935"/>
      <c r="BI200" s="935"/>
      <c r="BJ200" s="935"/>
      <c r="BK200" s="935"/>
      <c r="BL200" s="935"/>
      <c r="BM200" s="935"/>
      <c r="BN200" s="935"/>
      <c r="BO200" s="935"/>
      <c r="BP200" s="935"/>
      <c r="BQ200" s="935"/>
      <c r="BR200" s="935"/>
      <c r="BS200" s="935"/>
      <c r="BT200" s="935"/>
    </row>
    <row r="201" spans="1:72" x14ac:dyDescent="0.25">
      <c r="A201" s="935" t="s">
        <v>516</v>
      </c>
      <c r="B201" s="935">
        <v>1223.96</v>
      </c>
      <c r="C201" s="935">
        <v>1396.52</v>
      </c>
      <c r="D201" s="935">
        <v>1057.29</v>
      </c>
      <c r="E201" s="935">
        <v>1090.58</v>
      </c>
      <c r="F201" s="935">
        <v>1135.76</v>
      </c>
      <c r="G201" s="935">
        <v>1230.25</v>
      </c>
      <c r="H201" s="935">
        <v>1314.19</v>
      </c>
      <c r="I201" s="935">
        <v>1371.86</v>
      </c>
      <c r="J201" s="935">
        <v>1422.72</v>
      </c>
      <c r="K201" s="935">
        <v>1481.57</v>
      </c>
      <c r="L201" s="935">
        <v>1541.56</v>
      </c>
      <c r="M201" s="935">
        <v>1598.45</v>
      </c>
      <c r="N201" s="935">
        <v>1652.86</v>
      </c>
      <c r="O201" s="935">
        <v>1714.54</v>
      </c>
      <c r="P201" s="935">
        <v>1770.84</v>
      </c>
      <c r="Q201" s="935">
        <v>1827.25</v>
      </c>
      <c r="R201" s="935">
        <v>1894.81</v>
      </c>
      <c r="S201" s="935">
        <v>1957.89</v>
      </c>
      <c r="T201" s="935">
        <v>2026.51</v>
      </c>
      <c r="U201" s="935">
        <v>2098.7800000000002</v>
      </c>
      <c r="V201" s="935">
        <v>2176.1999999999998</v>
      </c>
      <c r="W201" s="935">
        <v>2260.73</v>
      </c>
      <c r="X201" s="935">
        <v>2348.7600000000002</v>
      </c>
      <c r="Y201" s="935">
        <v>2438.06</v>
      </c>
      <c r="Z201" s="935">
        <v>2531.5</v>
      </c>
      <c r="AA201" s="935">
        <v>2627.51</v>
      </c>
      <c r="AB201" s="935">
        <v>2721.14</v>
      </c>
      <c r="AC201" s="935">
        <v>2818.06</v>
      </c>
      <c r="AD201" s="935">
        <v>2919.72</v>
      </c>
      <c r="AE201" s="974">
        <v>2.8000000000000001E-2</v>
      </c>
      <c r="AF201" s="935"/>
      <c r="AG201" s="935"/>
      <c r="AH201" s="935"/>
      <c r="AI201" s="935"/>
      <c r="AJ201" s="935"/>
      <c r="AK201" s="935"/>
      <c r="AL201" s="935"/>
      <c r="AM201" s="935"/>
      <c r="AN201" s="935"/>
      <c r="AO201" s="935"/>
      <c r="AP201" s="935"/>
      <c r="AQ201" s="935"/>
      <c r="AR201" s="935"/>
      <c r="AS201" s="935"/>
      <c r="AT201" s="935"/>
      <c r="AU201" s="935"/>
      <c r="AV201" s="935"/>
      <c r="AW201" s="935"/>
      <c r="AX201" s="935"/>
      <c r="AY201" s="935"/>
      <c r="AZ201" s="935"/>
      <c r="BA201" s="935"/>
      <c r="BB201" s="935"/>
      <c r="BC201" s="935"/>
      <c r="BD201" s="935"/>
      <c r="BE201" s="935"/>
      <c r="BF201" s="935"/>
      <c r="BG201" s="935"/>
      <c r="BH201" s="935"/>
      <c r="BI201" s="935"/>
      <c r="BJ201" s="935"/>
      <c r="BK201" s="935"/>
      <c r="BL201" s="935"/>
      <c r="BM201" s="935"/>
      <c r="BN201" s="935"/>
      <c r="BO201" s="935"/>
      <c r="BP201" s="935"/>
      <c r="BQ201" s="935"/>
      <c r="BR201" s="935"/>
      <c r="BS201" s="935"/>
      <c r="BT201" s="935"/>
    </row>
    <row r="202" spans="1:72" x14ac:dyDescent="0.25">
      <c r="A202" s="935" t="s">
        <v>629</v>
      </c>
      <c r="B202" s="935">
        <v>0.04</v>
      </c>
      <c r="C202" s="935">
        <v>0.17</v>
      </c>
      <c r="D202" s="935">
        <v>0.04</v>
      </c>
      <c r="E202" s="935">
        <v>0.09</v>
      </c>
      <c r="F202" s="935">
        <v>0.11</v>
      </c>
      <c r="G202" s="935">
        <v>0.13</v>
      </c>
      <c r="H202" s="935">
        <v>0.16</v>
      </c>
      <c r="I202" s="935">
        <v>0.18</v>
      </c>
      <c r="J202" s="935">
        <v>0.24</v>
      </c>
      <c r="K202" s="935">
        <v>2.65</v>
      </c>
      <c r="L202" s="935">
        <v>3.64</v>
      </c>
      <c r="M202" s="935">
        <v>4.71</v>
      </c>
      <c r="N202" s="935">
        <v>6.36</v>
      </c>
      <c r="O202" s="935">
        <v>8.6999999999999993</v>
      </c>
      <c r="P202" s="935">
        <v>11.96</v>
      </c>
      <c r="Q202" s="935">
        <v>22.18</v>
      </c>
      <c r="R202" s="935">
        <v>20.28</v>
      </c>
      <c r="S202" s="935">
        <v>19.329999999999998</v>
      </c>
      <c r="T202" s="935">
        <v>20.440000000000001</v>
      </c>
      <c r="U202" s="935">
        <v>23.52</v>
      </c>
      <c r="V202" s="935">
        <v>26.81</v>
      </c>
      <c r="W202" s="935">
        <v>29.72</v>
      </c>
      <c r="X202" s="935">
        <v>34.94</v>
      </c>
      <c r="Y202" s="935">
        <v>37.81</v>
      </c>
      <c r="Z202" s="935">
        <v>49.23</v>
      </c>
      <c r="AA202" s="935">
        <v>57.96</v>
      </c>
      <c r="AB202" s="935">
        <v>65.66</v>
      </c>
      <c r="AC202" s="935">
        <v>79.569999999999993</v>
      </c>
      <c r="AD202" s="935">
        <v>94.81</v>
      </c>
      <c r="AE202" s="974">
        <v>0.26500000000000001</v>
      </c>
      <c r="AF202" s="935"/>
      <c r="AG202" s="935"/>
      <c r="AH202" s="935"/>
      <c r="AI202" s="935"/>
      <c r="AJ202" s="935"/>
      <c r="AK202" s="935"/>
      <c r="AL202" s="935"/>
      <c r="AM202" s="935"/>
      <c r="AN202" s="935"/>
      <c r="AO202" s="935"/>
      <c r="AP202" s="935"/>
      <c r="AQ202" s="935"/>
      <c r="AR202" s="935"/>
      <c r="AS202" s="935"/>
      <c r="AT202" s="935"/>
      <c r="AU202" s="935"/>
      <c r="AV202" s="935"/>
      <c r="AW202" s="935"/>
      <c r="AX202" s="935"/>
      <c r="AY202" s="935"/>
      <c r="AZ202" s="935"/>
      <c r="BA202" s="935"/>
      <c r="BB202" s="935"/>
      <c r="BC202" s="935"/>
      <c r="BD202" s="935"/>
      <c r="BE202" s="935"/>
      <c r="BF202" s="935"/>
      <c r="BG202" s="935"/>
      <c r="BH202" s="935"/>
      <c r="BI202" s="935"/>
      <c r="BJ202" s="935"/>
      <c r="BK202" s="935"/>
      <c r="BL202" s="935"/>
      <c r="BM202" s="935"/>
      <c r="BN202" s="935"/>
      <c r="BO202" s="935"/>
      <c r="BP202" s="935"/>
      <c r="BQ202" s="935"/>
      <c r="BR202" s="935"/>
      <c r="BS202" s="935"/>
      <c r="BT202" s="935"/>
    </row>
    <row r="203" spans="1:72" x14ac:dyDescent="0.25">
      <c r="A203" s="935" t="s">
        <v>518</v>
      </c>
      <c r="B203" s="935">
        <v>1224</v>
      </c>
      <c r="C203" s="935">
        <v>1396.69</v>
      </c>
      <c r="D203" s="935">
        <v>1057.33</v>
      </c>
      <c r="E203" s="935">
        <v>1090.67</v>
      </c>
      <c r="F203" s="935">
        <v>1135.8699999999999</v>
      </c>
      <c r="G203" s="935">
        <v>1230.3800000000001</v>
      </c>
      <c r="H203" s="935">
        <v>1314.36</v>
      </c>
      <c r="I203" s="935">
        <v>1372.05</v>
      </c>
      <c r="J203" s="935">
        <v>1422.95</v>
      </c>
      <c r="K203" s="935">
        <v>1484.22</v>
      </c>
      <c r="L203" s="935">
        <v>1545.2</v>
      </c>
      <c r="M203" s="935">
        <v>1603.16</v>
      </c>
      <c r="N203" s="935">
        <v>1659.22</v>
      </c>
      <c r="O203" s="935">
        <v>1723.24</v>
      </c>
      <c r="P203" s="935">
        <v>1782.8</v>
      </c>
      <c r="Q203" s="935">
        <v>1849.44</v>
      </c>
      <c r="R203" s="935">
        <v>1915.09</v>
      </c>
      <c r="S203" s="935">
        <v>1977.22</v>
      </c>
      <c r="T203" s="935">
        <v>2046.94</v>
      </c>
      <c r="U203" s="935">
        <v>2122.3000000000002</v>
      </c>
      <c r="V203" s="935">
        <v>2203.0100000000002</v>
      </c>
      <c r="W203" s="935">
        <v>2290.46</v>
      </c>
      <c r="X203" s="935">
        <v>2383.6999999999998</v>
      </c>
      <c r="Y203" s="935">
        <v>2475.87</v>
      </c>
      <c r="Z203" s="935">
        <v>2580.73</v>
      </c>
      <c r="AA203" s="935">
        <v>2685.47</v>
      </c>
      <c r="AB203" s="935">
        <v>2786.79</v>
      </c>
      <c r="AC203" s="935">
        <v>2897.63</v>
      </c>
      <c r="AD203" s="935">
        <v>3014.53</v>
      </c>
      <c r="AE203" s="974">
        <v>2.9000000000000001E-2</v>
      </c>
      <c r="AF203" s="935"/>
      <c r="AG203" s="935"/>
      <c r="AH203" s="935"/>
      <c r="AI203" s="935"/>
      <c r="AJ203" s="935"/>
      <c r="AK203" s="935"/>
      <c r="AL203" s="935"/>
      <c r="AM203" s="935"/>
      <c r="AN203" s="935"/>
      <c r="AO203" s="935"/>
      <c r="AP203" s="935"/>
      <c r="AQ203" s="935"/>
      <c r="AR203" s="935"/>
      <c r="AS203" s="935"/>
      <c r="AT203" s="935"/>
      <c r="AU203" s="935"/>
      <c r="AV203" s="935"/>
      <c r="AW203" s="935"/>
      <c r="AX203" s="935"/>
      <c r="AY203" s="935"/>
      <c r="AZ203" s="935"/>
      <c r="BA203" s="935"/>
      <c r="BB203" s="935"/>
      <c r="BC203" s="935"/>
      <c r="BD203" s="935"/>
      <c r="BE203" s="935"/>
      <c r="BF203" s="935"/>
      <c r="BG203" s="935"/>
      <c r="BH203" s="935"/>
      <c r="BI203" s="935"/>
      <c r="BJ203" s="935"/>
      <c r="BK203" s="935"/>
      <c r="BL203" s="935"/>
      <c r="BM203" s="935"/>
      <c r="BN203" s="935"/>
      <c r="BO203" s="935"/>
      <c r="BP203" s="935"/>
      <c r="BQ203" s="935"/>
      <c r="BR203" s="935"/>
      <c r="BS203" s="935"/>
      <c r="BT203" s="935"/>
    </row>
    <row r="204" spans="1:72" x14ac:dyDescent="0.25">
      <c r="A204" s="935"/>
      <c r="B204" s="935"/>
      <c r="C204" s="935"/>
      <c r="D204" s="935"/>
      <c r="E204" s="935"/>
      <c r="F204" s="935"/>
      <c r="G204" s="935"/>
      <c r="H204" s="935"/>
      <c r="I204" s="935"/>
      <c r="J204" s="935"/>
      <c r="K204" s="935"/>
      <c r="L204" s="935"/>
      <c r="M204" s="935"/>
      <c r="N204" s="935"/>
      <c r="O204" s="935"/>
      <c r="P204" s="935"/>
      <c r="Q204" s="935"/>
      <c r="R204" s="935"/>
      <c r="S204" s="935"/>
      <c r="T204" s="935"/>
      <c r="U204" s="935"/>
      <c r="V204" s="935"/>
      <c r="W204" s="935"/>
      <c r="X204" s="935"/>
      <c r="Y204" s="935"/>
      <c r="Z204" s="935"/>
      <c r="AA204" s="935"/>
      <c r="AB204" s="935"/>
      <c r="AC204" s="935"/>
      <c r="AD204" s="935"/>
      <c r="AE204" s="935"/>
      <c r="AF204" s="935"/>
      <c r="AG204" s="935"/>
      <c r="AH204" s="935"/>
      <c r="AI204" s="935"/>
      <c r="AJ204" s="935"/>
      <c r="AK204" s="935"/>
      <c r="AL204" s="935"/>
      <c r="AM204" s="935"/>
      <c r="AN204" s="935"/>
      <c r="AO204" s="935"/>
      <c r="AP204" s="935"/>
      <c r="AQ204" s="935"/>
      <c r="AR204" s="935"/>
      <c r="AS204" s="935"/>
      <c r="AT204" s="935"/>
      <c r="AU204" s="935"/>
      <c r="AV204" s="935"/>
      <c r="AW204" s="935"/>
      <c r="AX204" s="935"/>
      <c r="AY204" s="935"/>
      <c r="AZ204" s="935"/>
      <c r="BA204" s="935"/>
      <c r="BB204" s="935"/>
      <c r="BC204" s="935"/>
      <c r="BD204" s="935"/>
      <c r="BE204" s="935"/>
      <c r="BF204" s="935"/>
      <c r="BG204" s="935"/>
      <c r="BH204" s="935"/>
      <c r="BI204" s="935"/>
      <c r="BJ204" s="935"/>
      <c r="BK204" s="935"/>
      <c r="BL204" s="935"/>
      <c r="BM204" s="935"/>
      <c r="BN204" s="935"/>
      <c r="BO204" s="935"/>
      <c r="BP204" s="935"/>
      <c r="BQ204" s="935"/>
      <c r="BR204" s="935"/>
      <c r="BS204" s="935"/>
      <c r="BT204" s="935"/>
    </row>
    <row r="205" spans="1:72" x14ac:dyDescent="0.25">
      <c r="A205" s="935"/>
      <c r="B205" s="935"/>
      <c r="C205" s="935"/>
      <c r="D205" s="935"/>
      <c r="E205" s="935"/>
      <c r="F205" s="935"/>
      <c r="G205" s="935"/>
      <c r="H205" s="935"/>
      <c r="I205" s="935"/>
      <c r="J205" s="935"/>
      <c r="K205" s="935"/>
      <c r="L205" s="935"/>
      <c r="M205" s="935"/>
      <c r="N205" s="935"/>
      <c r="O205" s="935"/>
      <c r="P205" s="935"/>
      <c r="Q205" s="935"/>
      <c r="R205" s="935"/>
      <c r="S205" s="935"/>
      <c r="T205" s="935"/>
      <c r="U205" s="935"/>
      <c r="V205" s="935"/>
      <c r="W205" s="935"/>
      <c r="X205" s="935"/>
      <c r="Y205" s="935"/>
      <c r="Z205" s="935"/>
      <c r="AA205" s="935"/>
      <c r="AB205" s="935"/>
      <c r="AC205" s="935"/>
      <c r="AD205" s="935"/>
      <c r="AE205" s="935"/>
      <c r="AF205" s="935"/>
      <c r="AG205" s="935"/>
      <c r="AH205" s="935"/>
      <c r="AI205" s="935"/>
      <c r="AJ205" s="935"/>
      <c r="AK205" s="935"/>
      <c r="AL205" s="935"/>
      <c r="AM205" s="935"/>
      <c r="AN205" s="935"/>
      <c r="AO205" s="935"/>
      <c r="AP205" s="935"/>
      <c r="AQ205" s="935"/>
      <c r="AR205" s="935"/>
      <c r="AS205" s="935"/>
      <c r="AT205" s="935"/>
      <c r="AU205" s="935"/>
      <c r="AV205" s="935"/>
      <c r="AW205" s="935"/>
      <c r="AX205" s="935"/>
      <c r="AY205" s="935"/>
      <c r="AZ205" s="935"/>
      <c r="BA205" s="935"/>
      <c r="BB205" s="935"/>
      <c r="BC205" s="935"/>
      <c r="BD205" s="935"/>
      <c r="BE205" s="935"/>
      <c r="BF205" s="935"/>
      <c r="BG205" s="935"/>
      <c r="BH205" s="935"/>
      <c r="BI205" s="935"/>
      <c r="BJ205" s="935"/>
      <c r="BK205" s="935"/>
      <c r="BL205" s="935"/>
      <c r="BM205" s="935"/>
      <c r="BN205" s="935"/>
      <c r="BO205" s="935"/>
      <c r="BP205" s="935"/>
      <c r="BQ205" s="935"/>
      <c r="BR205" s="935"/>
      <c r="BS205" s="935"/>
      <c r="BT205" s="935"/>
    </row>
    <row r="206" spans="1:72" x14ac:dyDescent="0.25">
      <c r="A206" s="935"/>
      <c r="B206" s="935"/>
      <c r="C206" s="935"/>
      <c r="D206" s="935"/>
      <c r="E206" s="935"/>
      <c r="F206" s="935"/>
      <c r="G206" s="935"/>
      <c r="H206" s="935"/>
      <c r="I206" s="935"/>
      <c r="J206" s="935"/>
      <c r="K206" s="935"/>
      <c r="L206" s="935"/>
      <c r="M206" s="935"/>
      <c r="N206" s="935"/>
      <c r="O206" s="935"/>
      <c r="P206" s="935"/>
      <c r="Q206" s="935"/>
      <c r="R206" s="935"/>
      <c r="S206" s="935"/>
      <c r="T206" s="935"/>
      <c r="U206" s="935"/>
      <c r="V206" s="935"/>
      <c r="W206" s="935"/>
      <c r="X206" s="935"/>
      <c r="Y206" s="935"/>
      <c r="Z206" s="935"/>
      <c r="AA206" s="935"/>
      <c r="AB206" s="935"/>
      <c r="AC206" s="935"/>
      <c r="AD206" s="935"/>
      <c r="AE206" s="935"/>
      <c r="AF206" s="935"/>
      <c r="AG206" s="935"/>
      <c r="AH206" s="935"/>
      <c r="AI206" s="935"/>
      <c r="AJ206" s="935"/>
      <c r="AK206" s="935"/>
      <c r="AL206" s="935"/>
      <c r="AM206" s="935"/>
      <c r="AN206" s="935"/>
      <c r="AO206" s="935"/>
      <c r="AP206" s="935"/>
      <c r="AQ206" s="935"/>
      <c r="AR206" s="935"/>
      <c r="AS206" s="935"/>
      <c r="AT206" s="935"/>
      <c r="AU206" s="935"/>
      <c r="AV206" s="935"/>
      <c r="AW206" s="935"/>
      <c r="AX206" s="935"/>
      <c r="AY206" s="935"/>
      <c r="AZ206" s="935"/>
      <c r="BA206" s="935"/>
      <c r="BB206" s="935"/>
      <c r="BC206" s="935"/>
      <c r="BD206" s="935"/>
      <c r="BE206" s="935"/>
      <c r="BF206" s="935"/>
      <c r="BG206" s="935"/>
      <c r="BH206" s="935"/>
      <c r="BI206" s="935"/>
      <c r="BJ206" s="935"/>
      <c r="BK206" s="935"/>
      <c r="BL206" s="935"/>
      <c r="BM206" s="935"/>
      <c r="BN206" s="935"/>
      <c r="BO206" s="935"/>
      <c r="BP206" s="935"/>
      <c r="BQ206" s="935"/>
      <c r="BR206" s="935"/>
      <c r="BS206" s="935"/>
      <c r="BT206" s="935"/>
    </row>
    <row r="207" spans="1:72" x14ac:dyDescent="0.25">
      <c r="A207" s="935" t="s">
        <v>630</v>
      </c>
      <c r="B207" s="935"/>
      <c r="C207" s="935"/>
      <c r="D207" s="935"/>
      <c r="E207" s="935"/>
      <c r="F207" s="935"/>
      <c r="G207" s="935"/>
      <c r="H207" s="935"/>
      <c r="I207" s="935"/>
      <c r="J207" s="935"/>
      <c r="K207" s="935"/>
      <c r="L207" s="935"/>
      <c r="M207" s="935"/>
      <c r="N207" s="935"/>
      <c r="O207" s="935"/>
      <c r="P207" s="935"/>
      <c r="Q207" s="935"/>
      <c r="R207" s="935"/>
      <c r="S207" s="935"/>
      <c r="T207" s="935"/>
      <c r="U207" s="935"/>
      <c r="V207" s="935"/>
      <c r="W207" s="935"/>
      <c r="X207" s="935"/>
      <c r="Y207" s="935"/>
      <c r="Z207" s="935"/>
      <c r="AA207" s="935"/>
      <c r="AB207" s="935"/>
      <c r="AC207" s="935"/>
      <c r="AD207" s="935"/>
      <c r="AE207" s="935"/>
      <c r="AF207" s="935"/>
      <c r="AG207" s="935"/>
      <c r="AH207" s="935"/>
      <c r="AI207" s="935"/>
      <c r="AJ207" s="935"/>
      <c r="AK207" s="935"/>
      <c r="AL207" s="935"/>
      <c r="AM207" s="935"/>
      <c r="AN207" s="935"/>
      <c r="AO207" s="935"/>
      <c r="AP207" s="935"/>
      <c r="AQ207" s="935"/>
      <c r="AR207" s="935"/>
      <c r="AS207" s="935"/>
      <c r="AT207" s="935"/>
      <c r="AU207" s="935"/>
      <c r="AV207" s="935"/>
      <c r="AW207" s="935"/>
      <c r="AX207" s="935"/>
      <c r="AY207" s="935"/>
      <c r="AZ207" s="935"/>
      <c r="BA207" s="935"/>
      <c r="BB207" s="935"/>
      <c r="BC207" s="935"/>
      <c r="BD207" s="935"/>
      <c r="BE207" s="935"/>
      <c r="BF207" s="935"/>
      <c r="BG207" s="935"/>
      <c r="BH207" s="935"/>
      <c r="BI207" s="935"/>
      <c r="BJ207" s="935"/>
      <c r="BK207" s="935"/>
      <c r="BL207" s="935"/>
      <c r="BM207" s="935"/>
      <c r="BN207" s="935"/>
      <c r="BO207" s="935"/>
      <c r="BP207" s="935"/>
      <c r="BQ207" s="935"/>
      <c r="BR207" s="935"/>
      <c r="BS207" s="935"/>
      <c r="BT207" s="935"/>
    </row>
    <row r="208" spans="1:72" x14ac:dyDescent="0.25">
      <c r="A208" s="935" t="s">
        <v>631</v>
      </c>
      <c r="B208" s="935"/>
      <c r="C208" s="935"/>
      <c r="D208" s="935"/>
      <c r="E208" s="935"/>
      <c r="F208" s="935"/>
      <c r="G208" s="935"/>
      <c r="H208" s="935"/>
      <c r="I208" s="935"/>
      <c r="J208" s="935"/>
      <c r="K208" s="935"/>
      <c r="L208" s="935"/>
      <c r="M208" s="935"/>
      <c r="N208" s="935"/>
      <c r="O208" s="935"/>
      <c r="P208" s="935"/>
      <c r="Q208" s="935"/>
      <c r="R208" s="935"/>
      <c r="S208" s="935"/>
      <c r="T208" s="935"/>
      <c r="U208" s="935"/>
      <c r="V208" s="935"/>
      <c r="W208" s="935"/>
      <c r="X208" s="935"/>
      <c r="Y208" s="935"/>
      <c r="Z208" s="935"/>
      <c r="AA208" s="935"/>
      <c r="AB208" s="935"/>
      <c r="AC208" s="935"/>
      <c r="AD208" s="935"/>
      <c r="AE208" s="935"/>
      <c r="AF208" s="935"/>
      <c r="AG208" s="935"/>
      <c r="AH208" s="935"/>
      <c r="AI208" s="935"/>
      <c r="AJ208" s="935"/>
      <c r="AK208" s="935"/>
      <c r="AL208" s="935"/>
      <c r="AM208" s="935"/>
      <c r="AN208" s="935"/>
      <c r="AO208" s="935"/>
      <c r="AP208" s="935"/>
      <c r="AQ208" s="935"/>
      <c r="AR208" s="935"/>
      <c r="AS208" s="935"/>
      <c r="AT208" s="935"/>
      <c r="AU208" s="935"/>
      <c r="AV208" s="935"/>
      <c r="AW208" s="935"/>
      <c r="AX208" s="935"/>
      <c r="AY208" s="935"/>
      <c r="AZ208" s="935"/>
      <c r="BA208" s="935"/>
      <c r="BB208" s="935"/>
      <c r="BC208" s="935"/>
      <c r="BD208" s="935"/>
      <c r="BE208" s="935"/>
      <c r="BF208" s="935"/>
      <c r="BG208" s="935"/>
      <c r="BH208" s="935"/>
      <c r="BI208" s="935"/>
      <c r="BJ208" s="935"/>
      <c r="BK208" s="935"/>
      <c r="BL208" s="935"/>
      <c r="BM208" s="935"/>
      <c r="BN208" s="935"/>
      <c r="BO208" s="935"/>
      <c r="BP208" s="935"/>
      <c r="BQ208" s="935"/>
      <c r="BR208" s="935"/>
      <c r="BS208" s="935"/>
      <c r="BT208" s="935"/>
    </row>
    <row r="209" spans="1:72" x14ac:dyDescent="0.25">
      <c r="A209" s="935" t="s">
        <v>632</v>
      </c>
      <c r="B209" s="935"/>
      <c r="C209" s="935"/>
      <c r="D209" s="935"/>
      <c r="E209" s="935"/>
      <c r="F209" s="935"/>
      <c r="G209" s="935"/>
      <c r="H209" s="935"/>
      <c r="I209" s="935"/>
      <c r="J209" s="935"/>
      <c r="K209" s="935"/>
      <c r="L209" s="935"/>
      <c r="M209" s="935"/>
      <c r="N209" s="935"/>
      <c r="O209" s="935"/>
      <c r="P209" s="935"/>
      <c r="Q209" s="935"/>
      <c r="R209" s="935"/>
      <c r="S209" s="935"/>
      <c r="T209" s="935"/>
      <c r="U209" s="935"/>
      <c r="V209" s="935"/>
      <c r="W209" s="935"/>
      <c r="X209" s="935"/>
      <c r="Y209" s="935"/>
      <c r="Z209" s="935"/>
      <c r="AA209" s="935"/>
      <c r="AB209" s="935"/>
      <c r="AC209" s="935"/>
      <c r="AD209" s="935"/>
      <c r="AE209" s="935"/>
      <c r="AF209" s="935"/>
      <c r="AG209" s="935"/>
      <c r="AH209" s="935"/>
      <c r="AI209" s="935"/>
      <c r="AJ209" s="935"/>
      <c r="AK209" s="935"/>
      <c r="AL209" s="935"/>
      <c r="AM209" s="935"/>
      <c r="AN209" s="935"/>
      <c r="AO209" s="935"/>
      <c r="AP209" s="935"/>
      <c r="AQ209" s="935"/>
      <c r="AR209" s="935"/>
      <c r="AS209" s="935"/>
      <c r="AT209" s="935"/>
      <c r="AU209" s="935"/>
      <c r="AV209" s="935"/>
      <c r="AW209" s="935"/>
      <c r="AX209" s="935"/>
      <c r="AY209" s="935"/>
      <c r="AZ209" s="935"/>
      <c r="BA209" s="935"/>
      <c r="BB209" s="935"/>
      <c r="BC209" s="935"/>
      <c r="BD209" s="935"/>
      <c r="BE209" s="935"/>
      <c r="BF209" s="935"/>
      <c r="BG209" s="935"/>
      <c r="BH209" s="935"/>
      <c r="BI209" s="935"/>
      <c r="BJ209" s="935"/>
      <c r="BK209" s="935"/>
      <c r="BL209" s="935"/>
      <c r="BM209" s="935"/>
      <c r="BN209" s="935"/>
      <c r="BO209" s="935"/>
      <c r="BP209" s="935"/>
      <c r="BQ209" s="935"/>
      <c r="BR209" s="935"/>
      <c r="BS209" s="935"/>
      <c r="BT209" s="935"/>
    </row>
    <row r="210" spans="1:72" x14ac:dyDescent="0.25">
      <c r="A210" s="935" t="s">
        <v>790</v>
      </c>
      <c r="B210" s="935"/>
      <c r="C210" s="935"/>
      <c r="D210" s="935"/>
      <c r="E210" s="935"/>
      <c r="F210" s="935"/>
      <c r="G210" s="935"/>
      <c r="H210" s="935"/>
      <c r="I210" s="935"/>
      <c r="J210" s="935"/>
      <c r="K210" s="935"/>
      <c r="L210" s="935"/>
      <c r="M210" s="935"/>
      <c r="N210" s="935"/>
      <c r="O210" s="935"/>
      <c r="P210" s="935"/>
      <c r="Q210" s="935"/>
      <c r="R210" s="935"/>
      <c r="S210" s="935"/>
      <c r="T210" s="935"/>
      <c r="U210" s="935"/>
      <c r="V210" s="935"/>
      <c r="W210" s="935"/>
      <c r="X210" s="935"/>
      <c r="Y210" s="935"/>
      <c r="Z210" s="935"/>
      <c r="AA210" s="935"/>
      <c r="AB210" s="935"/>
      <c r="AC210" s="935"/>
      <c r="AD210" s="935"/>
      <c r="AE210" s="935"/>
      <c r="AF210" s="935"/>
      <c r="AG210" s="935"/>
      <c r="AH210" s="935"/>
      <c r="AI210" s="935"/>
      <c r="AJ210" s="935"/>
      <c r="AK210" s="935"/>
      <c r="AL210" s="935"/>
      <c r="AM210" s="935"/>
      <c r="AN210" s="935"/>
      <c r="AO210" s="935"/>
      <c r="AP210" s="935"/>
      <c r="AQ210" s="935"/>
      <c r="AR210" s="935"/>
      <c r="AS210" s="935"/>
      <c r="AT210" s="935"/>
      <c r="AU210" s="935"/>
      <c r="AV210" s="935"/>
      <c r="AW210" s="935"/>
      <c r="AX210" s="935"/>
      <c r="AY210" s="935"/>
      <c r="AZ210" s="935"/>
      <c r="BA210" s="935"/>
      <c r="BB210" s="935"/>
      <c r="BC210" s="935"/>
      <c r="BD210" s="935"/>
      <c r="BE210" s="935"/>
      <c r="BF210" s="935"/>
      <c r="BG210" s="935"/>
      <c r="BH210" s="935"/>
      <c r="BI210" s="935"/>
      <c r="BJ210" s="935"/>
      <c r="BK210" s="935"/>
      <c r="BL210" s="935"/>
      <c r="BM210" s="935"/>
      <c r="BN210" s="935"/>
      <c r="BO210" s="935"/>
      <c r="BP210" s="935"/>
      <c r="BQ210" s="935"/>
      <c r="BR210" s="935"/>
      <c r="BS210" s="935"/>
      <c r="BT210" s="935"/>
    </row>
    <row r="211" spans="1:72" x14ac:dyDescent="0.25">
      <c r="A211" s="935" t="s">
        <v>791</v>
      </c>
      <c r="B211" s="935"/>
      <c r="C211" s="935"/>
      <c r="D211" s="935"/>
      <c r="E211" s="935"/>
      <c r="F211" s="935"/>
      <c r="G211" s="935"/>
      <c r="H211" s="935"/>
      <c r="I211" s="935"/>
      <c r="J211" s="935"/>
      <c r="K211" s="935"/>
      <c r="L211" s="935"/>
      <c r="M211" s="935"/>
      <c r="N211" s="935"/>
      <c r="O211" s="935"/>
      <c r="P211" s="935"/>
      <c r="Q211" s="935"/>
      <c r="R211" s="935"/>
      <c r="S211" s="935"/>
      <c r="T211" s="935"/>
      <c r="U211" s="935"/>
      <c r="V211" s="935"/>
      <c r="W211" s="935"/>
      <c r="X211" s="935"/>
      <c r="Y211" s="935"/>
      <c r="Z211" s="935"/>
      <c r="AA211" s="935"/>
      <c r="AB211" s="935"/>
      <c r="AC211" s="935"/>
      <c r="AD211" s="935"/>
      <c r="AE211" s="935"/>
      <c r="AF211" s="935"/>
      <c r="AG211" s="935"/>
      <c r="AH211" s="935"/>
      <c r="AI211" s="935"/>
      <c r="AJ211" s="935"/>
      <c r="AK211" s="935"/>
      <c r="AL211" s="935"/>
      <c r="AM211" s="935"/>
      <c r="AN211" s="935"/>
      <c r="AO211" s="935"/>
      <c r="AP211" s="935"/>
      <c r="AQ211" s="935"/>
      <c r="AR211" s="935"/>
      <c r="AS211" s="935"/>
      <c r="AT211" s="935"/>
      <c r="AU211" s="935"/>
      <c r="AV211" s="935"/>
      <c r="AW211" s="935"/>
      <c r="AX211" s="935"/>
      <c r="AY211" s="935"/>
      <c r="AZ211" s="935"/>
      <c r="BA211" s="935"/>
      <c r="BB211" s="935"/>
      <c r="BC211" s="935"/>
      <c r="BD211" s="935"/>
      <c r="BE211" s="935"/>
      <c r="BF211" s="935"/>
      <c r="BG211" s="935"/>
      <c r="BH211" s="935"/>
      <c r="BI211" s="935"/>
      <c r="BJ211" s="935"/>
      <c r="BK211" s="935"/>
      <c r="BL211" s="935"/>
      <c r="BM211" s="935"/>
      <c r="BN211" s="935"/>
      <c r="BO211" s="935"/>
      <c r="BP211" s="935"/>
      <c r="BQ211" s="935"/>
      <c r="BR211" s="935"/>
      <c r="BS211" s="935"/>
      <c r="BT211" s="935"/>
    </row>
    <row r="212" spans="1:72" x14ac:dyDescent="0.25">
      <c r="A212" s="935" t="s">
        <v>649</v>
      </c>
      <c r="B212" s="935"/>
      <c r="C212" s="935"/>
      <c r="D212" s="935"/>
      <c r="E212" s="935"/>
      <c r="F212" s="935"/>
      <c r="G212" s="935"/>
      <c r="H212" s="935"/>
      <c r="I212" s="935"/>
      <c r="J212" s="935"/>
      <c r="K212" s="935"/>
      <c r="L212" s="935"/>
      <c r="M212" s="935"/>
      <c r="N212" s="935"/>
      <c r="O212" s="935"/>
      <c r="P212" s="935"/>
      <c r="Q212" s="935"/>
      <c r="R212" s="935"/>
      <c r="S212" s="935"/>
      <c r="T212" s="935"/>
      <c r="U212" s="935"/>
      <c r="V212" s="935"/>
      <c r="W212" s="935"/>
      <c r="X212" s="935"/>
      <c r="Y212" s="935"/>
      <c r="Z212" s="935"/>
      <c r="AA212" s="935"/>
      <c r="AB212" s="935"/>
      <c r="AC212" s="935"/>
      <c r="AD212" s="935"/>
      <c r="AE212" s="935"/>
      <c r="AF212" s="935"/>
      <c r="AG212" s="935"/>
      <c r="AH212" s="935"/>
      <c r="AI212" s="935"/>
      <c r="AJ212" s="935"/>
      <c r="AK212" s="935"/>
      <c r="AL212" s="935"/>
      <c r="AM212" s="935"/>
      <c r="AN212" s="935"/>
      <c r="AO212" s="935"/>
      <c r="AP212" s="935"/>
      <c r="AQ212" s="935"/>
      <c r="AR212" s="935"/>
      <c r="AS212" s="935"/>
      <c r="AT212" s="935"/>
      <c r="AU212" s="935"/>
      <c r="AV212" s="935"/>
      <c r="AW212" s="935"/>
      <c r="AX212" s="935"/>
      <c r="AY212" s="935"/>
      <c r="AZ212" s="935"/>
      <c r="BA212" s="935"/>
      <c r="BB212" s="935"/>
      <c r="BC212" s="935"/>
      <c r="BD212" s="935"/>
      <c r="BE212" s="935"/>
      <c r="BF212" s="935"/>
      <c r="BG212" s="935"/>
      <c r="BH212" s="935"/>
      <c r="BI212" s="935"/>
      <c r="BJ212" s="935"/>
      <c r="BK212" s="935"/>
      <c r="BL212" s="935"/>
      <c r="BM212" s="935"/>
      <c r="BN212" s="935"/>
      <c r="BO212" s="935"/>
      <c r="BP212" s="935"/>
      <c r="BQ212" s="935"/>
      <c r="BR212" s="935"/>
      <c r="BS212" s="935"/>
      <c r="BT212" s="935"/>
    </row>
    <row r="213" spans="1:72" x14ac:dyDescent="0.25">
      <c r="A213" s="935" t="s">
        <v>650</v>
      </c>
      <c r="B213" s="935"/>
      <c r="C213" s="935"/>
      <c r="D213" s="935"/>
      <c r="E213" s="935"/>
      <c r="F213" s="935"/>
      <c r="G213" s="935"/>
      <c r="H213" s="935"/>
      <c r="I213" s="935"/>
      <c r="J213" s="935"/>
      <c r="K213" s="935"/>
      <c r="L213" s="935"/>
      <c r="M213" s="935"/>
      <c r="N213" s="935"/>
      <c r="O213" s="935"/>
      <c r="P213" s="935"/>
      <c r="Q213" s="935"/>
      <c r="R213" s="935"/>
      <c r="S213" s="935"/>
      <c r="T213" s="935"/>
      <c r="U213" s="935"/>
      <c r="V213" s="935"/>
      <c r="W213" s="935"/>
      <c r="X213" s="935"/>
      <c r="Y213" s="935"/>
      <c r="Z213" s="935"/>
      <c r="AA213" s="935"/>
      <c r="AB213" s="935"/>
      <c r="AC213" s="935"/>
      <c r="AD213" s="935"/>
      <c r="AE213" s="935"/>
      <c r="AF213" s="935"/>
      <c r="AG213" s="935"/>
      <c r="AH213" s="935"/>
      <c r="AI213" s="935"/>
      <c r="AJ213" s="935"/>
      <c r="AK213" s="935"/>
      <c r="AL213" s="935"/>
      <c r="AM213" s="935"/>
      <c r="AN213" s="935"/>
      <c r="AO213" s="935"/>
      <c r="AP213" s="935"/>
      <c r="AQ213" s="935"/>
      <c r="AR213" s="935"/>
      <c r="AS213" s="935"/>
      <c r="AT213" s="935"/>
      <c r="AU213" s="935"/>
      <c r="AV213" s="935"/>
      <c r="AW213" s="935"/>
      <c r="AX213" s="935"/>
      <c r="AY213" s="935"/>
      <c r="AZ213" s="935"/>
      <c r="BA213" s="935"/>
      <c r="BB213" s="935"/>
      <c r="BC213" s="935"/>
      <c r="BD213" s="935"/>
      <c r="BE213" s="935"/>
      <c r="BF213" s="935"/>
      <c r="BG213" s="935"/>
      <c r="BH213" s="935"/>
      <c r="BI213" s="935"/>
      <c r="BJ213" s="935"/>
      <c r="BK213" s="935"/>
      <c r="BL213" s="935"/>
      <c r="BM213" s="935"/>
      <c r="BN213" s="935"/>
      <c r="BO213" s="935"/>
      <c r="BP213" s="935"/>
      <c r="BQ213" s="935"/>
      <c r="BR213" s="935"/>
      <c r="BS213" s="935"/>
      <c r="BT213" s="935"/>
    </row>
    <row r="214" spans="1:72" x14ac:dyDescent="0.25">
      <c r="A214" s="935" t="s">
        <v>651</v>
      </c>
      <c r="B214" s="935"/>
      <c r="C214" s="935"/>
      <c r="D214" s="935"/>
      <c r="E214" s="935"/>
      <c r="F214" s="935"/>
      <c r="G214" s="935"/>
      <c r="H214" s="935"/>
      <c r="I214" s="935"/>
      <c r="J214" s="935"/>
      <c r="K214" s="935"/>
      <c r="L214" s="935"/>
      <c r="M214" s="935"/>
      <c r="N214" s="935"/>
      <c r="O214" s="935"/>
      <c r="P214" s="935"/>
      <c r="Q214" s="935"/>
      <c r="R214" s="935"/>
      <c r="S214" s="935"/>
      <c r="T214" s="935"/>
      <c r="U214" s="935"/>
      <c r="V214" s="935"/>
      <c r="W214" s="935"/>
      <c r="X214" s="935"/>
      <c r="Y214" s="935"/>
      <c r="Z214" s="935"/>
      <c r="AA214" s="935"/>
      <c r="AB214" s="935"/>
      <c r="AC214" s="935"/>
      <c r="AD214" s="935"/>
      <c r="AE214" s="935"/>
      <c r="AF214" s="935"/>
      <c r="AG214" s="935"/>
      <c r="AH214" s="935"/>
      <c r="AI214" s="935"/>
      <c r="AJ214" s="935"/>
      <c r="AK214" s="935"/>
      <c r="AL214" s="935"/>
      <c r="AM214" s="935"/>
      <c r="AN214" s="935"/>
      <c r="AO214" s="935"/>
      <c r="AP214" s="935"/>
      <c r="AQ214" s="935"/>
      <c r="AR214" s="935"/>
      <c r="AS214" s="935"/>
      <c r="AT214" s="935"/>
      <c r="AU214" s="935"/>
      <c r="AV214" s="935"/>
      <c r="AW214" s="935"/>
      <c r="AX214" s="935"/>
      <c r="AY214" s="935"/>
      <c r="AZ214" s="935"/>
      <c r="BA214" s="935"/>
      <c r="BB214" s="935"/>
      <c r="BC214" s="935"/>
      <c r="BD214" s="935"/>
      <c r="BE214" s="935"/>
      <c r="BF214" s="935"/>
      <c r="BG214" s="935"/>
      <c r="BH214" s="935"/>
      <c r="BI214" s="935"/>
      <c r="BJ214" s="935"/>
      <c r="BK214" s="935"/>
      <c r="BL214" s="935"/>
      <c r="BM214" s="935"/>
      <c r="BN214" s="935"/>
      <c r="BO214" s="935"/>
      <c r="BP214" s="935"/>
      <c r="BQ214" s="935"/>
      <c r="BR214" s="935"/>
      <c r="BS214" s="935"/>
      <c r="BT214" s="935"/>
    </row>
    <row r="215" spans="1:72" x14ac:dyDescent="0.25">
      <c r="A215" s="935" t="s">
        <v>652</v>
      </c>
      <c r="B215" s="935"/>
      <c r="C215" s="935"/>
      <c r="D215" s="935"/>
      <c r="E215" s="935"/>
      <c r="F215" s="935"/>
      <c r="G215" s="935"/>
      <c r="H215" s="935"/>
      <c r="I215" s="935"/>
      <c r="J215" s="935"/>
      <c r="K215" s="935"/>
      <c r="L215" s="935"/>
      <c r="M215" s="935"/>
      <c r="N215" s="935"/>
      <c r="O215" s="935"/>
      <c r="P215" s="935"/>
      <c r="Q215" s="935"/>
      <c r="R215" s="935"/>
      <c r="S215" s="935"/>
      <c r="T215" s="935"/>
      <c r="U215" s="935"/>
      <c r="V215" s="935"/>
      <c r="W215" s="935"/>
      <c r="X215" s="935"/>
      <c r="Y215" s="935"/>
      <c r="Z215" s="935"/>
      <c r="AA215" s="935"/>
      <c r="AB215" s="935"/>
      <c r="AC215" s="935"/>
      <c r="AD215" s="935"/>
      <c r="AE215" s="935"/>
      <c r="AF215" s="935"/>
      <c r="AG215" s="935"/>
      <c r="AH215" s="935"/>
      <c r="AI215" s="935"/>
      <c r="AJ215" s="935"/>
      <c r="AK215" s="935"/>
      <c r="AL215" s="935"/>
      <c r="AM215" s="935"/>
      <c r="AN215" s="935"/>
      <c r="AO215" s="935"/>
      <c r="AP215" s="935"/>
      <c r="AQ215" s="935"/>
      <c r="AR215" s="935"/>
      <c r="AS215" s="935"/>
      <c r="AT215" s="935"/>
      <c r="AU215" s="935"/>
      <c r="AV215" s="935"/>
      <c r="AW215" s="935"/>
      <c r="AX215" s="935"/>
      <c r="AY215" s="935"/>
      <c r="AZ215" s="935"/>
      <c r="BA215" s="935"/>
      <c r="BB215" s="935"/>
      <c r="BC215" s="935"/>
      <c r="BD215" s="935"/>
      <c r="BE215" s="935"/>
      <c r="BF215" s="935"/>
      <c r="BG215" s="935"/>
      <c r="BH215" s="935"/>
      <c r="BI215" s="935"/>
      <c r="BJ215" s="935"/>
      <c r="BK215" s="935"/>
      <c r="BL215" s="935"/>
      <c r="BM215" s="935"/>
      <c r="BN215" s="935"/>
      <c r="BO215" s="935"/>
      <c r="BP215" s="935"/>
      <c r="BQ215" s="935"/>
      <c r="BR215" s="935"/>
      <c r="BS215" s="935"/>
      <c r="BT215" s="935"/>
    </row>
    <row r="216" spans="1:72" x14ac:dyDescent="0.25">
      <c r="A216" s="935" t="s">
        <v>653</v>
      </c>
      <c r="B216" s="935"/>
      <c r="C216" s="935"/>
      <c r="D216" s="935"/>
      <c r="E216" s="935"/>
      <c r="F216" s="935"/>
      <c r="G216" s="935"/>
      <c r="H216" s="935"/>
      <c r="I216" s="935"/>
      <c r="J216" s="935"/>
      <c r="K216" s="935"/>
      <c r="L216" s="935"/>
      <c r="M216" s="935"/>
      <c r="N216" s="935"/>
      <c r="O216" s="935"/>
      <c r="P216" s="935"/>
      <c r="Q216" s="935"/>
      <c r="R216" s="935"/>
      <c r="S216" s="935"/>
      <c r="T216" s="935"/>
      <c r="U216" s="935"/>
      <c r="V216" s="935"/>
      <c r="W216" s="935"/>
      <c r="X216" s="935"/>
      <c r="Y216" s="935"/>
      <c r="Z216" s="935"/>
      <c r="AA216" s="935"/>
      <c r="AB216" s="935"/>
      <c r="AC216" s="935"/>
      <c r="AD216" s="935"/>
      <c r="AE216" s="935"/>
      <c r="AF216" s="935"/>
      <c r="AG216" s="935"/>
      <c r="AH216" s="935"/>
      <c r="AI216" s="935"/>
      <c r="AJ216" s="935"/>
      <c r="AK216" s="935"/>
      <c r="AL216" s="935"/>
      <c r="AM216" s="935"/>
      <c r="AN216" s="935"/>
      <c r="AO216" s="935"/>
      <c r="AP216" s="935"/>
      <c r="AQ216" s="935"/>
      <c r="AR216" s="935"/>
      <c r="AS216" s="935"/>
      <c r="AT216" s="935"/>
      <c r="AU216" s="935"/>
      <c r="AV216" s="935"/>
      <c r="AW216" s="935"/>
      <c r="AX216" s="935"/>
      <c r="AY216" s="935"/>
      <c r="AZ216" s="935"/>
      <c r="BA216" s="935"/>
      <c r="BB216" s="935"/>
      <c r="BC216" s="935"/>
      <c r="BD216" s="935"/>
      <c r="BE216" s="935"/>
      <c r="BF216" s="935"/>
      <c r="BG216" s="935"/>
      <c r="BH216" s="935"/>
      <c r="BI216" s="935"/>
      <c r="BJ216" s="935"/>
      <c r="BK216" s="935"/>
      <c r="BL216" s="935"/>
      <c r="BM216" s="935"/>
      <c r="BN216" s="935"/>
      <c r="BO216" s="935"/>
      <c r="BP216" s="935"/>
      <c r="BQ216" s="935"/>
      <c r="BR216" s="935"/>
      <c r="BS216" s="935"/>
      <c r="BT216" s="935"/>
    </row>
    <row r="217" spans="1:72" x14ac:dyDescent="0.25">
      <c r="A217" s="935" t="s">
        <v>654</v>
      </c>
      <c r="B217" s="935"/>
      <c r="C217" s="935"/>
      <c r="D217" s="935"/>
      <c r="E217" s="935"/>
      <c r="F217" s="935"/>
      <c r="G217" s="935"/>
      <c r="H217" s="935"/>
      <c r="I217" s="935"/>
      <c r="J217" s="935"/>
      <c r="K217" s="935"/>
      <c r="L217" s="935"/>
      <c r="M217" s="935"/>
      <c r="N217" s="935"/>
      <c r="O217" s="935"/>
      <c r="P217" s="935"/>
      <c r="Q217" s="935"/>
      <c r="R217" s="935"/>
      <c r="S217" s="935"/>
      <c r="T217" s="935"/>
      <c r="U217" s="935"/>
      <c r="V217" s="935"/>
      <c r="W217" s="935"/>
      <c r="X217" s="935"/>
      <c r="Y217" s="935"/>
      <c r="Z217" s="935"/>
      <c r="AA217" s="935"/>
      <c r="AB217" s="935"/>
      <c r="AC217" s="935"/>
      <c r="AD217" s="935"/>
      <c r="AE217" s="935"/>
      <c r="AF217" s="935"/>
      <c r="AG217" s="935"/>
      <c r="AH217" s="935"/>
      <c r="AI217" s="935"/>
      <c r="AJ217" s="935"/>
      <c r="AK217" s="935"/>
      <c r="AL217" s="935"/>
      <c r="AM217" s="935"/>
      <c r="AN217" s="935"/>
      <c r="AO217" s="935"/>
      <c r="AP217" s="935"/>
      <c r="AQ217" s="935"/>
      <c r="AR217" s="935"/>
      <c r="AS217" s="935"/>
      <c r="AT217" s="935"/>
      <c r="AU217" s="935"/>
      <c r="AV217" s="935"/>
      <c r="AW217" s="935"/>
      <c r="AX217" s="935"/>
      <c r="AY217" s="935"/>
      <c r="AZ217" s="935"/>
      <c r="BA217" s="935"/>
      <c r="BB217" s="935"/>
      <c r="BC217" s="935"/>
      <c r="BD217" s="935"/>
      <c r="BE217" s="935"/>
      <c r="BF217" s="935"/>
      <c r="BG217" s="935"/>
      <c r="BH217" s="935"/>
      <c r="BI217" s="935"/>
      <c r="BJ217" s="935"/>
      <c r="BK217" s="935"/>
      <c r="BL217" s="935"/>
      <c r="BM217" s="935"/>
      <c r="BN217" s="935"/>
      <c r="BO217" s="935"/>
      <c r="BP217" s="935"/>
      <c r="BQ217" s="935"/>
      <c r="BR217" s="935"/>
      <c r="BS217" s="935"/>
      <c r="BT217" s="935"/>
    </row>
    <row r="218" spans="1:72" x14ac:dyDescent="0.25">
      <c r="A218" s="935" t="s">
        <v>545</v>
      </c>
      <c r="B218" s="935"/>
      <c r="C218" s="935"/>
      <c r="D218" s="935"/>
      <c r="E218" s="935"/>
      <c r="F218" s="935"/>
      <c r="G218" s="935"/>
      <c r="H218" s="935"/>
      <c r="I218" s="935"/>
      <c r="J218" s="935"/>
      <c r="K218" s="935"/>
      <c r="L218" s="935"/>
      <c r="M218" s="935"/>
      <c r="N218" s="935"/>
      <c r="O218" s="935"/>
      <c r="P218" s="935"/>
      <c r="Q218" s="935"/>
      <c r="R218" s="935"/>
      <c r="S218" s="935"/>
      <c r="T218" s="935"/>
      <c r="U218" s="935"/>
      <c r="V218" s="935"/>
      <c r="W218" s="935"/>
      <c r="X218" s="935"/>
      <c r="Y218" s="935"/>
      <c r="Z218" s="935"/>
      <c r="AA218" s="935"/>
      <c r="AB218" s="935"/>
      <c r="AC218" s="935"/>
      <c r="AD218" s="935"/>
      <c r="AE218" s="935"/>
      <c r="AF218" s="935"/>
      <c r="AG218" s="935"/>
      <c r="AH218" s="935"/>
      <c r="AI218" s="935"/>
      <c r="AJ218" s="935"/>
      <c r="AK218" s="935"/>
      <c r="AL218" s="935"/>
      <c r="AM218" s="935"/>
      <c r="AN218" s="935"/>
      <c r="AO218" s="935"/>
      <c r="AP218" s="935"/>
      <c r="AQ218" s="935"/>
      <c r="AR218" s="935"/>
      <c r="AS218" s="935"/>
      <c r="AT218" s="935"/>
      <c r="AU218" s="935"/>
      <c r="AV218" s="935"/>
      <c r="AW218" s="935"/>
      <c r="AX218" s="935"/>
      <c r="AY218" s="935"/>
      <c r="AZ218" s="935"/>
      <c r="BA218" s="935"/>
      <c r="BB218" s="935"/>
      <c r="BC218" s="935"/>
      <c r="BD218" s="935"/>
      <c r="BE218" s="935"/>
      <c r="BF218" s="935"/>
      <c r="BG218" s="935"/>
      <c r="BH218" s="935"/>
      <c r="BI218" s="935"/>
      <c r="BJ218" s="935"/>
      <c r="BK218" s="935"/>
      <c r="BL218" s="935"/>
      <c r="BM218" s="935"/>
      <c r="BN218" s="935"/>
      <c r="BO218" s="935"/>
      <c r="BP218" s="935"/>
      <c r="BQ218" s="935"/>
      <c r="BR218" s="935"/>
      <c r="BS218" s="935"/>
      <c r="BT218" s="935"/>
    </row>
    <row r="219" spans="1:72" x14ac:dyDescent="0.25">
      <c r="A219" s="935" t="s">
        <v>730</v>
      </c>
      <c r="B219" s="935"/>
      <c r="C219" s="935"/>
      <c r="D219" s="935"/>
      <c r="E219" s="935"/>
      <c r="F219" s="935"/>
      <c r="G219" s="935"/>
      <c r="H219" s="935"/>
      <c r="I219" s="935"/>
      <c r="J219" s="935"/>
      <c r="K219" s="935"/>
      <c r="L219" s="935"/>
      <c r="M219" s="935"/>
      <c r="N219" s="935"/>
      <c r="O219" s="935"/>
      <c r="P219" s="935"/>
      <c r="Q219" s="935"/>
      <c r="R219" s="935"/>
      <c r="S219" s="935"/>
      <c r="T219" s="935"/>
      <c r="U219" s="935"/>
      <c r="V219" s="935"/>
      <c r="W219" s="935"/>
      <c r="X219" s="935"/>
      <c r="Y219" s="935"/>
      <c r="Z219" s="935"/>
      <c r="AA219" s="935"/>
      <c r="AB219" s="935"/>
      <c r="AC219" s="935"/>
      <c r="AD219" s="935"/>
      <c r="AE219" s="935"/>
      <c r="AF219" s="935"/>
      <c r="AG219" s="935"/>
      <c r="AH219" s="935"/>
      <c r="AI219" s="935"/>
      <c r="AJ219" s="935"/>
      <c r="AK219" s="935"/>
      <c r="AL219" s="935"/>
      <c r="AM219" s="935"/>
      <c r="AN219" s="935"/>
      <c r="AO219" s="935"/>
      <c r="AP219" s="935"/>
      <c r="AQ219" s="935"/>
      <c r="AR219" s="935"/>
      <c r="AS219" s="935"/>
      <c r="AT219" s="935"/>
      <c r="AU219" s="935"/>
      <c r="AV219" s="935"/>
      <c r="AW219" s="935"/>
      <c r="AX219" s="935"/>
      <c r="AY219" s="935"/>
      <c r="AZ219" s="935"/>
      <c r="BA219" s="935"/>
      <c r="BB219" s="935"/>
      <c r="BC219" s="935"/>
      <c r="BD219" s="935"/>
      <c r="BE219" s="935"/>
      <c r="BF219" s="935"/>
      <c r="BG219" s="935"/>
      <c r="BH219" s="935"/>
      <c r="BI219" s="935"/>
      <c r="BJ219" s="935"/>
      <c r="BK219" s="935"/>
      <c r="BL219" s="935"/>
      <c r="BM219" s="935"/>
      <c r="BN219" s="935"/>
      <c r="BO219" s="935"/>
      <c r="BP219" s="935"/>
      <c r="BQ219" s="935"/>
      <c r="BR219" s="935"/>
      <c r="BS219" s="935"/>
      <c r="BT219" s="935"/>
    </row>
    <row r="220" spans="1:72" x14ac:dyDescent="0.25">
      <c r="A220" s="935" t="s">
        <v>792</v>
      </c>
      <c r="B220" s="935"/>
      <c r="C220" s="935"/>
      <c r="D220" s="935"/>
      <c r="E220" s="935"/>
      <c r="F220" s="935"/>
      <c r="G220" s="935"/>
      <c r="H220" s="935"/>
      <c r="I220" s="935"/>
      <c r="J220" s="935"/>
      <c r="K220" s="935"/>
      <c r="L220" s="935"/>
      <c r="M220" s="935"/>
      <c r="N220" s="935"/>
      <c r="O220" s="935"/>
      <c r="P220" s="935"/>
      <c r="Q220" s="935"/>
      <c r="R220" s="935"/>
      <c r="S220" s="935"/>
      <c r="T220" s="935"/>
      <c r="U220" s="935"/>
      <c r="V220" s="935"/>
      <c r="W220" s="935"/>
      <c r="X220" s="935"/>
      <c r="Y220" s="935"/>
      <c r="Z220" s="935"/>
      <c r="AA220" s="935"/>
      <c r="AB220" s="935"/>
      <c r="AC220" s="935"/>
      <c r="AD220" s="935"/>
      <c r="AE220" s="935"/>
      <c r="AF220" s="935"/>
      <c r="AG220" s="935"/>
      <c r="AH220" s="935"/>
      <c r="AI220" s="935"/>
      <c r="AJ220" s="935"/>
      <c r="AK220" s="935"/>
      <c r="AL220" s="935"/>
      <c r="AM220" s="935"/>
      <c r="AN220" s="935"/>
      <c r="AO220" s="935"/>
      <c r="AP220" s="935"/>
      <c r="AQ220" s="935"/>
      <c r="AR220" s="935"/>
      <c r="AS220" s="935"/>
      <c r="AT220" s="935"/>
      <c r="AU220" s="935"/>
      <c r="AV220" s="935"/>
      <c r="AW220" s="935"/>
      <c r="AX220" s="935"/>
      <c r="AY220" s="935"/>
      <c r="AZ220" s="935"/>
      <c r="BA220" s="935"/>
      <c r="BB220" s="935"/>
      <c r="BC220" s="935"/>
      <c r="BD220" s="935"/>
      <c r="BE220" s="935"/>
      <c r="BF220" s="935"/>
      <c r="BG220" s="935"/>
      <c r="BH220" s="935"/>
      <c r="BI220" s="935"/>
      <c r="BJ220" s="935"/>
      <c r="BK220" s="935"/>
      <c r="BL220" s="935"/>
      <c r="BM220" s="935"/>
      <c r="BN220" s="935"/>
      <c r="BO220" s="935"/>
      <c r="BP220" s="935"/>
      <c r="BQ220" s="935"/>
      <c r="BR220" s="935"/>
      <c r="BS220" s="935"/>
      <c r="BT220" s="935"/>
    </row>
    <row r="221" spans="1:72" x14ac:dyDescent="0.25">
      <c r="A221" s="935" t="s">
        <v>793</v>
      </c>
      <c r="B221" s="935"/>
      <c r="C221" s="935"/>
      <c r="D221" s="935"/>
      <c r="E221" s="935"/>
      <c r="F221" s="935"/>
      <c r="G221" s="935"/>
      <c r="H221" s="935"/>
      <c r="I221" s="935"/>
      <c r="J221" s="935"/>
      <c r="K221" s="935"/>
      <c r="L221" s="935"/>
      <c r="M221" s="935"/>
      <c r="N221" s="935"/>
      <c r="O221" s="935"/>
      <c r="P221" s="935"/>
      <c r="Q221" s="935"/>
      <c r="R221" s="935"/>
      <c r="S221" s="935"/>
      <c r="T221" s="935"/>
      <c r="U221" s="935"/>
      <c r="V221" s="935"/>
      <c r="W221" s="935"/>
      <c r="X221" s="935"/>
      <c r="Y221" s="935"/>
      <c r="Z221" s="935"/>
      <c r="AA221" s="935"/>
      <c r="AB221" s="935"/>
      <c r="AC221" s="935"/>
      <c r="AD221" s="935"/>
      <c r="AE221" s="935"/>
      <c r="AF221" s="935"/>
      <c r="AG221" s="935"/>
      <c r="AH221" s="935"/>
      <c r="AI221" s="935"/>
      <c r="AJ221" s="935"/>
      <c r="AK221" s="935"/>
      <c r="AL221" s="935"/>
      <c r="AM221" s="935"/>
      <c r="AN221" s="935"/>
      <c r="AO221" s="935"/>
      <c r="AP221" s="935"/>
      <c r="AQ221" s="935"/>
      <c r="AR221" s="935"/>
      <c r="AS221" s="935"/>
      <c r="AT221" s="935"/>
      <c r="AU221" s="935"/>
      <c r="AV221" s="935"/>
      <c r="AW221" s="935"/>
      <c r="AX221" s="935"/>
      <c r="AY221" s="935"/>
      <c r="AZ221" s="935"/>
      <c r="BA221" s="935"/>
      <c r="BB221" s="935"/>
      <c r="BC221" s="935"/>
      <c r="BD221" s="935"/>
      <c r="BE221" s="935"/>
      <c r="BF221" s="935"/>
      <c r="BG221" s="935"/>
      <c r="BH221" s="935"/>
      <c r="BI221" s="935"/>
      <c r="BJ221" s="935"/>
      <c r="BK221" s="935"/>
      <c r="BL221" s="935"/>
      <c r="BM221" s="935"/>
      <c r="BN221" s="935"/>
      <c r="BO221" s="935"/>
      <c r="BP221" s="935"/>
      <c r="BQ221" s="935"/>
      <c r="BR221" s="935"/>
      <c r="BS221" s="935"/>
      <c r="BT221" s="935"/>
    </row>
    <row r="222" spans="1:72" x14ac:dyDescent="0.25">
      <c r="A222" s="935" t="s">
        <v>794</v>
      </c>
      <c r="B222" s="935"/>
      <c r="C222" s="935"/>
      <c r="D222" s="935"/>
      <c r="E222" s="935"/>
      <c r="F222" s="935"/>
      <c r="G222" s="935"/>
      <c r="H222" s="935"/>
      <c r="I222" s="935"/>
      <c r="J222" s="935"/>
      <c r="K222" s="935"/>
      <c r="L222" s="935"/>
      <c r="M222" s="935"/>
      <c r="N222" s="935"/>
      <c r="O222" s="935"/>
      <c r="P222" s="935"/>
      <c r="Q222" s="935"/>
      <c r="R222" s="935"/>
      <c r="S222" s="935"/>
      <c r="T222" s="935"/>
      <c r="U222" s="935"/>
      <c r="V222" s="935"/>
      <c r="W222" s="935"/>
      <c r="X222" s="935"/>
      <c r="Y222" s="935"/>
      <c r="Z222" s="935"/>
      <c r="AA222" s="935"/>
      <c r="AB222" s="935"/>
      <c r="AC222" s="935"/>
      <c r="AD222" s="935"/>
      <c r="AE222" s="935"/>
      <c r="AF222" s="935"/>
      <c r="AG222" s="935"/>
      <c r="AH222" s="935"/>
      <c r="AI222" s="935"/>
      <c r="AJ222" s="935"/>
      <c r="AK222" s="935"/>
      <c r="AL222" s="935"/>
      <c r="AM222" s="935"/>
      <c r="AN222" s="935"/>
      <c r="AO222" s="935"/>
      <c r="AP222" s="935"/>
      <c r="AQ222" s="935"/>
      <c r="AR222" s="935"/>
      <c r="AS222" s="935"/>
      <c r="AT222" s="935"/>
      <c r="AU222" s="935"/>
      <c r="AV222" s="935"/>
      <c r="AW222" s="935"/>
      <c r="AX222" s="935"/>
      <c r="AY222" s="935"/>
      <c r="AZ222" s="935"/>
      <c r="BA222" s="935"/>
      <c r="BB222" s="935"/>
      <c r="BC222" s="935"/>
      <c r="BD222" s="935"/>
      <c r="BE222" s="935"/>
      <c r="BF222" s="935"/>
      <c r="BG222" s="935"/>
      <c r="BH222" s="935"/>
      <c r="BI222" s="935"/>
      <c r="BJ222" s="935"/>
      <c r="BK222" s="935"/>
      <c r="BL222" s="935"/>
      <c r="BM222" s="935"/>
      <c r="BN222" s="935"/>
      <c r="BO222" s="935"/>
      <c r="BP222" s="935"/>
      <c r="BQ222" s="935"/>
      <c r="BR222" s="935"/>
      <c r="BS222" s="935"/>
      <c r="BT222" s="935"/>
    </row>
    <row r="223" spans="1:72" x14ac:dyDescent="0.25">
      <c r="A223" s="935" t="s">
        <v>795</v>
      </c>
      <c r="B223" s="935"/>
      <c r="C223" s="935"/>
      <c r="D223" s="935"/>
      <c r="E223" s="935"/>
      <c r="F223" s="935"/>
      <c r="G223" s="935"/>
      <c r="H223" s="935"/>
      <c r="I223" s="935"/>
      <c r="J223" s="935"/>
      <c r="K223" s="935"/>
      <c r="L223" s="935"/>
      <c r="M223" s="935"/>
      <c r="N223" s="935"/>
      <c r="O223" s="935"/>
      <c r="P223" s="935"/>
      <c r="Q223" s="935"/>
      <c r="R223" s="935"/>
      <c r="S223" s="935"/>
      <c r="T223" s="935"/>
      <c r="U223" s="935"/>
      <c r="V223" s="935"/>
      <c r="W223" s="935"/>
      <c r="X223" s="935"/>
      <c r="Y223" s="935"/>
      <c r="Z223" s="935"/>
      <c r="AA223" s="935"/>
      <c r="AB223" s="935"/>
      <c r="AC223" s="935"/>
      <c r="AD223" s="935"/>
      <c r="AE223" s="935"/>
      <c r="AF223" s="935"/>
      <c r="AG223" s="935"/>
      <c r="AH223" s="935"/>
      <c r="AI223" s="935"/>
      <c r="AJ223" s="935"/>
      <c r="AK223" s="935"/>
      <c r="AL223" s="935"/>
      <c r="AM223" s="935"/>
      <c r="AN223" s="935"/>
      <c r="AO223" s="935"/>
      <c r="AP223" s="935"/>
      <c r="AQ223" s="935"/>
      <c r="AR223" s="935"/>
      <c r="AS223" s="935"/>
      <c r="AT223" s="935"/>
      <c r="AU223" s="935"/>
      <c r="AV223" s="935"/>
      <c r="AW223" s="935"/>
      <c r="AX223" s="935"/>
      <c r="AY223" s="935"/>
      <c r="AZ223" s="935"/>
      <c r="BA223" s="935"/>
      <c r="BB223" s="935"/>
      <c r="BC223" s="935"/>
      <c r="BD223" s="935"/>
      <c r="BE223" s="935"/>
      <c r="BF223" s="935"/>
      <c r="BG223" s="935"/>
      <c r="BH223" s="935"/>
      <c r="BI223" s="935"/>
      <c r="BJ223" s="935"/>
      <c r="BK223" s="935"/>
      <c r="BL223" s="935"/>
      <c r="BM223" s="935"/>
      <c r="BN223" s="935"/>
      <c r="BO223" s="935"/>
      <c r="BP223" s="935"/>
      <c r="BQ223" s="935"/>
      <c r="BR223" s="935"/>
      <c r="BS223" s="935"/>
      <c r="BT223" s="935"/>
    </row>
    <row r="224" spans="1:72" x14ac:dyDescent="0.25">
      <c r="A224" s="935" t="s">
        <v>796</v>
      </c>
      <c r="B224" s="935"/>
      <c r="C224" s="935"/>
      <c r="D224" s="935"/>
      <c r="E224" s="935"/>
      <c r="F224" s="935"/>
      <c r="G224" s="935"/>
      <c r="H224" s="935"/>
      <c r="I224" s="935"/>
      <c r="J224" s="935"/>
      <c r="K224" s="935"/>
      <c r="L224" s="935"/>
      <c r="M224" s="935"/>
      <c r="N224" s="935"/>
      <c r="O224" s="935"/>
      <c r="P224" s="935"/>
      <c r="Q224" s="935"/>
      <c r="R224" s="935"/>
      <c r="S224" s="935"/>
      <c r="T224" s="935"/>
      <c r="U224" s="935"/>
      <c r="V224" s="935"/>
      <c r="W224" s="935"/>
      <c r="X224" s="935"/>
      <c r="Y224" s="935"/>
      <c r="Z224" s="935"/>
      <c r="AA224" s="935"/>
      <c r="AB224" s="935"/>
      <c r="AC224" s="935"/>
      <c r="AD224" s="935"/>
      <c r="AE224" s="935"/>
      <c r="AF224" s="935"/>
      <c r="AG224" s="935"/>
      <c r="AH224" s="935"/>
      <c r="AI224" s="935"/>
      <c r="AJ224" s="935"/>
      <c r="AK224" s="935"/>
      <c r="AL224" s="935"/>
      <c r="AM224" s="935"/>
      <c r="AN224" s="935"/>
      <c r="AO224" s="935"/>
      <c r="AP224" s="935"/>
      <c r="AQ224" s="935"/>
      <c r="AR224" s="935"/>
      <c r="AS224" s="935"/>
      <c r="AT224" s="935"/>
      <c r="AU224" s="935"/>
      <c r="AV224" s="935"/>
      <c r="AW224" s="935"/>
      <c r="AX224" s="935"/>
      <c r="AY224" s="935"/>
      <c r="AZ224" s="935"/>
      <c r="BA224" s="935"/>
      <c r="BB224" s="935"/>
      <c r="BC224" s="935"/>
      <c r="BD224" s="935"/>
      <c r="BE224" s="935"/>
      <c r="BF224" s="935"/>
      <c r="BG224" s="935"/>
      <c r="BH224" s="935"/>
      <c r="BI224" s="935"/>
      <c r="BJ224" s="935"/>
      <c r="BK224" s="935"/>
      <c r="BL224" s="935"/>
      <c r="BM224" s="935"/>
      <c r="BN224" s="935"/>
      <c r="BO224" s="935"/>
      <c r="BP224" s="935"/>
      <c r="BQ224" s="935"/>
      <c r="BR224" s="935"/>
      <c r="BS224" s="935"/>
      <c r="BT224" s="935"/>
    </row>
    <row r="225" spans="1:72" x14ac:dyDescent="0.25">
      <c r="A225" s="935" t="s">
        <v>797</v>
      </c>
      <c r="B225" s="935"/>
      <c r="C225" s="935"/>
      <c r="D225" s="935"/>
      <c r="E225" s="935"/>
      <c r="F225" s="935"/>
      <c r="G225" s="935"/>
      <c r="H225" s="935"/>
      <c r="I225" s="935"/>
      <c r="J225" s="935"/>
      <c r="K225" s="935"/>
      <c r="L225" s="935"/>
      <c r="M225" s="935"/>
      <c r="N225" s="935"/>
      <c r="O225" s="935"/>
      <c r="P225" s="935"/>
      <c r="Q225" s="935"/>
      <c r="R225" s="935"/>
      <c r="S225" s="935"/>
      <c r="T225" s="935"/>
      <c r="U225" s="935"/>
      <c r="V225" s="935"/>
      <c r="W225" s="935"/>
      <c r="X225" s="935"/>
      <c r="Y225" s="935"/>
      <c r="Z225" s="935"/>
      <c r="AA225" s="935"/>
      <c r="AB225" s="935"/>
      <c r="AC225" s="935"/>
      <c r="AD225" s="935"/>
      <c r="AE225" s="935"/>
      <c r="AF225" s="935"/>
      <c r="AG225" s="935"/>
      <c r="AH225" s="935"/>
      <c r="AI225" s="935"/>
      <c r="AJ225" s="935"/>
      <c r="AK225" s="935"/>
      <c r="AL225" s="935"/>
      <c r="AM225" s="935"/>
      <c r="AN225" s="935"/>
      <c r="AO225" s="935"/>
      <c r="AP225" s="935"/>
      <c r="AQ225" s="935"/>
      <c r="AR225" s="935"/>
      <c r="AS225" s="935"/>
      <c r="AT225" s="935"/>
      <c r="AU225" s="935"/>
      <c r="AV225" s="935"/>
      <c r="AW225" s="935"/>
      <c r="AX225" s="935"/>
      <c r="AY225" s="935"/>
      <c r="AZ225" s="935"/>
      <c r="BA225" s="935"/>
      <c r="BB225" s="935"/>
      <c r="BC225" s="935"/>
      <c r="BD225" s="935"/>
      <c r="BE225" s="935"/>
      <c r="BF225" s="935"/>
      <c r="BG225" s="935"/>
      <c r="BH225" s="935"/>
      <c r="BI225" s="935"/>
      <c r="BJ225" s="935"/>
      <c r="BK225" s="935"/>
      <c r="BL225" s="935"/>
      <c r="BM225" s="935"/>
      <c r="BN225" s="935"/>
      <c r="BO225" s="935"/>
      <c r="BP225" s="935"/>
      <c r="BQ225" s="935"/>
      <c r="BR225" s="935"/>
      <c r="BS225" s="935"/>
      <c r="BT225" s="935"/>
    </row>
    <row r="226" spans="1:72" x14ac:dyDescent="0.25">
      <c r="A226" s="935" t="s">
        <v>798</v>
      </c>
      <c r="B226" s="935"/>
      <c r="C226" s="935"/>
      <c r="D226" s="935"/>
      <c r="E226" s="935"/>
      <c r="F226" s="935"/>
      <c r="G226" s="935"/>
      <c r="H226" s="935"/>
      <c r="I226" s="935"/>
      <c r="J226" s="935"/>
      <c r="K226" s="935"/>
      <c r="L226" s="935"/>
      <c r="M226" s="935"/>
      <c r="N226" s="935"/>
      <c r="O226" s="935"/>
      <c r="P226" s="935"/>
      <c r="Q226" s="935"/>
      <c r="R226" s="935"/>
      <c r="S226" s="935"/>
      <c r="T226" s="935"/>
      <c r="U226" s="935"/>
      <c r="V226" s="935"/>
      <c r="W226" s="935"/>
      <c r="X226" s="935"/>
      <c r="Y226" s="935"/>
      <c r="Z226" s="935"/>
      <c r="AA226" s="935"/>
      <c r="AB226" s="935"/>
      <c r="AC226" s="935"/>
      <c r="AD226" s="935"/>
      <c r="AE226" s="935"/>
      <c r="AF226" s="935"/>
      <c r="AG226" s="935"/>
      <c r="AH226" s="935"/>
      <c r="AI226" s="935"/>
      <c r="AJ226" s="935"/>
      <c r="AK226" s="935"/>
      <c r="AL226" s="935"/>
      <c r="AM226" s="935"/>
      <c r="AN226" s="935"/>
      <c r="AO226" s="935"/>
      <c r="AP226" s="935"/>
      <c r="AQ226" s="935"/>
      <c r="AR226" s="935"/>
      <c r="AS226" s="935"/>
      <c r="AT226" s="935"/>
      <c r="AU226" s="935"/>
      <c r="AV226" s="935"/>
      <c r="AW226" s="935"/>
      <c r="AX226" s="935"/>
      <c r="AY226" s="935"/>
      <c r="AZ226" s="935"/>
      <c r="BA226" s="935"/>
      <c r="BB226" s="935"/>
      <c r="BC226" s="935"/>
      <c r="BD226" s="935"/>
      <c r="BE226" s="935"/>
      <c r="BF226" s="935"/>
      <c r="BG226" s="935"/>
      <c r="BH226" s="935"/>
      <c r="BI226" s="935"/>
      <c r="BJ226" s="935"/>
      <c r="BK226" s="935"/>
      <c r="BL226" s="935"/>
      <c r="BM226" s="935"/>
      <c r="BN226" s="935"/>
      <c r="BO226" s="935"/>
      <c r="BP226" s="935"/>
      <c r="BQ226" s="935"/>
      <c r="BR226" s="935"/>
      <c r="BS226" s="935"/>
      <c r="BT226" s="935"/>
    </row>
    <row r="227" spans="1:72" x14ac:dyDescent="0.25">
      <c r="A227" s="935" t="s">
        <v>799</v>
      </c>
      <c r="B227" s="935"/>
      <c r="C227" s="935"/>
      <c r="D227" s="935"/>
      <c r="E227" s="935"/>
      <c r="F227" s="935"/>
      <c r="G227" s="935"/>
      <c r="H227" s="935"/>
      <c r="I227" s="935"/>
      <c r="J227" s="935"/>
      <c r="K227" s="935"/>
      <c r="L227" s="935"/>
      <c r="M227" s="935"/>
      <c r="N227" s="935"/>
      <c r="O227" s="935"/>
      <c r="P227" s="935"/>
      <c r="Q227" s="935"/>
      <c r="R227" s="935"/>
      <c r="S227" s="935"/>
      <c r="T227" s="935"/>
      <c r="U227" s="935"/>
      <c r="V227" s="935"/>
      <c r="W227" s="935"/>
      <c r="X227" s="935"/>
      <c r="Y227" s="935"/>
      <c r="Z227" s="935"/>
      <c r="AA227" s="935"/>
      <c r="AB227" s="935"/>
      <c r="AC227" s="935"/>
      <c r="AD227" s="935"/>
      <c r="AE227" s="935"/>
      <c r="AF227" s="935"/>
      <c r="AG227" s="935"/>
      <c r="AH227" s="935"/>
      <c r="AI227" s="935"/>
      <c r="AJ227" s="935"/>
      <c r="AK227" s="935"/>
      <c r="AL227" s="935"/>
      <c r="AM227" s="935"/>
      <c r="AN227" s="935"/>
      <c r="AO227" s="935"/>
      <c r="AP227" s="935"/>
      <c r="AQ227" s="935"/>
      <c r="AR227" s="935"/>
      <c r="AS227" s="935"/>
      <c r="AT227" s="935"/>
      <c r="AU227" s="935"/>
      <c r="AV227" s="935"/>
      <c r="AW227" s="935"/>
      <c r="AX227" s="935"/>
      <c r="AY227" s="935"/>
      <c r="AZ227" s="935"/>
      <c r="BA227" s="935"/>
      <c r="BB227" s="935"/>
      <c r="BC227" s="935"/>
      <c r="BD227" s="935"/>
      <c r="BE227" s="935"/>
      <c r="BF227" s="935"/>
      <c r="BG227" s="935"/>
      <c r="BH227" s="935"/>
      <c r="BI227" s="935"/>
      <c r="BJ227" s="935"/>
      <c r="BK227" s="935"/>
      <c r="BL227" s="935"/>
      <c r="BM227" s="935"/>
      <c r="BN227" s="935"/>
      <c r="BO227" s="935"/>
      <c r="BP227" s="935"/>
      <c r="BQ227" s="935"/>
      <c r="BR227" s="935"/>
      <c r="BS227" s="935"/>
      <c r="BT227" s="935"/>
    </row>
    <row r="228" spans="1:72" x14ac:dyDescent="0.25">
      <c r="A228" s="935" t="s">
        <v>800</v>
      </c>
      <c r="B228" s="935"/>
      <c r="C228" s="935"/>
      <c r="D228" s="935"/>
      <c r="E228" s="935"/>
      <c r="F228" s="935"/>
      <c r="G228" s="935"/>
      <c r="H228" s="935"/>
      <c r="I228" s="935"/>
      <c r="J228" s="935"/>
      <c r="K228" s="935"/>
      <c r="L228" s="935"/>
      <c r="M228" s="935"/>
      <c r="N228" s="935"/>
      <c r="O228" s="935"/>
      <c r="P228" s="935"/>
      <c r="Q228" s="935"/>
      <c r="R228" s="935"/>
      <c r="S228" s="935"/>
      <c r="T228" s="935"/>
      <c r="U228" s="935"/>
      <c r="V228" s="935"/>
      <c r="W228" s="935"/>
      <c r="X228" s="935"/>
      <c r="Y228" s="935"/>
      <c r="Z228" s="935"/>
      <c r="AA228" s="935"/>
      <c r="AB228" s="935"/>
      <c r="AC228" s="935"/>
      <c r="AD228" s="935"/>
      <c r="AE228" s="935"/>
      <c r="AF228" s="935"/>
      <c r="AG228" s="935"/>
      <c r="AH228" s="935"/>
      <c r="AI228" s="935"/>
      <c r="AJ228" s="935"/>
      <c r="AK228" s="935"/>
      <c r="AL228" s="935"/>
      <c r="AM228" s="935"/>
      <c r="AN228" s="935"/>
      <c r="AO228" s="935"/>
      <c r="AP228" s="935"/>
      <c r="AQ228" s="935"/>
      <c r="AR228" s="935"/>
      <c r="AS228" s="935"/>
      <c r="AT228" s="935"/>
      <c r="AU228" s="935"/>
      <c r="AV228" s="935"/>
      <c r="AW228" s="935"/>
      <c r="AX228" s="935"/>
      <c r="AY228" s="935"/>
      <c r="AZ228" s="935"/>
      <c r="BA228" s="935"/>
      <c r="BB228" s="935"/>
      <c r="BC228" s="935"/>
      <c r="BD228" s="935"/>
      <c r="BE228" s="935"/>
      <c r="BF228" s="935"/>
      <c r="BG228" s="935"/>
      <c r="BH228" s="935"/>
      <c r="BI228" s="935"/>
      <c r="BJ228" s="935"/>
      <c r="BK228" s="935"/>
      <c r="BL228" s="935"/>
      <c r="BM228" s="935"/>
      <c r="BN228" s="935"/>
      <c r="BO228" s="935"/>
      <c r="BP228" s="935"/>
      <c r="BQ228" s="935"/>
      <c r="BR228" s="935"/>
      <c r="BS228" s="935"/>
      <c r="BT228" s="935"/>
    </row>
    <row r="229" spans="1:72" x14ac:dyDescent="0.25">
      <c r="A229" s="935" t="s">
        <v>801</v>
      </c>
      <c r="B229" s="935"/>
      <c r="C229" s="935"/>
      <c r="D229" s="935"/>
      <c r="E229" s="935"/>
      <c r="F229" s="935"/>
      <c r="G229" s="935"/>
      <c r="H229" s="935"/>
      <c r="I229" s="935"/>
      <c r="J229" s="935"/>
      <c r="K229" s="935"/>
      <c r="L229" s="935"/>
      <c r="M229" s="935"/>
      <c r="N229" s="935"/>
      <c r="O229" s="935"/>
      <c r="P229" s="935"/>
      <c r="Q229" s="935"/>
      <c r="R229" s="935"/>
      <c r="S229" s="935"/>
      <c r="T229" s="935"/>
      <c r="U229" s="935"/>
      <c r="V229" s="935"/>
      <c r="W229" s="935"/>
      <c r="X229" s="935"/>
      <c r="Y229" s="935"/>
      <c r="Z229" s="935"/>
      <c r="AA229" s="935"/>
      <c r="AB229" s="935"/>
      <c r="AC229" s="935"/>
      <c r="AD229" s="935"/>
      <c r="AE229" s="935"/>
      <c r="AF229" s="935"/>
      <c r="AG229" s="935"/>
      <c r="AH229" s="935"/>
      <c r="AI229" s="935"/>
      <c r="AJ229" s="935"/>
      <c r="AK229" s="935"/>
      <c r="AL229" s="935"/>
      <c r="AM229" s="935"/>
      <c r="AN229" s="935"/>
      <c r="AO229" s="935"/>
      <c r="AP229" s="935"/>
      <c r="AQ229" s="935"/>
      <c r="AR229" s="935"/>
      <c r="AS229" s="935"/>
      <c r="AT229" s="935"/>
      <c r="AU229" s="935"/>
      <c r="AV229" s="935"/>
      <c r="AW229" s="935"/>
      <c r="AX229" s="935"/>
      <c r="AY229" s="935"/>
      <c r="AZ229" s="935"/>
      <c r="BA229" s="935"/>
      <c r="BB229" s="935"/>
      <c r="BC229" s="935"/>
      <c r="BD229" s="935"/>
      <c r="BE229" s="935"/>
      <c r="BF229" s="935"/>
      <c r="BG229" s="935"/>
      <c r="BH229" s="935"/>
      <c r="BI229" s="935"/>
      <c r="BJ229" s="935"/>
      <c r="BK229" s="935"/>
      <c r="BL229" s="935"/>
      <c r="BM229" s="935"/>
      <c r="BN229" s="935"/>
      <c r="BO229" s="935"/>
      <c r="BP229" s="935"/>
      <c r="BQ229" s="935"/>
      <c r="BR229" s="935"/>
      <c r="BS229" s="935"/>
      <c r="BT229" s="935"/>
    </row>
    <row r="230" spans="1:72" x14ac:dyDescent="0.25">
      <c r="A230" s="935" t="s">
        <v>802</v>
      </c>
      <c r="B230" s="935"/>
      <c r="C230" s="935"/>
      <c r="D230" s="935"/>
      <c r="E230" s="935"/>
      <c r="F230" s="935"/>
      <c r="G230" s="935"/>
      <c r="H230" s="935"/>
      <c r="I230" s="935"/>
      <c r="J230" s="935"/>
      <c r="K230" s="935"/>
      <c r="L230" s="935"/>
      <c r="M230" s="935"/>
      <c r="N230" s="935"/>
      <c r="O230" s="935"/>
      <c r="P230" s="935"/>
      <c r="Q230" s="935"/>
      <c r="R230" s="935"/>
      <c r="S230" s="935"/>
      <c r="T230" s="935"/>
      <c r="U230" s="935"/>
      <c r="V230" s="935"/>
      <c r="W230" s="935"/>
      <c r="X230" s="935"/>
      <c r="Y230" s="935"/>
      <c r="Z230" s="935"/>
      <c r="AA230" s="935"/>
      <c r="AB230" s="935"/>
      <c r="AC230" s="935"/>
      <c r="AD230" s="935"/>
      <c r="AE230" s="935"/>
      <c r="AF230" s="935"/>
      <c r="AG230" s="935"/>
      <c r="AH230" s="935"/>
      <c r="AI230" s="935"/>
      <c r="AJ230" s="935"/>
      <c r="AK230" s="935"/>
      <c r="AL230" s="935"/>
      <c r="AM230" s="935"/>
      <c r="AN230" s="935"/>
      <c r="AO230" s="935"/>
      <c r="AP230" s="935"/>
      <c r="AQ230" s="935"/>
      <c r="AR230" s="935"/>
      <c r="AS230" s="935"/>
      <c r="AT230" s="935"/>
      <c r="AU230" s="935"/>
      <c r="AV230" s="935"/>
      <c r="AW230" s="935"/>
      <c r="AX230" s="935"/>
      <c r="AY230" s="935"/>
      <c r="AZ230" s="935"/>
      <c r="BA230" s="935"/>
      <c r="BB230" s="935"/>
      <c r="BC230" s="935"/>
      <c r="BD230" s="935"/>
      <c r="BE230" s="935"/>
      <c r="BF230" s="935"/>
      <c r="BG230" s="935"/>
      <c r="BH230" s="935"/>
      <c r="BI230" s="935"/>
      <c r="BJ230" s="935"/>
      <c r="BK230" s="935"/>
      <c r="BL230" s="935"/>
      <c r="BM230" s="935"/>
      <c r="BN230" s="935"/>
      <c r="BO230" s="935"/>
      <c r="BP230" s="935"/>
      <c r="BQ230" s="935"/>
      <c r="BR230" s="935"/>
      <c r="BS230" s="935"/>
      <c r="BT230" s="935"/>
    </row>
    <row r="231" spans="1:72" x14ac:dyDescent="0.25">
      <c r="A231" s="935" t="s">
        <v>803</v>
      </c>
      <c r="B231" s="935"/>
      <c r="C231" s="935"/>
      <c r="D231" s="935"/>
      <c r="E231" s="935"/>
      <c r="F231" s="935"/>
      <c r="G231" s="935"/>
      <c r="H231" s="935"/>
      <c r="I231" s="935"/>
      <c r="J231" s="935"/>
      <c r="K231" s="935"/>
      <c r="L231" s="935"/>
      <c r="M231" s="935"/>
      <c r="N231" s="935"/>
      <c r="O231" s="935"/>
      <c r="P231" s="935"/>
      <c r="Q231" s="935"/>
      <c r="R231" s="935"/>
      <c r="S231" s="935"/>
      <c r="T231" s="935"/>
      <c r="U231" s="935"/>
      <c r="V231" s="935"/>
      <c r="W231" s="935"/>
      <c r="X231" s="935"/>
      <c r="Y231" s="935"/>
      <c r="Z231" s="935"/>
      <c r="AA231" s="935"/>
      <c r="AB231" s="935"/>
      <c r="AC231" s="935"/>
      <c r="AD231" s="935"/>
      <c r="AE231" s="935"/>
      <c r="AF231" s="935"/>
      <c r="AG231" s="935"/>
      <c r="AH231" s="935"/>
      <c r="AI231" s="935"/>
      <c r="AJ231" s="935"/>
      <c r="AK231" s="935"/>
      <c r="AL231" s="935"/>
      <c r="AM231" s="935"/>
      <c r="AN231" s="935"/>
      <c r="AO231" s="935"/>
      <c r="AP231" s="935"/>
      <c r="AQ231" s="935"/>
      <c r="AR231" s="935"/>
      <c r="AS231" s="935"/>
      <c r="AT231" s="935"/>
      <c r="AU231" s="935"/>
      <c r="AV231" s="935"/>
      <c r="AW231" s="935"/>
      <c r="AX231" s="935"/>
      <c r="AY231" s="935"/>
      <c r="AZ231" s="935"/>
      <c r="BA231" s="935"/>
      <c r="BB231" s="935"/>
      <c r="BC231" s="935"/>
      <c r="BD231" s="935"/>
      <c r="BE231" s="935"/>
      <c r="BF231" s="935"/>
      <c r="BG231" s="935"/>
      <c r="BH231" s="935"/>
      <c r="BI231" s="935"/>
      <c r="BJ231" s="935"/>
      <c r="BK231" s="935"/>
      <c r="BL231" s="935"/>
      <c r="BM231" s="935"/>
      <c r="BN231" s="935"/>
      <c r="BO231" s="935"/>
      <c r="BP231" s="935"/>
      <c r="BQ231" s="935"/>
      <c r="BR231" s="935"/>
      <c r="BS231" s="935"/>
      <c r="BT231" s="935"/>
    </row>
    <row r="232" spans="1:72" x14ac:dyDescent="0.25">
      <c r="A232" s="935" t="s">
        <v>804</v>
      </c>
      <c r="B232" s="935"/>
      <c r="C232" s="935"/>
      <c r="D232" s="935"/>
      <c r="E232" s="935"/>
      <c r="F232" s="935"/>
      <c r="G232" s="935"/>
      <c r="H232" s="935"/>
      <c r="I232" s="935"/>
      <c r="J232" s="935"/>
      <c r="K232" s="935"/>
      <c r="L232" s="935"/>
      <c r="M232" s="935"/>
      <c r="N232" s="935"/>
      <c r="O232" s="935"/>
      <c r="P232" s="935"/>
      <c r="Q232" s="935"/>
      <c r="R232" s="935"/>
      <c r="S232" s="935"/>
      <c r="T232" s="935"/>
      <c r="U232" s="935"/>
      <c r="V232" s="935"/>
      <c r="W232" s="935"/>
      <c r="X232" s="935"/>
      <c r="Y232" s="935"/>
      <c r="Z232" s="935"/>
      <c r="AA232" s="935"/>
      <c r="AB232" s="935"/>
      <c r="AC232" s="935"/>
      <c r="AD232" s="935"/>
      <c r="AE232" s="935"/>
      <c r="AF232" s="935"/>
      <c r="AG232" s="935"/>
      <c r="AH232" s="935"/>
      <c r="AI232" s="935"/>
      <c r="AJ232" s="935"/>
      <c r="AK232" s="935"/>
      <c r="AL232" s="935"/>
      <c r="AM232" s="935"/>
      <c r="AN232" s="935"/>
      <c r="AO232" s="935"/>
      <c r="AP232" s="935"/>
      <c r="AQ232" s="935"/>
      <c r="AR232" s="935"/>
      <c r="AS232" s="935"/>
      <c r="AT232" s="935"/>
      <c r="AU232" s="935"/>
      <c r="AV232" s="935"/>
      <c r="AW232" s="935"/>
      <c r="AX232" s="935"/>
      <c r="AY232" s="935"/>
      <c r="AZ232" s="935"/>
      <c r="BA232" s="935"/>
      <c r="BB232" s="935"/>
      <c r="BC232" s="935"/>
      <c r="BD232" s="935"/>
      <c r="BE232" s="935"/>
      <c r="BF232" s="935"/>
      <c r="BG232" s="935"/>
      <c r="BH232" s="935"/>
      <c r="BI232" s="935"/>
      <c r="BJ232" s="935"/>
      <c r="BK232" s="935"/>
      <c r="BL232" s="935"/>
      <c r="BM232" s="935"/>
      <c r="BN232" s="935"/>
      <c r="BO232" s="935"/>
      <c r="BP232" s="935"/>
      <c r="BQ232" s="935"/>
      <c r="BR232" s="935"/>
      <c r="BS232" s="935"/>
      <c r="BT232" s="935"/>
    </row>
    <row r="233" spans="1:72" x14ac:dyDescent="0.25">
      <c r="A233" s="912" t="s">
        <v>805</v>
      </c>
      <c r="AA233" s="306"/>
      <c r="AB233" s="306"/>
      <c r="AC233" s="306"/>
      <c r="AD233" s="306"/>
    </row>
    <row r="234" spans="1:72" x14ac:dyDescent="0.25">
      <c r="A234" s="912" t="s">
        <v>806</v>
      </c>
      <c r="AA234" s="306"/>
      <c r="AB234" s="306"/>
      <c r="AC234" s="306"/>
      <c r="AD234" s="306"/>
    </row>
    <row r="235" spans="1:72" x14ac:dyDescent="0.25">
      <c r="A235" s="912" t="s">
        <v>718</v>
      </c>
      <c r="B235" t="s">
        <v>719</v>
      </c>
      <c r="C235" t="s">
        <v>720</v>
      </c>
      <c r="E235" t="s">
        <v>721</v>
      </c>
      <c r="AA235" s="306"/>
      <c r="AB235" s="306"/>
      <c r="AC235" s="306"/>
      <c r="AD235" s="306"/>
    </row>
    <row r="236" spans="1:72" x14ac:dyDescent="0.25">
      <c r="AA236" s="306"/>
      <c r="AB236" s="306"/>
      <c r="AC236" s="306"/>
      <c r="AD236" s="306"/>
    </row>
    <row r="237" spans="1:72" x14ac:dyDescent="0.25">
      <c r="A237" s="912" t="s">
        <v>447</v>
      </c>
      <c r="AA237" s="306"/>
      <c r="AB237" s="306"/>
      <c r="AC237" s="306"/>
      <c r="AD237" s="306"/>
    </row>
    <row r="238" spans="1:72" x14ac:dyDescent="0.25">
      <c r="A238" s="912" t="s">
        <v>722</v>
      </c>
      <c r="AA238" s="306"/>
      <c r="AB238" s="306"/>
      <c r="AC238" s="306"/>
      <c r="AD238" s="306"/>
    </row>
    <row r="239" spans="1:72" x14ac:dyDescent="0.25">
      <c r="AA239" s="306"/>
      <c r="AB239" s="306"/>
      <c r="AC239" s="306"/>
      <c r="AD239" s="306"/>
    </row>
    <row r="240" spans="1:72" x14ac:dyDescent="0.25">
      <c r="AA240" s="306"/>
      <c r="AB240" s="306"/>
      <c r="AC240" s="306"/>
      <c r="AD240" s="306"/>
    </row>
    <row r="241" spans="1:70" x14ac:dyDescent="0.25">
      <c r="AA241" s="306"/>
      <c r="AB241" s="306"/>
      <c r="AC241" s="306"/>
      <c r="AD241" s="306"/>
    </row>
    <row r="242" spans="1:70" x14ac:dyDescent="0.25">
      <c r="B242" s="913" t="s">
        <v>453</v>
      </c>
      <c r="C242" s="913" t="s">
        <v>454</v>
      </c>
      <c r="D242" s="913" t="s">
        <v>455</v>
      </c>
      <c r="E242" s="913" t="s">
        <v>456</v>
      </c>
      <c r="F242" s="913" t="s">
        <v>457</v>
      </c>
      <c r="G242" s="913" t="s">
        <v>458</v>
      </c>
      <c r="H242" s="913" t="s">
        <v>459</v>
      </c>
      <c r="I242" s="913" t="s">
        <v>460</v>
      </c>
      <c r="J242" s="913" t="s">
        <v>461</v>
      </c>
      <c r="K242" s="913" t="s">
        <v>462</v>
      </c>
      <c r="L242" s="913" t="s">
        <v>463</v>
      </c>
      <c r="M242" s="913" t="s">
        <v>464</v>
      </c>
      <c r="N242" s="913" t="s">
        <v>465</v>
      </c>
      <c r="O242" s="913" t="s">
        <v>466</v>
      </c>
      <c r="P242" s="913" t="s">
        <v>467</v>
      </c>
      <c r="Q242" s="913" t="s">
        <v>468</v>
      </c>
      <c r="R242" s="913" t="s">
        <v>469</v>
      </c>
      <c r="S242" s="913" t="s">
        <v>470</v>
      </c>
      <c r="T242" s="913" t="s">
        <v>471</v>
      </c>
      <c r="U242" s="913" t="s">
        <v>472</v>
      </c>
      <c r="V242" s="913" t="s">
        <v>604</v>
      </c>
      <c r="W242" s="913" t="s">
        <v>605</v>
      </c>
      <c r="X242" s="913" t="s">
        <v>606</v>
      </c>
      <c r="Y242" s="913" t="s">
        <v>607</v>
      </c>
      <c r="Z242" s="913" t="s">
        <v>608</v>
      </c>
      <c r="AA242" s="306" t="s">
        <v>605</v>
      </c>
      <c r="AB242" s="306" t="s">
        <v>606</v>
      </c>
      <c r="AC242" s="306" t="s">
        <v>607</v>
      </c>
      <c r="AD242" s="306" t="s">
        <v>608</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6"/>
      <c r="AB243" s="306"/>
      <c r="AC243" s="306"/>
      <c r="AD243" s="306"/>
    </row>
    <row r="244" spans="1:70" x14ac:dyDescent="0.25">
      <c r="AA244" s="306"/>
      <c r="AB244" s="306"/>
      <c r="AC244" s="306"/>
      <c r="AD244" s="306"/>
    </row>
    <row r="245" spans="1:70" x14ac:dyDescent="0.25">
      <c r="A245" s="912" t="s">
        <v>473</v>
      </c>
      <c r="AA245" s="306"/>
      <c r="AB245" s="306"/>
      <c r="AC245" s="306"/>
      <c r="AD245" s="306"/>
    </row>
    <row r="246" spans="1:70" x14ac:dyDescent="0.25">
      <c r="A246" s="912" t="s">
        <v>609</v>
      </c>
      <c r="B246" s="914">
        <v>23.882804870605501</v>
      </c>
      <c r="C246" s="914">
        <v>24.973464965820298</v>
      </c>
      <c r="D246" s="914">
        <v>28.470840454101602</v>
      </c>
      <c r="E246" s="914">
        <v>21.505495071411101</v>
      </c>
      <c r="F246" s="914">
        <v>20.697200775146499</v>
      </c>
      <c r="G246" s="914">
        <v>23.0020751953125</v>
      </c>
      <c r="H246" s="914">
        <v>24.980747222900401</v>
      </c>
      <c r="I246" s="914">
        <v>26.7403888702393</v>
      </c>
      <c r="J246" s="914">
        <v>28.254840850830099</v>
      </c>
      <c r="K246" s="914">
        <v>29.8807067871094</v>
      </c>
      <c r="L246" s="914">
        <v>30.930690765380898</v>
      </c>
      <c r="M246" s="914">
        <v>31.804765701293899</v>
      </c>
      <c r="N246" s="914">
        <v>32.682899475097699</v>
      </c>
      <c r="O246" s="914">
        <v>33.084945678710902</v>
      </c>
      <c r="P246" s="914">
        <v>33.339298248291001</v>
      </c>
      <c r="Q246" s="914">
        <v>33.569530487060497</v>
      </c>
      <c r="R246" s="914">
        <v>33.692008972167997</v>
      </c>
      <c r="S246" s="914">
        <v>34.029460906982401</v>
      </c>
      <c r="T246" s="914">
        <v>34.165733337402301</v>
      </c>
      <c r="U246" s="914">
        <v>33.722698211669901</v>
      </c>
      <c r="V246" s="914">
        <v>33.999015808105497</v>
      </c>
      <c r="W246" s="914">
        <v>34.276668548583999</v>
      </c>
      <c r="X246" s="914">
        <v>34.616855621337898</v>
      </c>
      <c r="Y246" s="914">
        <v>34.804977416992202</v>
      </c>
      <c r="Z246" s="914">
        <v>35.163482666015597</v>
      </c>
      <c r="AA246" s="306">
        <v>23.653226852416999</v>
      </c>
      <c r="AB246" s="306">
        <v>23.781959533691399</v>
      </c>
      <c r="AC246" s="306">
        <v>23.869001388549801</v>
      </c>
      <c r="AD246" s="306">
        <v>23.909082412719702</v>
      </c>
    </row>
    <row r="247" spans="1:70" x14ac:dyDescent="0.25">
      <c r="A247" s="912" t="s">
        <v>610</v>
      </c>
      <c r="B247" s="914">
        <v>18.4642543792725</v>
      </c>
      <c r="C247" s="914">
        <v>19.664405822753899</v>
      </c>
      <c r="D247" s="914">
        <v>23.940315246581999</v>
      </c>
      <c r="E247" s="914">
        <v>15.6857194900513</v>
      </c>
      <c r="F247" s="914">
        <v>13.3512983322144</v>
      </c>
      <c r="G247" s="914">
        <v>15.708171844482401</v>
      </c>
      <c r="H247" s="914">
        <v>17.491518020629901</v>
      </c>
      <c r="I247" s="914">
        <v>18.8044624328613</v>
      </c>
      <c r="J247" s="914">
        <v>20.071212768554702</v>
      </c>
      <c r="K247" s="914">
        <v>21.571735382080099</v>
      </c>
      <c r="L247" s="914">
        <v>22.444984436035199</v>
      </c>
      <c r="M247" s="914">
        <v>23.2645053863525</v>
      </c>
      <c r="N247" s="914">
        <v>23.975505828857401</v>
      </c>
      <c r="O247" s="914">
        <v>24.350082397460898</v>
      </c>
      <c r="P247" s="914">
        <v>24.6401481628418</v>
      </c>
      <c r="Q247" s="914">
        <v>24.7862453460693</v>
      </c>
      <c r="R247" s="914">
        <v>24.899822235107401</v>
      </c>
      <c r="S247" s="914">
        <v>25.1952934265137</v>
      </c>
      <c r="T247" s="914">
        <v>25.492937088012699</v>
      </c>
      <c r="U247" s="914">
        <v>25.134300231933601</v>
      </c>
      <c r="V247" s="914">
        <v>25.433099746704102</v>
      </c>
      <c r="W247" s="914">
        <v>25.7546691894531</v>
      </c>
      <c r="X247" s="914">
        <v>26.098386764526399</v>
      </c>
      <c r="Y247" s="914">
        <v>26.3820476531982</v>
      </c>
      <c r="Z247" s="914">
        <v>26.7700805664063</v>
      </c>
      <c r="AA247" s="306">
        <v>13.801754951477101</v>
      </c>
      <c r="AB247" s="306">
        <v>13.897899627685501</v>
      </c>
      <c r="AC247" s="306">
        <v>14.058331489563001</v>
      </c>
      <c r="AD247" s="306">
        <v>14.125551223754901</v>
      </c>
    </row>
    <row r="248" spans="1:70" x14ac:dyDescent="0.25">
      <c r="A248" s="912" t="s">
        <v>510</v>
      </c>
      <c r="B248" s="914">
        <v>13.7000589370728</v>
      </c>
      <c r="C248" s="914">
        <v>12.691158294677701</v>
      </c>
      <c r="D248" s="914">
        <v>12.9778490066528</v>
      </c>
      <c r="E248" s="914">
        <v>10.717614173889199</v>
      </c>
      <c r="F248" s="914">
        <v>11.192774772644</v>
      </c>
      <c r="G248" s="914">
        <v>11.487280845642101</v>
      </c>
      <c r="H248" s="914">
        <v>11.3991556167603</v>
      </c>
      <c r="I248" s="914">
        <v>11.307798385620099</v>
      </c>
      <c r="J248" s="914">
        <v>11.2896461486816</v>
      </c>
      <c r="K248" s="914">
        <v>11.345415115356399</v>
      </c>
      <c r="L248" s="914">
        <v>11.538298606872599</v>
      </c>
      <c r="M248" s="914">
        <v>11.7583208084106</v>
      </c>
      <c r="N248" s="914">
        <v>11.975100517272899</v>
      </c>
      <c r="O248" s="914">
        <v>12.23952293396</v>
      </c>
      <c r="P248" s="914">
        <v>12.557071685791</v>
      </c>
      <c r="Q248" s="914">
        <v>12.7957820892334</v>
      </c>
      <c r="R248" s="914">
        <v>12.871651649475099</v>
      </c>
      <c r="S248" s="914">
        <v>12.660281181335399</v>
      </c>
      <c r="T248" s="914">
        <v>12.6240320205688</v>
      </c>
      <c r="U248" s="914">
        <v>12.5992183685303</v>
      </c>
      <c r="V248" s="914">
        <v>12.7868556976318</v>
      </c>
      <c r="W248" s="914">
        <v>13.07555103302</v>
      </c>
      <c r="X248" s="914">
        <v>13.407883644104</v>
      </c>
      <c r="Y248" s="914">
        <v>13.6725673675537</v>
      </c>
      <c r="Z248" s="914">
        <v>13.962038993835399</v>
      </c>
      <c r="AA248" s="306">
        <v>11.116808891296399</v>
      </c>
      <c r="AB248" s="306">
        <v>11.2574377059937</v>
      </c>
      <c r="AC248" s="306">
        <v>11.3709173202515</v>
      </c>
      <c r="AD248" s="306">
        <v>11.426144599914601</v>
      </c>
    </row>
    <row r="249" spans="1:70" x14ac:dyDescent="0.25">
      <c r="A249" s="912" t="s">
        <v>479</v>
      </c>
      <c r="B249" s="914">
        <v>31.206779479980501</v>
      </c>
      <c r="C249" s="914">
        <v>31.181957244873001</v>
      </c>
      <c r="D249" s="914">
        <v>31.772819519043001</v>
      </c>
      <c r="E249" s="914">
        <v>30.736837387085</v>
      </c>
      <c r="F249" s="914">
        <v>28.616357803344702</v>
      </c>
      <c r="G249" s="914">
        <v>29.873619079589801</v>
      </c>
      <c r="H249" s="914">
        <v>30.101655960083001</v>
      </c>
      <c r="I249" s="914">
        <v>30.425390243530298</v>
      </c>
      <c r="J249" s="914">
        <v>30.7938537597656</v>
      </c>
      <c r="K249" s="914">
        <v>30.883028030395501</v>
      </c>
      <c r="L249" s="914">
        <v>31.149145126342798</v>
      </c>
      <c r="M249" s="914">
        <v>31.4898681640625</v>
      </c>
      <c r="N249" s="914">
        <v>31.815629959106399</v>
      </c>
      <c r="O249" s="914">
        <v>32.020698547363303</v>
      </c>
      <c r="P249" s="914">
        <v>32.4303588867188</v>
      </c>
      <c r="Q249" s="914">
        <v>32.7907905578613</v>
      </c>
      <c r="R249" s="914">
        <v>32.994007110595703</v>
      </c>
      <c r="S249" s="914">
        <v>32.923465728759801</v>
      </c>
      <c r="T249" s="914">
        <v>32.920154571533203</v>
      </c>
      <c r="U249" s="914">
        <v>32.902271270752003</v>
      </c>
      <c r="V249" s="914">
        <v>32.958240509033203</v>
      </c>
      <c r="W249" s="914">
        <v>33.321102142333999</v>
      </c>
      <c r="X249" s="914">
        <v>33.734363555908203</v>
      </c>
      <c r="Y249" s="914">
        <v>34.149539947509801</v>
      </c>
      <c r="Z249" s="914">
        <v>34.490489959716797</v>
      </c>
      <c r="AA249" s="306">
        <v>26.5695495605469</v>
      </c>
      <c r="AB249" s="306">
        <v>26.6057014465332</v>
      </c>
      <c r="AC249" s="306">
        <v>26.7373046875</v>
      </c>
      <c r="AD249" s="306">
        <v>26.757972717285199</v>
      </c>
    </row>
    <row r="250" spans="1:70" x14ac:dyDescent="0.25">
      <c r="AA250" s="306"/>
      <c r="AB250" s="306"/>
      <c r="AC250" s="306"/>
      <c r="AD250" s="306"/>
    </row>
    <row r="251" spans="1:70" x14ac:dyDescent="0.25">
      <c r="A251" s="912" t="s">
        <v>480</v>
      </c>
      <c r="AA251" s="306">
        <v>12.0537929534912</v>
      </c>
      <c r="AB251" s="306">
        <v>12.2529897689819</v>
      </c>
      <c r="AC251" s="306">
        <v>12.3258762359619</v>
      </c>
      <c r="AD251" s="306">
        <v>12.452996253967299</v>
      </c>
    </row>
    <row r="252" spans="1:70" ht="13" thickBot="1" x14ac:dyDescent="0.3">
      <c r="A252" s="912" t="s">
        <v>609</v>
      </c>
      <c r="B252" s="914">
        <v>21.1974983215332</v>
      </c>
      <c r="C252" s="914">
        <v>23.041419982910199</v>
      </c>
      <c r="D252" s="914">
        <v>23.540430068969702</v>
      </c>
      <c r="E252" s="914">
        <v>20.975297927856399</v>
      </c>
      <c r="F252" s="914">
        <v>17.540355682373001</v>
      </c>
      <c r="G252" s="914">
        <v>19.827720642089801</v>
      </c>
      <c r="H252" s="914">
        <v>21.7962131500244</v>
      </c>
      <c r="I252" s="914">
        <v>23.5440998077393</v>
      </c>
      <c r="J252" s="914">
        <v>25.047388076782202</v>
      </c>
      <c r="K252" s="914">
        <v>26.6623840332031</v>
      </c>
      <c r="L252" s="914">
        <v>27.701774597168001</v>
      </c>
      <c r="M252" s="914">
        <v>28.565574645996101</v>
      </c>
      <c r="N252" s="914">
        <v>29.4346523284912</v>
      </c>
      <c r="O252" s="914">
        <v>29.8274021148682</v>
      </c>
      <c r="P252" s="914">
        <v>30.0731811523438</v>
      </c>
      <c r="Q252" s="914">
        <v>30.2960014343262</v>
      </c>
      <c r="R252" s="914">
        <v>30.4115695953369</v>
      </c>
      <c r="S252" s="914">
        <v>30.7421360015869</v>
      </c>
      <c r="T252" s="914">
        <v>30.871879577636701</v>
      </c>
      <c r="U252" s="914">
        <v>30.422807693481399</v>
      </c>
      <c r="V252" s="914">
        <v>30.6932373046875</v>
      </c>
      <c r="W252" s="914">
        <v>30.965314865112301</v>
      </c>
      <c r="X252" s="914">
        <v>31.299940109252901</v>
      </c>
      <c r="Y252" s="914">
        <v>31.482862472534201</v>
      </c>
      <c r="Z252" s="914">
        <v>31.836189270019499</v>
      </c>
      <c r="AA252" s="306">
        <v>7.3951959609985396</v>
      </c>
      <c r="AB252" s="306">
        <v>7.4624595642089799</v>
      </c>
      <c r="AC252" s="306">
        <v>7.2386937141418501</v>
      </c>
      <c r="AD252" s="306">
        <v>7.3113985061645499</v>
      </c>
    </row>
    <row r="253" spans="1:70" ht="13" thickBot="1" x14ac:dyDescent="0.3">
      <c r="A253" s="912" t="s">
        <v>610</v>
      </c>
      <c r="B253" s="914">
        <v>15.019946098327599</v>
      </c>
      <c r="C253" s="914">
        <v>16.054100036621101</v>
      </c>
      <c r="D253" s="914">
        <v>20.9568576812744</v>
      </c>
      <c r="E253" s="914">
        <v>13.740292549133301</v>
      </c>
      <c r="F253" s="914">
        <v>10.759732246398899</v>
      </c>
      <c r="G253" s="914">
        <v>13.277551651001</v>
      </c>
      <c r="H253" s="914">
        <v>15.102119445800801</v>
      </c>
      <c r="I253" s="914">
        <v>16.819028854370099</v>
      </c>
      <c r="J253" s="914">
        <v>18.163129806518601</v>
      </c>
      <c r="K253" s="914">
        <v>19.404659271240199</v>
      </c>
      <c r="L253" s="914">
        <v>20.2805690765381</v>
      </c>
      <c r="M253" s="914">
        <v>21.141357421875</v>
      </c>
      <c r="N253" s="914">
        <v>21.870569229126001</v>
      </c>
      <c r="O253" s="914">
        <v>22.288406372070298</v>
      </c>
      <c r="P253" s="914">
        <v>22.606428146362301</v>
      </c>
      <c r="Q253" s="914">
        <v>22.643785476684599</v>
      </c>
      <c r="R253" s="914">
        <v>22.862098693847699</v>
      </c>
      <c r="S253" s="914">
        <v>23.111530303955099</v>
      </c>
      <c r="T253" s="914">
        <v>23.2818489074707</v>
      </c>
      <c r="U253" s="914">
        <v>23.1139316558838</v>
      </c>
      <c r="V253" s="914">
        <v>23.4434604644775</v>
      </c>
      <c r="W253" s="914">
        <v>23.529294967651399</v>
      </c>
      <c r="X253" s="914">
        <v>23.9437866210938</v>
      </c>
      <c r="Y253" s="914">
        <v>24.471529006958001</v>
      </c>
      <c r="Z253" s="914">
        <v>24.6476936340332</v>
      </c>
      <c r="AA253" s="306">
        <v>9.0512752532959002</v>
      </c>
      <c r="AB253" s="306">
        <v>9.1702537536621094</v>
      </c>
      <c r="AC253" s="306">
        <v>9.2454566955566406</v>
      </c>
      <c r="AD253" s="306">
        <v>9.3029346466064506</v>
      </c>
      <c r="AE253" s="283">
        <f>AD253+($AI$253-$AD$253)/5</f>
        <v>9.3577216364198588</v>
      </c>
      <c r="AF253" s="283">
        <f>AE253+($AI$253-$AD$253)/5</f>
        <v>9.4125086262332669</v>
      </c>
      <c r="AG253" s="283">
        <f>AF253+($AI$253-$AD$253)/5</f>
        <v>9.467295616046675</v>
      </c>
      <c r="AH253" s="283">
        <f>AG253+($AI$253-$AD$253)/5</f>
        <v>9.5220826058600831</v>
      </c>
      <c r="AI253" s="284">
        <f>T423*$E$742</f>
        <v>9.5768695956734877</v>
      </c>
      <c r="AJ253" s="283">
        <f>AI253+($AX$253-$AI$253)/15</f>
        <v>9.6852727225982509</v>
      </c>
      <c r="AK253" s="283">
        <f t="shared" ref="AK253:AW253" si="3">AJ253+($AX$253-$AI$253)/15</f>
        <v>9.7936758495230141</v>
      </c>
      <c r="AL253" s="283">
        <f t="shared" si="3"/>
        <v>9.9020789764477772</v>
      </c>
      <c r="AM253" s="283">
        <f t="shared" si="3"/>
        <v>10.01048210337254</v>
      </c>
      <c r="AN253" s="283">
        <f t="shared" si="3"/>
        <v>10.118885230297304</v>
      </c>
      <c r="AO253" s="283">
        <f t="shared" si="3"/>
        <v>10.227288357222067</v>
      </c>
      <c r="AP253" s="283">
        <f t="shared" si="3"/>
        <v>10.33569148414683</v>
      </c>
      <c r="AQ253" s="283">
        <f t="shared" si="3"/>
        <v>10.444094611071593</v>
      </c>
      <c r="AR253" s="283">
        <f t="shared" si="3"/>
        <v>10.552497737996356</v>
      </c>
      <c r="AS253" s="283">
        <f t="shared" si="3"/>
        <v>10.660900864921119</v>
      </c>
      <c r="AT253" s="283">
        <f t="shared" si="3"/>
        <v>10.769303991845883</v>
      </c>
      <c r="AU253" s="283">
        <f t="shared" si="3"/>
        <v>10.877707118770646</v>
      </c>
      <c r="AV253" s="283">
        <f t="shared" si="3"/>
        <v>10.986110245695409</v>
      </c>
      <c r="AW253" s="283">
        <f t="shared" si="3"/>
        <v>11.094513372620172</v>
      </c>
      <c r="AX253" s="284">
        <f>AI253*$B$742</f>
        <v>11.202916499544939</v>
      </c>
      <c r="AY253" s="283">
        <f>AX253+($BM$253-$AX$253)/15</f>
        <v>11.313845014700993</v>
      </c>
      <c r="AZ253" s="283">
        <f t="shared" ref="AZ253:BL253" si="4">AY253+($BM$253-$AX$253)/15</f>
        <v>11.424773529857047</v>
      </c>
      <c r="BA253" s="283">
        <f t="shared" si="4"/>
        <v>11.535702045013101</v>
      </c>
      <c r="BB253" s="283">
        <f t="shared" si="4"/>
        <v>11.646630560169156</v>
      </c>
      <c r="BC253" s="283">
        <f t="shared" si="4"/>
        <v>11.75755907532521</v>
      </c>
      <c r="BD253" s="283">
        <f t="shared" si="4"/>
        <v>11.868487590481264</v>
      </c>
      <c r="BE253" s="283">
        <f t="shared" si="4"/>
        <v>11.979416105637318</v>
      </c>
      <c r="BF253" s="283">
        <f t="shared" si="4"/>
        <v>12.090344620793372</v>
      </c>
      <c r="BG253" s="283">
        <f t="shared" si="4"/>
        <v>12.201273135949426</v>
      </c>
      <c r="BH253" s="283">
        <f t="shared" si="4"/>
        <v>12.312201651105481</v>
      </c>
      <c r="BI253" s="283">
        <f t="shared" si="4"/>
        <v>12.423130166261535</v>
      </c>
      <c r="BJ253" s="283">
        <f t="shared" si="4"/>
        <v>12.534058681417589</v>
      </c>
      <c r="BK253" s="283">
        <f t="shared" si="4"/>
        <v>12.644987196573643</v>
      </c>
      <c r="BL253" s="283">
        <f t="shared" si="4"/>
        <v>12.755915711729697</v>
      </c>
      <c r="BM253" s="284">
        <f>AX253*$C$742</f>
        <v>12.866844226885757</v>
      </c>
      <c r="BN253" s="283">
        <f>BM253+($BR$253-$BM$253)/5</f>
        <v>12.994248543867917</v>
      </c>
      <c r="BO253" s="283">
        <f>BN253+($BR$253-$BM$253)/5</f>
        <v>13.121652860850077</v>
      </c>
      <c r="BP253" s="283">
        <f>BO253+($BR$253-$BM$253)/5</f>
        <v>13.249057177832237</v>
      </c>
      <c r="BQ253" s="283">
        <f>BP253+($BR$253-$BM$253)/5</f>
        <v>13.376461494814397</v>
      </c>
      <c r="BR253" s="284">
        <f>BM253*$D$742</f>
        <v>13.503865811796555</v>
      </c>
    </row>
    <row r="254" spans="1:70" ht="13" thickBot="1" x14ac:dyDescent="0.3">
      <c r="A254" s="912" t="s">
        <v>723</v>
      </c>
      <c r="B254" s="914">
        <v>8.8815975189209002</v>
      </c>
      <c r="C254" s="914">
        <v>10.3074436187744</v>
      </c>
      <c r="D254" s="914">
        <v>13.411918640136699</v>
      </c>
      <c r="E254" s="914">
        <v>6.6991925239562997</v>
      </c>
      <c r="F254" s="914">
        <v>5.8016228675842303</v>
      </c>
      <c r="G254" s="914">
        <v>8.5975322723388707</v>
      </c>
      <c r="H254" s="914">
        <v>10.1285858154297</v>
      </c>
      <c r="I254" s="914">
        <v>11.654000282287599</v>
      </c>
      <c r="J254" s="914">
        <v>12.9474182128906</v>
      </c>
      <c r="K254" s="914">
        <v>14.400235176086399</v>
      </c>
      <c r="L254" s="914">
        <v>15.2041673660278</v>
      </c>
      <c r="M254" s="914">
        <v>15.658245086669901</v>
      </c>
      <c r="N254" s="914">
        <v>16.352220535278299</v>
      </c>
      <c r="O254" s="914">
        <v>16.605510711669901</v>
      </c>
      <c r="P254" s="914">
        <v>16.856744766235401</v>
      </c>
      <c r="Q254" s="914">
        <v>17.043632507324201</v>
      </c>
      <c r="R254" s="914">
        <v>17.1953125</v>
      </c>
      <c r="S254" s="914">
        <v>17.403110504150401</v>
      </c>
      <c r="T254" s="914">
        <v>17.4520969390869</v>
      </c>
      <c r="U254" s="914">
        <v>17.016120910644499</v>
      </c>
      <c r="V254" s="914">
        <v>17.163618087768601</v>
      </c>
      <c r="W254" s="914">
        <v>17.311967849731399</v>
      </c>
      <c r="X254" s="914">
        <v>17.516565322876001</v>
      </c>
      <c r="Y254" s="914">
        <v>17.704761505126999</v>
      </c>
      <c r="Z254" s="914">
        <v>17.873653411865199</v>
      </c>
      <c r="AA254" s="306">
        <v>24.1571254730225</v>
      </c>
      <c r="AB254" s="306">
        <v>24.207300186157202</v>
      </c>
      <c r="AC254" s="306">
        <v>24.2876873016357</v>
      </c>
      <c r="AD254" s="306">
        <v>24.267208099365199</v>
      </c>
      <c r="AE254" s="285">
        <f>AD254+($AI$254-$AD$254)/5</f>
        <v>24.075703794494256</v>
      </c>
      <c r="AF254" s="285">
        <f>AE254+($AI$254-$AD$254)/5</f>
        <v>23.884199489623313</v>
      </c>
      <c r="AG254" s="285">
        <f>AF254+($AI$254-$AD$254)/5</f>
        <v>23.69269518475237</v>
      </c>
      <c r="AH254" s="285">
        <f>AG254+($AI$254-$AD$254)/5</f>
        <v>23.501190879881428</v>
      </c>
      <c r="AI254" s="286">
        <f>T424*$E$745</f>
        <v>23.309686575010492</v>
      </c>
      <c r="AJ254" s="285">
        <f>AI254+($AX$254-$AI$254)/15</f>
        <v>23.300523054015734</v>
      </c>
      <c r="AK254" s="285">
        <f t="shared" ref="AK254:AW254" si="5">AJ254+($AX$254-$AI$254)/15</f>
        <v>23.291359533020977</v>
      </c>
      <c r="AL254" s="285">
        <f t="shared" si="5"/>
        <v>23.282196012026219</v>
      </c>
      <c r="AM254" s="285">
        <f t="shared" si="5"/>
        <v>23.273032491031461</v>
      </c>
      <c r="AN254" s="285">
        <f t="shared" si="5"/>
        <v>23.263868970036704</v>
      </c>
      <c r="AO254" s="285">
        <f t="shared" si="5"/>
        <v>23.254705449041946</v>
      </c>
      <c r="AP254" s="285">
        <f t="shared" si="5"/>
        <v>23.245541928047189</v>
      </c>
      <c r="AQ254" s="285">
        <f t="shared" si="5"/>
        <v>23.236378407052431</v>
      </c>
      <c r="AR254" s="285">
        <f t="shared" si="5"/>
        <v>23.227214886057673</v>
      </c>
      <c r="AS254" s="285">
        <f t="shared" si="5"/>
        <v>23.218051365062916</v>
      </c>
      <c r="AT254" s="285">
        <f t="shared" si="5"/>
        <v>23.208887844068158</v>
      </c>
      <c r="AU254" s="285">
        <f t="shared" si="5"/>
        <v>23.199724323073401</v>
      </c>
      <c r="AV254" s="285">
        <f t="shared" si="5"/>
        <v>23.190560802078643</v>
      </c>
      <c r="AW254" s="285">
        <f t="shared" si="5"/>
        <v>23.181397281083886</v>
      </c>
      <c r="AX254" s="286">
        <f>AI254*$B$745</f>
        <v>23.172233760089139</v>
      </c>
      <c r="AY254" s="285">
        <f>AX254+($BM$254-$AX$254)/15</f>
        <v>23.186953863011141</v>
      </c>
      <c r="AZ254" s="285">
        <f t="shared" ref="AZ254:BL254" si="6">AY254+($BM$254-$AX$254)/15</f>
        <v>23.201673965933143</v>
      </c>
      <c r="BA254" s="285">
        <f t="shared" si="6"/>
        <v>23.216394068855145</v>
      </c>
      <c r="BB254" s="285">
        <f t="shared" si="6"/>
        <v>23.231114171777147</v>
      </c>
      <c r="BC254" s="285">
        <f t="shared" si="6"/>
        <v>23.245834274699149</v>
      </c>
      <c r="BD254" s="285">
        <f t="shared" si="6"/>
        <v>23.260554377621151</v>
      </c>
      <c r="BE254" s="285">
        <f t="shared" si="6"/>
        <v>23.275274480543153</v>
      </c>
      <c r="BF254" s="285">
        <f t="shared" si="6"/>
        <v>23.289994583465155</v>
      </c>
      <c r="BG254" s="285">
        <f t="shared" si="6"/>
        <v>23.304714686387157</v>
      </c>
      <c r="BH254" s="285">
        <f t="shared" si="6"/>
        <v>23.31943478930916</v>
      </c>
      <c r="BI254" s="285">
        <f t="shared" si="6"/>
        <v>23.334154892231162</v>
      </c>
      <c r="BJ254" s="285">
        <f t="shared" si="6"/>
        <v>23.348874995153164</v>
      </c>
      <c r="BK254" s="285">
        <f t="shared" si="6"/>
        <v>23.363595098075166</v>
      </c>
      <c r="BL254" s="285">
        <f t="shared" si="6"/>
        <v>23.378315200997168</v>
      </c>
      <c r="BM254" s="286">
        <f>AX254*$C$745</f>
        <v>23.393035303919145</v>
      </c>
      <c r="BN254" s="285">
        <f>BM254+($BR$254-$BM$254)/5</f>
        <v>23.407895670463727</v>
      </c>
      <c r="BO254" s="285">
        <f>BN254+($BR$254-$BM$254)/5</f>
        <v>23.422756037008309</v>
      </c>
      <c r="BP254" s="285">
        <f>BO254+($BR$254-$BM$254)/5</f>
        <v>23.437616403552891</v>
      </c>
      <c r="BQ254" s="285">
        <f>BP254+($BR$254-$BM$254)/5</f>
        <v>23.452476770097473</v>
      </c>
      <c r="BR254" s="286">
        <f>BM254*$D$745</f>
        <v>23.467337136642058</v>
      </c>
    </row>
    <row r="255" spans="1:70" x14ac:dyDescent="0.25">
      <c r="A255" s="912" t="s">
        <v>510</v>
      </c>
      <c r="B255" s="914">
        <v>11.896094322204601</v>
      </c>
      <c r="C255" s="914">
        <v>10.9898433685303</v>
      </c>
      <c r="D255" s="914">
        <v>11.3387994766235</v>
      </c>
      <c r="E255" s="914">
        <v>8.9075946807861293</v>
      </c>
      <c r="F255" s="914">
        <v>9.4656057357788104</v>
      </c>
      <c r="G255" s="914">
        <v>9.7463216781616193</v>
      </c>
      <c r="H255" s="914">
        <v>9.7210922241210902</v>
      </c>
      <c r="I255" s="914">
        <v>9.6719341278076207</v>
      </c>
      <c r="J255" s="914">
        <v>9.7138872146606392</v>
      </c>
      <c r="K255" s="914">
        <v>9.8306560516357404</v>
      </c>
      <c r="L255" s="914">
        <v>10.038209915161101</v>
      </c>
      <c r="M255" s="914">
        <v>10.2545003890991</v>
      </c>
      <c r="N255" s="914">
        <v>10.476261138916</v>
      </c>
      <c r="O255" s="914">
        <v>10.746561050415</v>
      </c>
      <c r="P255" s="914">
        <v>11.0803880691528</v>
      </c>
      <c r="Q255" s="914">
        <v>11.314369201660201</v>
      </c>
      <c r="R255" s="914">
        <v>11.4017143249512</v>
      </c>
      <c r="S255" s="914">
        <v>11.212500572204601</v>
      </c>
      <c r="T255" s="914">
        <v>11.1975994110107</v>
      </c>
      <c r="U255" s="914">
        <v>11.159740447998001</v>
      </c>
      <c r="V255" s="914">
        <v>11.3503875732422</v>
      </c>
      <c r="W255" s="914">
        <v>11.640952110290501</v>
      </c>
      <c r="X255" s="914">
        <v>11.9785671234131</v>
      </c>
      <c r="Y255" s="914">
        <v>12.2332496643066</v>
      </c>
      <c r="Z255" s="914">
        <v>12.5188312530518</v>
      </c>
      <c r="AA255" s="306"/>
      <c r="AB255" s="306"/>
      <c r="AC255" s="306"/>
      <c r="AD255" s="306"/>
    </row>
    <row r="256" spans="1:70" x14ac:dyDescent="0.25">
      <c r="A256" s="912" t="s">
        <v>479</v>
      </c>
      <c r="B256" s="914">
        <v>28.3762531280518</v>
      </c>
      <c r="C256" s="914">
        <v>28.029735565185501</v>
      </c>
      <c r="D256" s="914">
        <v>29.057315826416001</v>
      </c>
      <c r="E256" s="914">
        <v>27.6067714691162</v>
      </c>
      <c r="F256" s="914">
        <v>24.835584640502901</v>
      </c>
      <c r="G256" s="914">
        <v>25.581251144409201</v>
      </c>
      <c r="H256" s="914">
        <v>25.4402256011963</v>
      </c>
      <c r="I256" s="914">
        <v>25.470129013061499</v>
      </c>
      <c r="J256" s="914">
        <v>25.672283172607401</v>
      </c>
      <c r="K256" s="914">
        <v>25.763282775878899</v>
      </c>
      <c r="L256" s="914">
        <v>26.100669860839801</v>
      </c>
      <c r="M256" s="914">
        <v>26.468044281005898</v>
      </c>
      <c r="N256" s="914">
        <v>26.885612487793001</v>
      </c>
      <c r="O256" s="914">
        <v>27.169450759887699</v>
      </c>
      <c r="P256" s="914">
        <v>27.620109558105501</v>
      </c>
      <c r="Q256" s="914">
        <v>28.002447128295898</v>
      </c>
      <c r="R256" s="914">
        <v>28.245407104492202</v>
      </c>
      <c r="S256" s="914">
        <v>28.186374664306602</v>
      </c>
      <c r="T256" s="914">
        <v>28.203248977661101</v>
      </c>
      <c r="U256" s="914">
        <v>28.139711380004901</v>
      </c>
      <c r="V256" s="914">
        <v>28.178466796875</v>
      </c>
      <c r="W256" s="914">
        <v>28.495182037353501</v>
      </c>
      <c r="X256" s="914">
        <v>28.915565490722699</v>
      </c>
      <c r="Y256" s="914">
        <v>29.289411544799801</v>
      </c>
      <c r="Z256" s="914">
        <v>29.651695251464801</v>
      </c>
      <c r="AA256" s="306">
        <v>16.318952560424801</v>
      </c>
      <c r="AB256" s="306">
        <v>16.4172878265381</v>
      </c>
      <c r="AC256" s="306">
        <v>16.5084934234619</v>
      </c>
      <c r="AD256" s="306">
        <v>16.549221038818398</v>
      </c>
    </row>
    <row r="257" spans="1:70" x14ac:dyDescent="0.25">
      <c r="AA257" s="306">
        <v>12.788073539733899</v>
      </c>
      <c r="AB257" s="306">
        <v>13.069622039794901</v>
      </c>
      <c r="AC257" s="306">
        <v>13.0597486495972</v>
      </c>
      <c r="AD257" s="306">
        <v>13.2463188171387</v>
      </c>
    </row>
    <row r="258" spans="1:70" ht="13" thickBot="1" x14ac:dyDescent="0.3">
      <c r="A258" s="912" t="s">
        <v>612</v>
      </c>
      <c r="AA258" s="306">
        <v>9.5039434432983398</v>
      </c>
      <c r="AB258" s="306">
        <v>9.4975557327270508</v>
      </c>
      <c r="AC258" s="306">
        <v>9.6068582534790004</v>
      </c>
      <c r="AD258" s="306">
        <v>9.5831336975097692</v>
      </c>
    </row>
    <row r="259" spans="1:70" ht="13" thickBot="1" x14ac:dyDescent="0.3">
      <c r="A259" s="912" t="s">
        <v>609</v>
      </c>
      <c r="B259" s="914">
        <v>21.041078567504901</v>
      </c>
      <c r="C259" s="914">
        <v>23.3795166015625</v>
      </c>
      <c r="D259" s="914">
        <v>26.646581649780298</v>
      </c>
      <c r="E259" s="914">
        <v>22.2440700531006</v>
      </c>
      <c r="F259" s="914">
        <v>16.6379299163818</v>
      </c>
      <c r="G259" s="914">
        <v>18.920274734497099</v>
      </c>
      <c r="H259" s="914">
        <v>20.8892612457275</v>
      </c>
      <c r="I259" s="914">
        <v>22.636520385742202</v>
      </c>
      <c r="J259" s="914">
        <v>24.1346244812012</v>
      </c>
      <c r="K259" s="914">
        <v>25.742292404174801</v>
      </c>
      <c r="L259" s="914">
        <v>26.783767700195298</v>
      </c>
      <c r="M259" s="914">
        <v>27.652248382568398</v>
      </c>
      <c r="N259" s="914">
        <v>28.520401000976602</v>
      </c>
      <c r="O259" s="914">
        <v>28.932659149169901</v>
      </c>
      <c r="P259" s="914">
        <v>29.169765472412099</v>
      </c>
      <c r="Q259" s="914">
        <v>29.4143581390381</v>
      </c>
      <c r="R259" s="914">
        <v>29.524629592895501</v>
      </c>
      <c r="S259" s="914">
        <v>29.853767395019499</v>
      </c>
      <c r="T259" s="914">
        <v>29.959171295166001</v>
      </c>
      <c r="U259" s="914">
        <v>29.528638839721701</v>
      </c>
      <c r="V259" s="914">
        <v>29.7813510894775</v>
      </c>
      <c r="W259" s="914">
        <v>30.054143905639599</v>
      </c>
      <c r="X259" s="914">
        <v>30.3852443695068</v>
      </c>
      <c r="Y259" s="914">
        <v>30.4649448394775</v>
      </c>
      <c r="Z259" s="914">
        <v>30.849096298217798</v>
      </c>
      <c r="AA259" s="306">
        <v>6.3330101966857901</v>
      </c>
      <c r="AB259" s="306">
        <v>6.4338274002075204</v>
      </c>
      <c r="AC259" s="306">
        <v>6.5134425163268999</v>
      </c>
      <c r="AD259" s="306">
        <v>6.5598897933959996</v>
      </c>
      <c r="AE259" s="283">
        <f>AD259+($AI$259-$AD$259)/5</f>
        <v>6.5507078532683796</v>
      </c>
      <c r="AF259" s="283">
        <f>AE259+($AI$259-$AD$259)/5</f>
        <v>6.5415259131407595</v>
      </c>
      <c r="AG259" s="283">
        <f>AF259+($AI$259-$AD$259)/5</f>
        <v>6.5323439730131394</v>
      </c>
      <c r="AH259" s="283">
        <f>AG259+($AI$259-$AD$259)/5</f>
        <v>6.5231620328855193</v>
      </c>
      <c r="AI259" s="284">
        <f>T429*$E$742</f>
        <v>6.5139800927579001</v>
      </c>
      <c r="AJ259" s="283">
        <f>AI259+($AX$259-$AI$259)/15</f>
        <v>6.5877135610615332</v>
      </c>
      <c r="AK259" s="283">
        <f t="shared" ref="AK259:AW259" si="7">AJ259+($AX$259-$AI$259)/15</f>
        <v>6.6614470293651662</v>
      </c>
      <c r="AL259" s="283">
        <f t="shared" si="7"/>
        <v>6.7351804976687992</v>
      </c>
      <c r="AM259" s="283">
        <f t="shared" si="7"/>
        <v>6.8089139659724323</v>
      </c>
      <c r="AN259" s="283">
        <f t="shared" si="7"/>
        <v>6.8826474342760653</v>
      </c>
      <c r="AO259" s="283">
        <f t="shared" si="7"/>
        <v>6.9563809025796983</v>
      </c>
      <c r="AP259" s="283">
        <f t="shared" si="7"/>
        <v>7.0301143708833314</v>
      </c>
      <c r="AQ259" s="283">
        <f t="shared" si="7"/>
        <v>7.1038478391869644</v>
      </c>
      <c r="AR259" s="283">
        <f t="shared" si="7"/>
        <v>7.1775813074905974</v>
      </c>
      <c r="AS259" s="283">
        <f t="shared" si="7"/>
        <v>7.2513147757942304</v>
      </c>
      <c r="AT259" s="283">
        <f t="shared" si="7"/>
        <v>7.3250482440978635</v>
      </c>
      <c r="AU259" s="283">
        <f t="shared" si="7"/>
        <v>7.3987817124014965</v>
      </c>
      <c r="AV259" s="283">
        <f t="shared" si="7"/>
        <v>7.4725151807051295</v>
      </c>
      <c r="AW259" s="283">
        <f t="shared" si="7"/>
        <v>7.5462486490087626</v>
      </c>
      <c r="AX259" s="284">
        <f>AI259*$B$742</f>
        <v>7.6199821173123929</v>
      </c>
      <c r="AY259" s="283">
        <f>AX259+($BM$259-$AX$259)/15</f>
        <v>7.6954333002095865</v>
      </c>
      <c r="AZ259" s="283">
        <f t="shared" ref="AZ259:BL259" si="8">AY259+($BM$259-$AX$259)/15</f>
        <v>7.77088448310678</v>
      </c>
      <c r="BA259" s="283">
        <f t="shared" si="8"/>
        <v>7.8463356660039736</v>
      </c>
      <c r="BB259" s="283">
        <f t="shared" si="8"/>
        <v>7.9217868489011671</v>
      </c>
      <c r="BC259" s="283">
        <f t="shared" si="8"/>
        <v>7.9972380317983607</v>
      </c>
      <c r="BD259" s="283">
        <f t="shared" si="8"/>
        <v>8.0726892146955542</v>
      </c>
      <c r="BE259" s="283">
        <f t="shared" si="8"/>
        <v>8.1481403975927478</v>
      </c>
      <c r="BF259" s="283">
        <f t="shared" si="8"/>
        <v>8.2235915804899413</v>
      </c>
      <c r="BG259" s="283">
        <f t="shared" si="8"/>
        <v>8.2990427633871349</v>
      </c>
      <c r="BH259" s="283">
        <f t="shared" si="8"/>
        <v>8.3744939462843284</v>
      </c>
      <c r="BI259" s="283">
        <f t="shared" si="8"/>
        <v>8.449945129181522</v>
      </c>
      <c r="BJ259" s="283">
        <f t="shared" si="8"/>
        <v>8.5253963120787155</v>
      </c>
      <c r="BK259" s="283">
        <f t="shared" si="8"/>
        <v>8.6008474949759091</v>
      </c>
      <c r="BL259" s="283">
        <f t="shared" si="8"/>
        <v>8.6762986778731026</v>
      </c>
      <c r="BM259" s="284">
        <f>AX259*$C$742</f>
        <v>8.7517498607702962</v>
      </c>
      <c r="BN259" s="283">
        <f>BM259+($BR$259-$BM$259)/5</f>
        <v>8.8384075286295438</v>
      </c>
      <c r="BO259" s="283">
        <f>BN259+($BR$259-$BM$259)/5</f>
        <v>8.9250651964887915</v>
      </c>
      <c r="BP259" s="283">
        <f>BO259+($BR$259-$BM$259)/5</f>
        <v>9.0117228643480392</v>
      </c>
      <c r="BQ259" s="283">
        <f>BP259+($BR$259-$BM$259)/5</f>
        <v>9.0983805322072868</v>
      </c>
      <c r="BR259" s="284">
        <f>BM259*$D$742</f>
        <v>9.1850382000665363</v>
      </c>
    </row>
    <row r="260" spans="1:70" x14ac:dyDescent="0.25">
      <c r="A260" s="912" t="s">
        <v>610</v>
      </c>
      <c r="B260" s="914">
        <v>15.7354278564453</v>
      </c>
      <c r="C260" s="914">
        <v>16.8219394683838</v>
      </c>
      <c r="D260" s="914">
        <v>21.937858581543001</v>
      </c>
      <c r="E260" s="914">
        <v>14.291754722595201</v>
      </c>
      <c r="F260" s="914">
        <v>10.6247463226318</v>
      </c>
      <c r="G260" s="914">
        <v>13.4027051925659</v>
      </c>
      <c r="H260" s="914">
        <v>15.2648477554321</v>
      </c>
      <c r="I260" s="914">
        <v>17.266075134277301</v>
      </c>
      <c r="J260" s="914">
        <v>18.658037185668899</v>
      </c>
      <c r="K260" s="914">
        <v>19.740333557128899</v>
      </c>
      <c r="L260" s="914">
        <v>20.622322082519499</v>
      </c>
      <c r="M260" s="914">
        <v>21.514814376831101</v>
      </c>
      <c r="N260" s="914">
        <v>22.261856079101602</v>
      </c>
      <c r="O260" s="914">
        <v>22.720048904418899</v>
      </c>
      <c r="P260" s="914">
        <v>23.0620517730713</v>
      </c>
      <c r="Q260" s="914">
        <v>23.029100418090799</v>
      </c>
      <c r="R260" s="914">
        <v>23.327865600585898</v>
      </c>
      <c r="S260" s="914">
        <v>23.5460414886475</v>
      </c>
      <c r="T260" s="914">
        <v>23.635374069213899</v>
      </c>
      <c r="U260" s="914">
        <v>23.588466644287099</v>
      </c>
      <c r="V260" s="914">
        <v>23.9423828125</v>
      </c>
      <c r="W260" s="914">
        <v>23.870851516723601</v>
      </c>
      <c r="X260" s="914">
        <v>24.336980819702099</v>
      </c>
      <c r="Y260" s="914">
        <v>25.037542343139599</v>
      </c>
      <c r="Z260" s="914">
        <v>25.073137283325199</v>
      </c>
      <c r="AA260" s="306">
        <v>2.7168338298797599</v>
      </c>
      <c r="AB260" s="306">
        <v>2.7307398319244398</v>
      </c>
      <c r="AC260" s="306">
        <v>2.7413196563720699</v>
      </c>
      <c r="AD260" s="306">
        <v>2.7546591758728001</v>
      </c>
    </row>
    <row r="261" spans="1:70" x14ac:dyDescent="0.25">
      <c r="A261" s="912" t="s">
        <v>611</v>
      </c>
      <c r="B261" s="914">
        <v>9.2125787734985405</v>
      </c>
      <c r="C261" s="914">
        <v>10.5954837799072</v>
      </c>
      <c r="D261" s="914">
        <v>13.7473258972168</v>
      </c>
      <c r="E261" s="914">
        <v>6.9127345085143999</v>
      </c>
      <c r="F261" s="914">
        <v>9.8444128036499006</v>
      </c>
      <c r="G261" s="914">
        <v>12.2499532699585</v>
      </c>
      <c r="H261" s="914">
        <v>13.9352369308472</v>
      </c>
      <c r="I261" s="914">
        <v>15.428977966308601</v>
      </c>
      <c r="J261" s="914">
        <v>16.646518707275401</v>
      </c>
      <c r="K261" s="914">
        <v>18.037969589233398</v>
      </c>
      <c r="L261" s="914">
        <v>18.8180332183838</v>
      </c>
      <c r="M261" s="914">
        <v>19.4296264648438</v>
      </c>
      <c r="N261" s="914">
        <v>20.112428665161101</v>
      </c>
      <c r="O261" s="914">
        <v>20.448431015014599</v>
      </c>
      <c r="P261" s="914">
        <v>20.727931976318398</v>
      </c>
      <c r="Q261" s="914">
        <v>20.973798751831101</v>
      </c>
      <c r="R261" s="914">
        <v>21.101537704467798</v>
      </c>
      <c r="S261" s="914">
        <v>21.306892395019499</v>
      </c>
      <c r="T261" s="914">
        <v>21.394767761230501</v>
      </c>
      <c r="U261" s="914">
        <v>21.017236709594702</v>
      </c>
      <c r="V261" s="914">
        <v>21.180326461791999</v>
      </c>
      <c r="W261" s="914">
        <v>21.338615417480501</v>
      </c>
      <c r="X261" s="914">
        <v>21.660650253295898</v>
      </c>
      <c r="Y261" s="914">
        <v>21.793584823608398</v>
      </c>
      <c r="Z261" s="914">
        <v>22.078443527221701</v>
      </c>
      <c r="AA261" s="306">
        <v>2.2517027854919398</v>
      </c>
      <c r="AB261" s="306">
        <v>2.2682161331176802</v>
      </c>
      <c r="AC261" s="306">
        <v>2.2745745182037398</v>
      </c>
      <c r="AD261" s="306">
        <v>2.2862651348114</v>
      </c>
    </row>
    <row r="262" spans="1:70" ht="13" thickBot="1" x14ac:dyDescent="0.3">
      <c r="A262" s="912" t="s">
        <v>613</v>
      </c>
      <c r="B262" s="914">
        <v>7.9540700912475604</v>
      </c>
      <c r="C262" s="914">
        <v>7.5152516365051296</v>
      </c>
      <c r="D262" s="914">
        <v>8.8012723922729492</v>
      </c>
      <c r="E262" s="914">
        <v>4.8485679626464799</v>
      </c>
      <c r="F262" s="914">
        <v>5.4989199638366699</v>
      </c>
      <c r="G262" s="914">
        <v>5.8261642456054696</v>
      </c>
      <c r="H262" s="914">
        <v>5.87778615951538</v>
      </c>
      <c r="I262" s="914">
        <v>5.9538393020629901</v>
      </c>
      <c r="J262" s="914">
        <v>6.1098570823669398</v>
      </c>
      <c r="K262" s="914">
        <v>6.3294844627380398</v>
      </c>
      <c r="L262" s="914">
        <v>6.5125813484191903</v>
      </c>
      <c r="M262" s="914">
        <v>6.7027301788330096</v>
      </c>
      <c r="N262" s="914">
        <v>6.8988709449768102</v>
      </c>
      <c r="O262" s="914">
        <v>7.1528282165527299</v>
      </c>
      <c r="P262" s="914">
        <v>7.4686021804809597</v>
      </c>
      <c r="Q262" s="914">
        <v>7.6786775588989302</v>
      </c>
      <c r="R262" s="914">
        <v>7.7538070678710902</v>
      </c>
      <c r="S262" s="914">
        <v>7.5584783554077104</v>
      </c>
      <c r="T262" s="914">
        <v>7.5461778640747097</v>
      </c>
      <c r="U262" s="914">
        <v>7.4592709541320801</v>
      </c>
      <c r="V262" s="914">
        <v>7.6002230644226101</v>
      </c>
      <c r="W262" s="914">
        <v>7.8596048355102504</v>
      </c>
      <c r="X262" s="914">
        <v>8.1941757202148402</v>
      </c>
      <c r="Y262" s="914">
        <v>8.4216127395629901</v>
      </c>
      <c r="Z262" s="914">
        <v>8.6935501098632795</v>
      </c>
      <c r="AA262" s="306">
        <v>1.2833950519561801</v>
      </c>
      <c r="AB262" s="306">
        <v>1.3286876678466799</v>
      </c>
      <c r="AC262" s="306">
        <v>1.33012855052948</v>
      </c>
      <c r="AD262" s="306">
        <v>1.33445107936859</v>
      </c>
    </row>
    <row r="263" spans="1:70" ht="13" thickBot="1" x14ac:dyDescent="0.3">
      <c r="A263" s="912" t="s">
        <v>614</v>
      </c>
      <c r="B263" s="914">
        <v>3.6353600025177002</v>
      </c>
      <c r="C263" s="914">
        <v>3.6099998950958301</v>
      </c>
      <c r="D263" s="914">
        <v>4.0558156967163104</v>
      </c>
      <c r="E263" s="914">
        <v>4.0487108230590803</v>
      </c>
      <c r="F263" s="914">
        <v>3.9977276325225799</v>
      </c>
      <c r="G263" s="914">
        <v>4.1121706962585396</v>
      </c>
      <c r="H263" s="914">
        <v>4.1809573173522896</v>
      </c>
      <c r="I263" s="914">
        <v>4.2343683242797896</v>
      </c>
      <c r="J263" s="914">
        <v>4.27162742614746</v>
      </c>
      <c r="K263" s="914">
        <v>4.2985162734985396</v>
      </c>
      <c r="L263" s="914">
        <v>4.3192996978759801</v>
      </c>
      <c r="M263" s="914">
        <v>4.3337044715881303</v>
      </c>
      <c r="N263" s="914">
        <v>4.3530845642089799</v>
      </c>
      <c r="O263" s="914">
        <v>4.3696141242981001</v>
      </c>
      <c r="P263" s="914">
        <v>4.3899216651916504</v>
      </c>
      <c r="Q263" s="914">
        <v>4.4470157623290998</v>
      </c>
      <c r="R263" s="914">
        <v>4.5093812942504901</v>
      </c>
      <c r="S263" s="914">
        <v>4.5352845191955602</v>
      </c>
      <c r="T263" s="914">
        <v>4.5618190765380904</v>
      </c>
      <c r="U263" s="914">
        <v>4.5643453598022496</v>
      </c>
      <c r="V263" s="914">
        <v>4.5493078231811497</v>
      </c>
      <c r="W263" s="914">
        <v>4.5490665435790998</v>
      </c>
      <c r="X263" s="914">
        <v>4.5331215858459499</v>
      </c>
      <c r="Y263" s="914">
        <v>4.4955492019653303</v>
      </c>
      <c r="Z263" s="914">
        <v>4.4319190979003897</v>
      </c>
      <c r="AA263" s="306">
        <v>17.3004150390625</v>
      </c>
      <c r="AB263" s="306">
        <v>17.331628799438501</v>
      </c>
      <c r="AC263" s="306">
        <v>17.425392150878899</v>
      </c>
      <c r="AD263" s="306">
        <v>17.430723190307599</v>
      </c>
      <c r="AE263" s="285">
        <f>AD263+($AI$263-$AD$263)/5</f>
        <v>17.267158349957999</v>
      </c>
      <c r="AF263" s="285">
        <f>AE263+($AI$263-$AD$263)/5</f>
        <v>17.103593509608398</v>
      </c>
      <c r="AG263" s="285">
        <f>AF263+($AI$263-$AD$263)/5</f>
        <v>16.940028669258798</v>
      </c>
      <c r="AH263" s="285">
        <f>AG263+($AI$263-$AD$263)/5</f>
        <v>16.776463828909197</v>
      </c>
      <c r="AI263" s="286">
        <f>T433*$E$745</f>
        <v>16.612898988559596</v>
      </c>
      <c r="AJ263" s="285">
        <f>AI263+($AX$263-$AI$263)/15</f>
        <v>16.606368113587273</v>
      </c>
      <c r="AK263" s="285">
        <f t="shared" ref="AK263:AW263" si="9">AJ263+($AX$263-$AI$263)/15</f>
        <v>16.599837238614949</v>
      </c>
      <c r="AL263" s="285">
        <f t="shared" si="9"/>
        <v>16.593306363642625</v>
      </c>
      <c r="AM263" s="285">
        <f t="shared" si="9"/>
        <v>16.586775488670302</v>
      </c>
      <c r="AN263" s="285">
        <f t="shared" si="9"/>
        <v>16.580244613697978</v>
      </c>
      <c r="AO263" s="285">
        <f t="shared" si="9"/>
        <v>16.573713738725655</v>
      </c>
      <c r="AP263" s="285">
        <f t="shared" si="9"/>
        <v>16.567182863753331</v>
      </c>
      <c r="AQ263" s="285">
        <f t="shared" si="9"/>
        <v>16.560651988781007</v>
      </c>
      <c r="AR263" s="285">
        <f t="shared" si="9"/>
        <v>16.554121113808684</v>
      </c>
      <c r="AS263" s="285">
        <f t="shared" si="9"/>
        <v>16.54759023883636</v>
      </c>
      <c r="AT263" s="285">
        <f t="shared" si="9"/>
        <v>16.541059363864036</v>
      </c>
      <c r="AU263" s="285">
        <f t="shared" si="9"/>
        <v>16.534528488891713</v>
      </c>
      <c r="AV263" s="285">
        <f t="shared" si="9"/>
        <v>16.527997613919389</v>
      </c>
      <c r="AW263" s="285">
        <f t="shared" si="9"/>
        <v>16.521466738947066</v>
      </c>
      <c r="AX263" s="286">
        <f>AI263*$B$745</f>
        <v>16.514935863974742</v>
      </c>
      <c r="AY263" s="285">
        <f>AX263+($BM$263-$AX$263)/15</f>
        <v>16.525426935236357</v>
      </c>
      <c r="AZ263" s="285">
        <f t="shared" ref="AZ263:BL263" si="10">AY263+($BM$263-$AX$263)/15</f>
        <v>16.535918006497972</v>
      </c>
      <c r="BA263" s="285">
        <f t="shared" si="10"/>
        <v>16.546409077759588</v>
      </c>
      <c r="BB263" s="285">
        <f t="shared" si="10"/>
        <v>16.556900149021203</v>
      </c>
      <c r="BC263" s="285">
        <f t="shared" si="10"/>
        <v>16.567391220282818</v>
      </c>
      <c r="BD263" s="285">
        <f t="shared" si="10"/>
        <v>16.577882291544434</v>
      </c>
      <c r="BE263" s="285">
        <f t="shared" si="10"/>
        <v>16.588373362806049</v>
      </c>
      <c r="BF263" s="285">
        <f t="shared" si="10"/>
        <v>16.598864434067664</v>
      </c>
      <c r="BG263" s="285">
        <f t="shared" si="10"/>
        <v>16.60935550532928</v>
      </c>
      <c r="BH263" s="285">
        <f t="shared" si="10"/>
        <v>16.619846576590895</v>
      </c>
      <c r="BI263" s="285">
        <f t="shared" si="10"/>
        <v>16.63033764785251</v>
      </c>
      <c r="BJ263" s="285">
        <f t="shared" si="10"/>
        <v>16.640828719114126</v>
      </c>
      <c r="BK263" s="285">
        <f t="shared" si="10"/>
        <v>16.651319790375741</v>
      </c>
      <c r="BL263" s="285">
        <f t="shared" si="10"/>
        <v>16.661810861637356</v>
      </c>
      <c r="BM263" s="286">
        <f>AX263*$C$745</f>
        <v>16.672301932898996</v>
      </c>
      <c r="BN263" s="285">
        <f>BM263+($BR$263-$BM$263)/5</f>
        <v>16.682892970558111</v>
      </c>
      <c r="BO263" s="285">
        <f>BN263+($BR$263-$BM$263)/5</f>
        <v>16.693484008217226</v>
      </c>
      <c r="BP263" s="285">
        <f>BO263+($BR$263-$BM$263)/5</f>
        <v>16.704075045876341</v>
      </c>
      <c r="BQ263" s="285">
        <f>BP263+($BR$263-$BM$263)/5</f>
        <v>16.714666083535455</v>
      </c>
      <c r="BR263" s="286">
        <f>BM263*$D$745</f>
        <v>16.725257121194577</v>
      </c>
    </row>
    <row r="264" spans="1:70" x14ac:dyDescent="0.25">
      <c r="A264" s="912" t="s">
        <v>615</v>
      </c>
      <c r="B264" s="914">
        <v>2.4029970169067401</v>
      </c>
      <c r="C264" s="914">
        <v>2.4299483299255402</v>
      </c>
      <c r="D264" s="914">
        <v>2.5420303344726598</v>
      </c>
      <c r="E264" s="914">
        <v>2.4490520954132098</v>
      </c>
      <c r="F264" s="914">
        <v>2.3906834125518799</v>
      </c>
      <c r="G264" s="914">
        <v>2.4765830039978001</v>
      </c>
      <c r="H264" s="914">
        <v>2.4936084747314502</v>
      </c>
      <c r="I264" s="914">
        <v>2.5247271060943599</v>
      </c>
      <c r="J264" s="914">
        <v>2.54471778869629</v>
      </c>
      <c r="K264" s="914">
        <v>2.53918480873108</v>
      </c>
      <c r="L264" s="914">
        <v>2.54552221298218</v>
      </c>
      <c r="M264" s="914">
        <v>2.5526983737945601</v>
      </c>
      <c r="N264" s="914">
        <v>2.5639333724975599</v>
      </c>
      <c r="O264" s="914">
        <v>2.5611753463745099</v>
      </c>
      <c r="P264" s="914">
        <v>2.56861472129822</v>
      </c>
      <c r="Q264" s="914">
        <v>2.5710935592651398</v>
      </c>
      <c r="R264" s="914">
        <v>2.57420825958252</v>
      </c>
      <c r="S264" s="914">
        <v>2.5741758346557599</v>
      </c>
      <c r="T264" s="914">
        <v>2.5788726806640598</v>
      </c>
      <c r="U264" s="914">
        <v>2.5789062976837198</v>
      </c>
      <c r="V264" s="914">
        <v>2.59378290176392</v>
      </c>
      <c r="W264" s="914">
        <v>2.6088099479675302</v>
      </c>
      <c r="X264" s="914">
        <v>2.6259028911590598</v>
      </c>
      <c r="Y264" s="914">
        <v>2.64452123641968</v>
      </c>
      <c r="Z264" s="914">
        <v>2.6644773483276398</v>
      </c>
      <c r="AA264" s="306"/>
      <c r="AB264" s="306"/>
      <c r="AC264" s="306"/>
      <c r="AD264" s="306"/>
    </row>
    <row r="265" spans="1:70" ht="13" thickBot="1" x14ac:dyDescent="0.3">
      <c r="A265" s="912" t="s">
        <v>616</v>
      </c>
      <c r="B265" s="914">
        <v>0</v>
      </c>
      <c r="C265" s="914">
        <v>0</v>
      </c>
      <c r="D265" s="914">
        <v>0</v>
      </c>
      <c r="E265" s="914">
        <v>0</v>
      </c>
      <c r="F265" s="914">
        <v>0</v>
      </c>
      <c r="G265" s="914">
        <v>1.5133428573608401</v>
      </c>
      <c r="H265" s="914">
        <v>1.3742095232009901</v>
      </c>
      <c r="I265" s="914">
        <v>1.19064140319824</v>
      </c>
      <c r="J265" s="914">
        <v>1.3664953708648699</v>
      </c>
      <c r="K265" s="914">
        <v>1.33487153053284</v>
      </c>
      <c r="L265" s="914">
        <v>1.31654036045074</v>
      </c>
      <c r="M265" s="914">
        <v>1.30223417282104</v>
      </c>
      <c r="N265" s="914">
        <v>1.30838906764984</v>
      </c>
      <c r="O265" s="914">
        <v>1.32146644592285</v>
      </c>
      <c r="P265" s="914">
        <v>1.3489345312118499</v>
      </c>
      <c r="Q265" s="914">
        <v>1.3524934053421001</v>
      </c>
      <c r="R265" s="914">
        <v>1.3570195436477701</v>
      </c>
      <c r="S265" s="914">
        <v>1.3626403808593801</v>
      </c>
      <c r="T265" s="914">
        <v>1.37119424343109</v>
      </c>
      <c r="U265" s="914">
        <v>1.3635557889938399</v>
      </c>
      <c r="V265" s="914">
        <v>1.3662919998168901</v>
      </c>
      <c r="W265" s="914">
        <v>1.37254309654236</v>
      </c>
      <c r="X265" s="914">
        <v>1.37609398365021</v>
      </c>
      <c r="Y265" s="914">
        <v>1.3784751892089799</v>
      </c>
      <c r="Z265" s="914">
        <v>1.3805129528045701</v>
      </c>
      <c r="AA265" s="306">
        <v>24.056577682495099</v>
      </c>
      <c r="AB265" s="306">
        <v>24.1739406585693</v>
      </c>
      <c r="AC265" s="306">
        <v>24.2586994171143</v>
      </c>
      <c r="AD265" s="306">
        <v>24.288969039916999</v>
      </c>
    </row>
    <row r="266" spans="1:70" ht="13" thickBot="1" x14ac:dyDescent="0.3">
      <c r="A266" s="912" t="s">
        <v>479</v>
      </c>
      <c r="B266" s="914">
        <v>18.400894165039102</v>
      </c>
      <c r="C266" s="914">
        <v>18.6226921081543</v>
      </c>
      <c r="D266" s="914">
        <v>20.334409713745099</v>
      </c>
      <c r="E266" s="914">
        <v>19.159486770629901</v>
      </c>
      <c r="F266" s="914">
        <v>16.828172683715799</v>
      </c>
      <c r="G266" s="914">
        <v>17.264308929443398</v>
      </c>
      <c r="H266" s="914">
        <v>17.156070709228501</v>
      </c>
      <c r="I266" s="914">
        <v>17.083604812622099</v>
      </c>
      <c r="J266" s="914">
        <v>17.1988334655762</v>
      </c>
      <c r="K266" s="914">
        <v>17.318143844604499</v>
      </c>
      <c r="L266" s="914">
        <v>17.615074157714801</v>
      </c>
      <c r="M266" s="914">
        <v>17.910154342651399</v>
      </c>
      <c r="N266" s="914">
        <v>18.210170745849599</v>
      </c>
      <c r="O266" s="914">
        <v>18.456880569458001</v>
      </c>
      <c r="P266" s="914">
        <v>18.803001403808601</v>
      </c>
      <c r="Q266" s="914">
        <v>19.085206985473601</v>
      </c>
      <c r="R266" s="914">
        <v>19.30615234375</v>
      </c>
      <c r="S266" s="914">
        <v>19.3043308258057</v>
      </c>
      <c r="T266" s="914">
        <v>19.3253479003906</v>
      </c>
      <c r="U266" s="914">
        <v>19.324813842773398</v>
      </c>
      <c r="V266" s="914">
        <v>19.354219436645501</v>
      </c>
      <c r="W266" s="914">
        <v>19.614883422851602</v>
      </c>
      <c r="X266" s="914">
        <v>19.97239112854</v>
      </c>
      <c r="Y266" s="914">
        <v>20.29469871521</v>
      </c>
      <c r="Z266" s="914">
        <v>20.560989379882798</v>
      </c>
      <c r="AA266" s="306">
        <v>21.3195495605469</v>
      </c>
      <c r="AB266" s="306">
        <v>21.43874168396</v>
      </c>
      <c r="AC266" s="306">
        <v>21.398374557495099</v>
      </c>
      <c r="AD266" s="306">
        <v>21.4992275238037</v>
      </c>
      <c r="AE266" s="289">
        <f>AD266+($AI$266-$AD$266)/5</f>
        <v>21.318281718011935</v>
      </c>
      <c r="AF266" s="289">
        <f>AE266+($AI$266-$AD$266)/5</f>
        <v>21.13733591222017</v>
      </c>
      <c r="AG266" s="289">
        <f>AF266+($AI$266-$AD$266)/5</f>
        <v>20.956390106428405</v>
      </c>
      <c r="AH266" s="289">
        <f>AG266+($AI$266-$AD$266)/5</f>
        <v>20.775444300636639</v>
      </c>
      <c r="AI266" s="290">
        <f>T436*$E$747</f>
        <v>20.594498494844878</v>
      </c>
      <c r="AJ266" s="289">
        <f>AI266+($AX$266-$AI$266)/15</f>
        <v>20.60819416894353</v>
      </c>
      <c r="AK266" s="289">
        <f t="shared" ref="AK266:AW266" si="11">AJ266+($AX$266-$AI$266)/15</f>
        <v>20.621889843042183</v>
      </c>
      <c r="AL266" s="289">
        <f t="shared" si="11"/>
        <v>20.635585517140836</v>
      </c>
      <c r="AM266" s="289">
        <f t="shared" si="11"/>
        <v>20.649281191239488</v>
      </c>
      <c r="AN266" s="289">
        <f t="shared" si="11"/>
        <v>20.662976865338141</v>
      </c>
      <c r="AO266" s="289">
        <f t="shared" si="11"/>
        <v>20.676672539436794</v>
      </c>
      <c r="AP266" s="289">
        <f t="shared" si="11"/>
        <v>20.690368213535447</v>
      </c>
      <c r="AQ266" s="289">
        <f t="shared" si="11"/>
        <v>20.704063887634099</v>
      </c>
      <c r="AR266" s="289">
        <f t="shared" si="11"/>
        <v>20.717759561732752</v>
      </c>
      <c r="AS266" s="289">
        <f t="shared" si="11"/>
        <v>20.731455235831405</v>
      </c>
      <c r="AT266" s="289">
        <f t="shared" si="11"/>
        <v>20.745150909930057</v>
      </c>
      <c r="AU266" s="289">
        <f t="shared" si="11"/>
        <v>20.75884658402871</v>
      </c>
      <c r="AV266" s="289">
        <f t="shared" si="11"/>
        <v>20.772542258127363</v>
      </c>
      <c r="AW266" s="289">
        <f t="shared" si="11"/>
        <v>20.786237932226015</v>
      </c>
      <c r="AX266" s="290">
        <f>AI266*$B$747</f>
        <v>20.799933606324664</v>
      </c>
      <c r="AY266" s="289">
        <f>AX266+($BM$266-$AX$266)/15</f>
        <v>20.807002050879195</v>
      </c>
      <c r="AZ266" s="289">
        <f t="shared" ref="AZ266:BL266" si="12">AY266+($BM$266-$AX$266)/15</f>
        <v>20.814070495433725</v>
      </c>
      <c r="BA266" s="289">
        <f t="shared" si="12"/>
        <v>20.821138939988256</v>
      </c>
      <c r="BB266" s="289">
        <f t="shared" si="12"/>
        <v>20.828207384542786</v>
      </c>
      <c r="BC266" s="289">
        <f t="shared" si="12"/>
        <v>20.835275829097316</v>
      </c>
      <c r="BD266" s="289">
        <f t="shared" si="12"/>
        <v>20.842344273651847</v>
      </c>
      <c r="BE266" s="289">
        <f t="shared" si="12"/>
        <v>20.849412718206377</v>
      </c>
      <c r="BF266" s="289">
        <f t="shared" si="12"/>
        <v>20.856481162760907</v>
      </c>
      <c r="BG266" s="289">
        <f t="shared" si="12"/>
        <v>20.863549607315438</v>
      </c>
      <c r="BH266" s="289">
        <f t="shared" si="12"/>
        <v>20.870618051869968</v>
      </c>
      <c r="BI266" s="289">
        <f t="shared" si="12"/>
        <v>20.877686496424499</v>
      </c>
      <c r="BJ266" s="289">
        <f t="shared" si="12"/>
        <v>20.884754940979029</v>
      </c>
      <c r="BK266" s="289">
        <f t="shared" si="12"/>
        <v>20.891823385533559</v>
      </c>
      <c r="BL266" s="289">
        <f t="shared" si="12"/>
        <v>20.89889183008809</v>
      </c>
      <c r="BM266" s="290">
        <f>AX266*$C$747</f>
        <v>20.905960274642634</v>
      </c>
      <c r="BN266" s="289">
        <f>BM266+($BR$266-$BM$266)/5</f>
        <v>20.913064750255749</v>
      </c>
      <c r="BO266" s="289">
        <f>BN266+($BR$266-$BM$266)/5</f>
        <v>20.920169225868865</v>
      </c>
      <c r="BP266" s="289">
        <f>BO266+($BR$266-$BM$266)/5</f>
        <v>20.92727370148198</v>
      </c>
      <c r="BQ266" s="289">
        <f>BP266+($BR$266-$BM$266)/5</f>
        <v>20.934378177095095</v>
      </c>
      <c r="BR266" s="290">
        <f>BM266*$D$747</f>
        <v>20.94148265270821</v>
      </c>
    </row>
    <row r="267" spans="1:70" ht="13" thickBot="1" x14ac:dyDescent="0.3">
      <c r="AA267" s="306">
        <v>17.292875289916999</v>
      </c>
      <c r="AB267" s="306">
        <v>17.531343460083001</v>
      </c>
      <c r="AC267" s="306">
        <v>17.526832580566399</v>
      </c>
      <c r="AD267" s="306">
        <v>17.756109237670898</v>
      </c>
      <c r="AE267" s="287">
        <f>AD267+($AI$267-$AD$267)/5</f>
        <v>18.740759573600641</v>
      </c>
      <c r="AF267" s="287">
        <f>AE267+($AI$267-$AD$267)/5</f>
        <v>19.725409909530384</v>
      </c>
      <c r="AG267" s="287">
        <f>AF267+($AI$267-$AD$267)/5</f>
        <v>20.710060245460127</v>
      </c>
      <c r="AH267" s="287">
        <f>AG267+($AI$267-$AD$267)/5</f>
        <v>21.69471058138987</v>
      </c>
      <c r="AI267" s="288">
        <f>T437*$E$744</f>
        <v>22.67936091731961</v>
      </c>
      <c r="AJ267" s="287">
        <f>AI267+($AX$267-$AI$267)/15</f>
        <v>22.91940642537169</v>
      </c>
      <c r="AK267" s="287">
        <f t="shared" ref="AK267:AW267" si="13">AJ267+($AX$267-$AI$267)/15</f>
        <v>23.159451933423771</v>
      </c>
      <c r="AL267" s="287">
        <f t="shared" si="13"/>
        <v>23.399497441475852</v>
      </c>
      <c r="AM267" s="287">
        <f t="shared" si="13"/>
        <v>23.639542949527932</v>
      </c>
      <c r="AN267" s="287">
        <f t="shared" si="13"/>
        <v>23.879588457580013</v>
      </c>
      <c r="AO267" s="287">
        <f t="shared" si="13"/>
        <v>24.119633965632094</v>
      </c>
      <c r="AP267" s="287">
        <f t="shared" si="13"/>
        <v>24.359679473684174</v>
      </c>
      <c r="AQ267" s="287">
        <f t="shared" si="13"/>
        <v>24.599724981736255</v>
      </c>
      <c r="AR267" s="287">
        <f t="shared" si="13"/>
        <v>24.839770489788336</v>
      </c>
      <c r="AS267" s="287">
        <f t="shared" si="13"/>
        <v>25.079815997840416</v>
      </c>
      <c r="AT267" s="287">
        <f t="shared" si="13"/>
        <v>25.319861505892497</v>
      </c>
      <c r="AU267" s="287">
        <f t="shared" si="13"/>
        <v>25.559907013944578</v>
      </c>
      <c r="AV267" s="287">
        <f t="shared" si="13"/>
        <v>25.799952521996659</v>
      </c>
      <c r="AW267" s="287">
        <f t="shared" si="13"/>
        <v>26.039998030048739</v>
      </c>
      <c r="AX267" s="288">
        <f>AI267*$B$744</f>
        <v>26.28004353810082</v>
      </c>
      <c r="AY267" s="287">
        <f>AX267+($BM$267-$AX$267)/15</f>
        <v>26.429681543018035</v>
      </c>
      <c r="AZ267" s="287">
        <f t="shared" ref="AZ267:BL267" si="14">AY267+($BM$267-$AX$267)/15</f>
        <v>26.579319547935249</v>
      </c>
      <c r="BA267" s="287">
        <f t="shared" si="14"/>
        <v>26.728957552852464</v>
      </c>
      <c r="BB267" s="287">
        <f t="shared" si="14"/>
        <v>26.878595557769678</v>
      </c>
      <c r="BC267" s="287">
        <f t="shared" si="14"/>
        <v>27.028233562686893</v>
      </c>
      <c r="BD267" s="287">
        <f t="shared" si="14"/>
        <v>27.177871567604107</v>
      </c>
      <c r="BE267" s="287">
        <f t="shared" si="14"/>
        <v>27.327509572521322</v>
      </c>
      <c r="BF267" s="287">
        <f t="shared" si="14"/>
        <v>27.477147577438537</v>
      </c>
      <c r="BG267" s="287">
        <f t="shared" si="14"/>
        <v>27.626785582355751</v>
      </c>
      <c r="BH267" s="287">
        <f t="shared" si="14"/>
        <v>27.776423587272966</v>
      </c>
      <c r="BI267" s="287">
        <f t="shared" si="14"/>
        <v>27.92606159219018</v>
      </c>
      <c r="BJ267" s="287">
        <f t="shared" si="14"/>
        <v>28.075699597107395</v>
      </c>
      <c r="BK267" s="287">
        <f t="shared" si="14"/>
        <v>28.225337602024609</v>
      </c>
      <c r="BL267" s="287">
        <f t="shared" si="14"/>
        <v>28.374975606941824</v>
      </c>
      <c r="BM267" s="288">
        <f>AX267*$C$744</f>
        <v>28.524613611859053</v>
      </c>
      <c r="BN267" s="287">
        <f>BM267+($BR$267-$BM$267)/5</f>
        <v>28.687032150691561</v>
      </c>
      <c r="BO267" s="287">
        <f>BN267+($BR$267-$BM$267)/5</f>
        <v>28.849450689524069</v>
      </c>
      <c r="BP267" s="287">
        <f>BO267+($BR$267-$BM$267)/5</f>
        <v>29.011869228356577</v>
      </c>
      <c r="BQ267" s="287">
        <f>BP267+($BR$267-$BM$267)/5</f>
        <v>29.174287767189085</v>
      </c>
      <c r="BR267" s="288">
        <f>BM267*$D$744</f>
        <v>29.336706306021593</v>
      </c>
    </row>
    <row r="268" spans="1:70" ht="13" thickBot="1" x14ac:dyDescent="0.3">
      <c r="A268" s="912" t="s">
        <v>487</v>
      </c>
      <c r="AA268" s="306">
        <v>11.227470397949199</v>
      </c>
      <c r="AB268" s="306">
        <v>11.517865180969199</v>
      </c>
      <c r="AC268" s="306">
        <v>11.5089683532715</v>
      </c>
      <c r="AD268" s="306">
        <v>11.7493782043457</v>
      </c>
    </row>
    <row r="269" spans="1:70" ht="13" thickBot="1" x14ac:dyDescent="0.3">
      <c r="A269" s="912" t="s">
        <v>617</v>
      </c>
      <c r="B269" s="914">
        <v>22.296371459960898</v>
      </c>
      <c r="C269" s="914">
        <v>25.0072345733643</v>
      </c>
      <c r="D269" s="914">
        <v>28.759458541870099</v>
      </c>
      <c r="E269" s="914">
        <v>21.685003280639599</v>
      </c>
      <c r="F269" s="914">
        <v>20.534326553344702</v>
      </c>
      <c r="G269" s="914">
        <v>22.796831130981399</v>
      </c>
      <c r="H269" s="914">
        <v>24.8035278320313</v>
      </c>
      <c r="I269" s="914">
        <v>26.570152282714801</v>
      </c>
      <c r="J269" s="914">
        <v>28.076972961425799</v>
      </c>
      <c r="K269" s="914">
        <v>29.693559646606399</v>
      </c>
      <c r="L269" s="914">
        <v>30.7330017089844</v>
      </c>
      <c r="M269" s="914">
        <v>31.595745086669901</v>
      </c>
      <c r="N269" s="914">
        <v>32.463813781738303</v>
      </c>
      <c r="O269" s="914">
        <v>32.853603363037102</v>
      </c>
      <c r="P269" s="914">
        <v>33.095050811767599</v>
      </c>
      <c r="Q269" s="914">
        <v>33.3141899108887</v>
      </c>
      <c r="R269" s="914">
        <v>33.425758361816399</v>
      </c>
      <c r="S269" s="914">
        <v>33.752655029296903</v>
      </c>
      <c r="T269" s="914">
        <v>33.878787994384801</v>
      </c>
      <c r="U269" s="914">
        <v>33.426109313964801</v>
      </c>
      <c r="V269" s="914">
        <v>33.692680358886697</v>
      </c>
      <c r="W269" s="914">
        <v>33.960933685302699</v>
      </c>
      <c r="X269" s="914">
        <v>34.291332244872997</v>
      </c>
      <c r="Y269" s="914">
        <v>34.467491149902301</v>
      </c>
      <c r="Z269" s="914">
        <v>34.819602966308601</v>
      </c>
      <c r="AA269" s="306">
        <v>16.025825500488299</v>
      </c>
      <c r="AB269" s="306">
        <v>16.333782196044901</v>
      </c>
      <c r="AC269" s="306">
        <v>16.2625331878662</v>
      </c>
      <c r="AD269" s="306">
        <v>16.470952987670898</v>
      </c>
      <c r="AE269" s="287">
        <f>AD269+($AI$269-$AD$269)/5</f>
        <v>17.380928094850553</v>
      </c>
      <c r="AF269" s="287">
        <f>AE269+($AI$269-$AD$269)/5</f>
        <v>18.290903202030208</v>
      </c>
      <c r="AG269" s="287">
        <f>AF269+($AI$269-$AD$269)/5</f>
        <v>19.200878309209862</v>
      </c>
      <c r="AH269" s="287">
        <f>AG269+($AI$269-$AD$269)/5</f>
        <v>20.110853416389517</v>
      </c>
      <c r="AI269" s="288">
        <f>T439*$E$744</f>
        <v>21.020828523569172</v>
      </c>
      <c r="AJ269" s="287">
        <f>AI269+($AX$269-$AI$269)/15</f>
        <v>21.243319601735415</v>
      </c>
      <c r="AK269" s="287">
        <f t="shared" ref="AK269:AW269" si="15">AJ269+($AX$269-$AI$269)/15</f>
        <v>21.465810679901658</v>
      </c>
      <c r="AL269" s="287">
        <f t="shared" si="15"/>
        <v>21.688301758067901</v>
      </c>
      <c r="AM269" s="287">
        <f t="shared" si="15"/>
        <v>21.910792836234144</v>
      </c>
      <c r="AN269" s="287">
        <f t="shared" si="15"/>
        <v>22.133283914400387</v>
      </c>
      <c r="AO269" s="287">
        <f t="shared" si="15"/>
        <v>22.35577499256663</v>
      </c>
      <c r="AP269" s="287">
        <f t="shared" si="15"/>
        <v>22.578266070732873</v>
      </c>
      <c r="AQ269" s="287">
        <f t="shared" si="15"/>
        <v>22.800757148899116</v>
      </c>
      <c r="AR269" s="287">
        <f t="shared" si="15"/>
        <v>23.023248227065359</v>
      </c>
      <c r="AS269" s="287">
        <f t="shared" si="15"/>
        <v>23.245739305231602</v>
      </c>
      <c r="AT269" s="287">
        <f t="shared" si="15"/>
        <v>23.468230383397845</v>
      </c>
      <c r="AU269" s="287">
        <f t="shared" si="15"/>
        <v>23.690721461564088</v>
      </c>
      <c r="AV269" s="287">
        <f t="shared" si="15"/>
        <v>23.913212539730331</v>
      </c>
      <c r="AW269" s="287">
        <f t="shared" si="15"/>
        <v>24.135703617896574</v>
      </c>
      <c r="AX269" s="288">
        <f>AI269*$B$744</f>
        <v>24.358194696062842</v>
      </c>
      <c r="AY269" s="287">
        <f>AX269+($BM$269-$AX$269)/15</f>
        <v>24.496889734844629</v>
      </c>
      <c r="AZ269" s="287">
        <f t="shared" ref="AZ269:BL269" si="16">AY269+($BM$269-$AX$269)/15</f>
        <v>24.635584773626416</v>
      </c>
      <c r="BA269" s="287">
        <f t="shared" si="16"/>
        <v>24.774279812408203</v>
      </c>
      <c r="BB269" s="287">
        <f t="shared" si="16"/>
        <v>24.91297485118999</v>
      </c>
      <c r="BC269" s="287">
        <f t="shared" si="16"/>
        <v>25.051669889971777</v>
      </c>
      <c r="BD269" s="287">
        <f t="shared" si="16"/>
        <v>25.190364928753564</v>
      </c>
      <c r="BE269" s="287">
        <f t="shared" si="16"/>
        <v>25.32905996753535</v>
      </c>
      <c r="BF269" s="287">
        <f t="shared" si="16"/>
        <v>25.467755006317137</v>
      </c>
      <c r="BG269" s="287">
        <f t="shared" si="16"/>
        <v>25.606450045098924</v>
      </c>
      <c r="BH269" s="287">
        <f t="shared" si="16"/>
        <v>25.745145083880711</v>
      </c>
      <c r="BI269" s="287">
        <f t="shared" si="16"/>
        <v>25.883840122662498</v>
      </c>
      <c r="BJ269" s="287">
        <f t="shared" si="16"/>
        <v>26.022535161444285</v>
      </c>
      <c r="BK269" s="287">
        <f t="shared" si="16"/>
        <v>26.161230200226072</v>
      </c>
      <c r="BL269" s="287">
        <f t="shared" si="16"/>
        <v>26.299925239007859</v>
      </c>
      <c r="BM269" s="288">
        <f>AX269*$C$744</f>
        <v>26.438620277789649</v>
      </c>
      <c r="BN269" s="287">
        <f>BM269+($BR$269-$BM$269)/5</f>
        <v>26.589161215265516</v>
      </c>
      <c r="BO269" s="287">
        <f>BN269+($BR$269-$BM$269)/5</f>
        <v>26.739702152741383</v>
      </c>
      <c r="BP269" s="287">
        <f>BO269+($BR$269-$BM$269)/5</f>
        <v>26.89024309021725</v>
      </c>
      <c r="BQ269" s="287">
        <f>BP269+($BR$269-$BM$269)/5</f>
        <v>27.040784027693118</v>
      </c>
      <c r="BR269" s="288">
        <f>BM269*$D$744</f>
        <v>27.191324965168981</v>
      </c>
    </row>
    <row r="270" spans="1:70" x14ac:dyDescent="0.25">
      <c r="A270" s="912" t="s">
        <v>618</v>
      </c>
      <c r="B270" s="914">
        <v>25.5142211914063</v>
      </c>
      <c r="C270" s="914">
        <v>26.818180084228501</v>
      </c>
      <c r="D270" s="914">
        <v>34.073703765869098</v>
      </c>
      <c r="E270" s="914">
        <v>20.3962516784668</v>
      </c>
      <c r="F270" s="914">
        <v>18.869060516357401</v>
      </c>
      <c r="G270" s="914">
        <v>22.499189376831101</v>
      </c>
      <c r="H270" s="914">
        <v>24.345371246337901</v>
      </c>
      <c r="I270" s="914">
        <v>25.8835773468018</v>
      </c>
      <c r="J270" s="914">
        <v>27.376197814941399</v>
      </c>
      <c r="K270" s="914">
        <v>25.5507621765137</v>
      </c>
      <c r="L270" s="914">
        <v>26.3307495117188</v>
      </c>
      <c r="M270" s="914">
        <v>27.042121887206999</v>
      </c>
      <c r="N270" s="914">
        <v>27.074653625488299</v>
      </c>
      <c r="O270" s="914">
        <v>28.861484527587901</v>
      </c>
      <c r="P270" s="914">
        <v>29.593324661254901</v>
      </c>
      <c r="Q270" s="914">
        <v>29.691083908081101</v>
      </c>
      <c r="R270" s="914">
        <v>29.8394565582275</v>
      </c>
      <c r="S270" s="914">
        <v>30.056737899780298</v>
      </c>
      <c r="T270" s="914">
        <v>30.123649597168001</v>
      </c>
      <c r="U270" s="914">
        <v>30.045396804809599</v>
      </c>
      <c r="V270" s="914">
        <v>30.335887908935501</v>
      </c>
      <c r="W270" s="914">
        <v>30.1821899414063</v>
      </c>
      <c r="X270" s="914">
        <v>30.567377090454102</v>
      </c>
      <c r="Y270" s="914">
        <v>31.227724075317401</v>
      </c>
      <c r="Z270" s="914">
        <v>30.935503005981399</v>
      </c>
      <c r="AA270" s="306">
        <v>8.1832656860351598</v>
      </c>
      <c r="AB270" s="306">
        <v>8.1197490692138707</v>
      </c>
      <c r="AC270" s="306">
        <v>8.3803300857543892</v>
      </c>
      <c r="AD270" s="306">
        <v>8.2735004425048793</v>
      </c>
    </row>
    <row r="271" spans="1:70" x14ac:dyDescent="0.25">
      <c r="A271" s="912" t="s">
        <v>619</v>
      </c>
      <c r="B271" s="914">
        <v>21.784559249877901</v>
      </c>
      <c r="C271" s="914">
        <v>22.982162475585898</v>
      </c>
      <c r="D271" s="914">
        <v>26.1744689941406</v>
      </c>
      <c r="E271" s="914">
        <v>15.6736001968384</v>
      </c>
      <c r="F271" s="914">
        <v>17.7131462097168</v>
      </c>
      <c r="G271" s="914">
        <v>20.6617527008057</v>
      </c>
      <c r="H271" s="914">
        <v>22.301433563232401</v>
      </c>
      <c r="I271" s="914">
        <v>23.517950057983398</v>
      </c>
      <c r="J271" s="914">
        <v>24.816135406494102</v>
      </c>
      <c r="K271" s="914">
        <v>26.137458801269499</v>
      </c>
      <c r="L271" s="914">
        <v>27.061580657958999</v>
      </c>
      <c r="M271" s="914">
        <v>27.993299484252901</v>
      </c>
      <c r="N271" s="914">
        <v>28.802474975585898</v>
      </c>
      <c r="O271" s="914">
        <v>29.411088943481399</v>
      </c>
      <c r="P271" s="914">
        <v>29.938217163085898</v>
      </c>
      <c r="Q271" s="914">
        <v>30.057752609252901</v>
      </c>
      <c r="R271" s="914">
        <v>30.3159790039063</v>
      </c>
      <c r="S271" s="914">
        <v>30.494945526123001</v>
      </c>
      <c r="T271" s="914">
        <v>30.528341293335</v>
      </c>
      <c r="U271" s="914">
        <v>30.4458103179932</v>
      </c>
      <c r="V271" s="914">
        <v>30.726751327514599</v>
      </c>
      <c r="W271" s="914">
        <v>30.704950332641602</v>
      </c>
      <c r="X271" s="914">
        <v>31.110511779785199</v>
      </c>
      <c r="Y271" s="914">
        <v>31.9617519378662</v>
      </c>
      <c r="Z271" s="914">
        <v>31.583656311035199</v>
      </c>
      <c r="AA271" s="306">
        <v>13.240598678588899</v>
      </c>
      <c r="AB271" s="306">
        <v>13.359972000122101</v>
      </c>
      <c r="AC271" s="306">
        <v>13.395259857177701</v>
      </c>
      <c r="AD271" s="306">
        <v>13.453570365905801</v>
      </c>
    </row>
    <row r="272" spans="1:70" x14ac:dyDescent="0.25">
      <c r="A272" s="912" t="s">
        <v>620</v>
      </c>
      <c r="B272" s="914">
        <v>15.2446508407593</v>
      </c>
      <c r="C272" s="914">
        <v>16.0964660644531</v>
      </c>
      <c r="D272" s="914">
        <v>22.1856594085693</v>
      </c>
      <c r="E272" s="914">
        <v>10.540905952453601</v>
      </c>
      <c r="F272" s="914">
        <v>10.4131317138672</v>
      </c>
      <c r="G272" s="914">
        <v>12.992267608642599</v>
      </c>
      <c r="H272" s="914">
        <v>14.8510446548462</v>
      </c>
      <c r="I272" s="914">
        <v>16.4927158355713</v>
      </c>
      <c r="J272" s="914">
        <v>17.888269424438501</v>
      </c>
      <c r="K272" s="914">
        <v>19.120731353759801</v>
      </c>
      <c r="L272" s="914">
        <v>20.025011062622099</v>
      </c>
      <c r="M272" s="914">
        <v>20.925888061523398</v>
      </c>
      <c r="N272" s="914">
        <v>21.650459289550799</v>
      </c>
      <c r="O272" s="914">
        <v>22.054113388061499</v>
      </c>
      <c r="P272" s="914">
        <v>22.358533859252901</v>
      </c>
      <c r="Q272" s="914">
        <v>22.535087585449201</v>
      </c>
      <c r="R272" s="914">
        <v>22.624557495117202</v>
      </c>
      <c r="S272" s="914">
        <v>22.875423431396499</v>
      </c>
      <c r="T272" s="914">
        <v>23.088819503784201</v>
      </c>
      <c r="U272" s="914">
        <v>22.878332138061499</v>
      </c>
      <c r="V272" s="914">
        <v>23.229129791259801</v>
      </c>
      <c r="W272" s="914">
        <v>23.440977096557599</v>
      </c>
      <c r="X272" s="914">
        <v>23.911849975585898</v>
      </c>
      <c r="Y272" s="914">
        <v>24.3618278503418</v>
      </c>
      <c r="Z272" s="914">
        <v>24.669164657592798</v>
      </c>
      <c r="AA272" s="306">
        <v>24.345100402831999</v>
      </c>
      <c r="AB272" s="306">
        <v>24.401657104492202</v>
      </c>
      <c r="AC272" s="306">
        <v>24.482112884521499</v>
      </c>
      <c r="AD272" s="306">
        <v>24.4609375</v>
      </c>
    </row>
    <row r="273" spans="1:70" x14ac:dyDescent="0.25">
      <c r="A273" s="912" t="s">
        <v>724</v>
      </c>
      <c r="B273" s="914">
        <v>20.2724208831787</v>
      </c>
      <c r="C273" s="914">
        <v>20.921422958373999</v>
      </c>
      <c r="D273" s="914">
        <v>27.066003799438501</v>
      </c>
      <c r="E273" s="914">
        <v>15.379162788391101</v>
      </c>
      <c r="F273" s="914">
        <v>14.6322994232178</v>
      </c>
      <c r="G273" s="914">
        <v>17.082887649536101</v>
      </c>
      <c r="H273" s="914">
        <v>18.906814575195298</v>
      </c>
      <c r="I273" s="914">
        <v>21.012025833129901</v>
      </c>
      <c r="J273" s="914">
        <v>22.391767501831101</v>
      </c>
      <c r="K273" s="914">
        <v>23.401908874511701</v>
      </c>
      <c r="L273" s="914">
        <v>24.249780654907202</v>
      </c>
      <c r="M273" s="914">
        <v>25.151100158691399</v>
      </c>
      <c r="N273" s="914">
        <v>25.830009460449201</v>
      </c>
      <c r="O273" s="914">
        <v>26.267305374145501</v>
      </c>
      <c r="P273" s="914">
        <v>26.5901203155518</v>
      </c>
      <c r="Q273" s="914">
        <v>26.487575531005898</v>
      </c>
      <c r="R273" s="914">
        <v>26.7318305969238</v>
      </c>
      <c r="S273" s="914">
        <v>26.979133605956999</v>
      </c>
      <c r="T273" s="914">
        <v>27.001283645629901</v>
      </c>
      <c r="U273" s="914">
        <v>26.997362136840799</v>
      </c>
      <c r="V273" s="914">
        <v>27.317785263061499</v>
      </c>
      <c r="W273" s="914">
        <v>27.182266235351602</v>
      </c>
      <c r="X273" s="914">
        <v>27.638069152831999</v>
      </c>
      <c r="Y273" s="914">
        <v>28.388862609863299</v>
      </c>
      <c r="Z273" s="914">
        <v>28.337171554565401</v>
      </c>
      <c r="AA273" s="306"/>
      <c r="AB273" s="306"/>
      <c r="AC273" s="306"/>
      <c r="AD273" s="306"/>
    </row>
    <row r="274" spans="1:70" x14ac:dyDescent="0.25">
      <c r="A274" s="912" t="s">
        <v>611</v>
      </c>
      <c r="B274" s="914">
        <v>8.20648097991943</v>
      </c>
      <c r="C274" s="914">
        <v>9.4357099533081108</v>
      </c>
      <c r="D274" s="914">
        <v>14.2847747802734</v>
      </c>
      <c r="E274" s="914">
        <v>6.3925981521606401</v>
      </c>
      <c r="F274" s="914">
        <v>6.5852246284484899</v>
      </c>
      <c r="G274" s="914">
        <v>8.6673641204834002</v>
      </c>
      <c r="H274" s="914">
        <v>10.3328533172607</v>
      </c>
      <c r="I274" s="914">
        <v>11.815202713012701</v>
      </c>
      <c r="J274" s="914">
        <v>13.023598670959499</v>
      </c>
      <c r="K274" s="914">
        <v>14.4141092300415</v>
      </c>
      <c r="L274" s="914">
        <v>15.219378471374499</v>
      </c>
      <c r="M274" s="914">
        <v>15.915946006774901</v>
      </c>
      <c r="N274" s="914">
        <v>16.592523574829102</v>
      </c>
      <c r="O274" s="914">
        <v>16.9536838531494</v>
      </c>
      <c r="P274" s="914">
        <v>17.162534713745099</v>
      </c>
      <c r="Q274" s="914">
        <v>17.429744720458999</v>
      </c>
      <c r="R274" s="914">
        <v>17.456914901733398</v>
      </c>
      <c r="S274" s="914">
        <v>17.5628662109375</v>
      </c>
      <c r="T274" s="914">
        <v>17.630765914916999</v>
      </c>
      <c r="U274" s="914">
        <v>17.410764694213899</v>
      </c>
      <c r="V274" s="914">
        <v>17.6028347015381</v>
      </c>
      <c r="W274" s="914">
        <v>17.926630020141602</v>
      </c>
      <c r="X274" s="914">
        <v>18.257143020629901</v>
      </c>
      <c r="Y274" s="914">
        <v>18.451654434204102</v>
      </c>
      <c r="Z274" s="914">
        <v>18.835027694702099</v>
      </c>
      <c r="AA274" s="306">
        <v>10.4858131408691</v>
      </c>
      <c r="AB274" s="306">
        <v>10.572740554809601</v>
      </c>
      <c r="AC274" s="306">
        <v>10.740042686462401</v>
      </c>
      <c r="AD274" s="306">
        <v>10.786236763000501</v>
      </c>
    </row>
    <row r="275" spans="1:70" ht="13" thickBot="1" x14ac:dyDescent="0.3">
      <c r="A275" s="912" t="s">
        <v>622</v>
      </c>
      <c r="B275" s="914">
        <v>15.5415086746216</v>
      </c>
      <c r="C275" s="914">
        <v>15.4958410263062</v>
      </c>
      <c r="D275" s="914">
        <v>16.8896675109863</v>
      </c>
      <c r="E275" s="914">
        <v>12.7877197265625</v>
      </c>
      <c r="F275" s="914">
        <v>13.502610206604</v>
      </c>
      <c r="G275" s="914">
        <v>13.8291311264038</v>
      </c>
      <c r="H275" s="914">
        <v>13.8390712738037</v>
      </c>
      <c r="I275" s="914">
        <v>13.843875885009799</v>
      </c>
      <c r="J275" s="914">
        <v>13.934069633483899</v>
      </c>
      <c r="K275" s="914">
        <v>14.0993509292603</v>
      </c>
      <c r="L275" s="914">
        <v>14.229956626892101</v>
      </c>
      <c r="M275" s="914">
        <v>14.3684740066528</v>
      </c>
      <c r="N275" s="914">
        <v>14.5119123458862</v>
      </c>
      <c r="O275" s="914">
        <v>14.701403617858899</v>
      </c>
      <c r="P275" s="914">
        <v>14.9462375640869</v>
      </c>
      <c r="Q275" s="914">
        <v>15.0934410095215</v>
      </c>
      <c r="R275" s="914">
        <v>15.092455863952599</v>
      </c>
      <c r="S275" s="914">
        <v>14.8220539093018</v>
      </c>
      <c r="T275" s="914">
        <v>14.7596139907837</v>
      </c>
      <c r="U275" s="914">
        <v>14.661186218261699</v>
      </c>
      <c r="V275" s="914">
        <v>14.786495208740201</v>
      </c>
      <c r="W275" s="914">
        <v>15.012266159057599</v>
      </c>
      <c r="X275" s="914">
        <v>15.2852840423584</v>
      </c>
      <c r="Y275" s="914">
        <v>15.4684591293335</v>
      </c>
      <c r="Z275" s="914">
        <v>15.6974124908447</v>
      </c>
      <c r="AA275" s="306">
        <v>6.7344188690185502</v>
      </c>
      <c r="AB275" s="306">
        <v>6.7479009628295898</v>
      </c>
      <c r="AC275" s="306">
        <v>6.8497943878173801</v>
      </c>
      <c r="AD275" s="306">
        <v>6.84698486328125</v>
      </c>
    </row>
    <row r="276" spans="1:70" ht="13" thickBot="1" x14ac:dyDescent="0.3">
      <c r="A276" s="912" t="s">
        <v>479</v>
      </c>
      <c r="B276" s="914">
        <v>30.349004745483398</v>
      </c>
      <c r="C276" s="914">
        <v>30.777971267700199</v>
      </c>
      <c r="D276" s="914">
        <v>33.734138488769503</v>
      </c>
      <c r="E276" s="914">
        <v>31.501590728759801</v>
      </c>
      <c r="F276" s="914">
        <v>27.327030181884801</v>
      </c>
      <c r="G276" s="914">
        <v>28.561843872070298</v>
      </c>
      <c r="H276" s="914">
        <v>28.965305328369102</v>
      </c>
      <c r="I276" s="914">
        <v>28.9159030914307</v>
      </c>
      <c r="J276" s="914">
        <v>28.7644939422607</v>
      </c>
      <c r="K276" s="914">
        <v>28.526710510253899</v>
      </c>
      <c r="L276" s="914">
        <v>28.644361495971701</v>
      </c>
      <c r="M276" s="914">
        <v>28.6527919769287</v>
      </c>
      <c r="N276" s="914">
        <v>28.819505691528299</v>
      </c>
      <c r="O276" s="914">
        <v>28.888120651245099</v>
      </c>
      <c r="P276" s="914">
        <v>29.142557144165</v>
      </c>
      <c r="Q276" s="914">
        <v>29.470201492309599</v>
      </c>
      <c r="R276" s="914">
        <v>29.764074325561499</v>
      </c>
      <c r="S276" s="914">
        <v>29.801677703857401</v>
      </c>
      <c r="T276" s="914">
        <v>29.921939849853501</v>
      </c>
      <c r="U276" s="914">
        <v>30.035243988037099</v>
      </c>
      <c r="V276" s="914">
        <v>30.304817199706999</v>
      </c>
      <c r="W276" s="914">
        <v>30.8045558929443</v>
      </c>
      <c r="X276" s="914">
        <v>31.450147628784201</v>
      </c>
      <c r="Y276" s="914">
        <v>31.910936355590799</v>
      </c>
      <c r="Z276" s="914">
        <v>32.484222412109403</v>
      </c>
      <c r="AA276" s="306">
        <v>6.1479806900024396</v>
      </c>
      <c r="AB276" s="306">
        <v>6.2516684532165501</v>
      </c>
      <c r="AC276" s="306">
        <v>6.3134694099426296</v>
      </c>
      <c r="AD276" s="306">
        <v>6.3304243087768599</v>
      </c>
      <c r="AE276" s="283">
        <f>AD276+($AI$276-$AD$276)/5</f>
        <v>6.3370805697154289</v>
      </c>
      <c r="AF276" s="283">
        <f>AE276+($AI$276-$AD$276)/5</f>
        <v>6.3437368306539978</v>
      </c>
      <c r="AG276" s="283">
        <f>AF276+($AI$276-$AD$276)/5</f>
        <v>6.3503930915925668</v>
      </c>
      <c r="AH276" s="283">
        <f>AG276+($AI$276-$AD$276)/5</f>
        <v>6.3570493525311358</v>
      </c>
      <c r="AI276" s="284">
        <f>T446*$E$742</f>
        <v>6.363705613469703</v>
      </c>
      <c r="AJ276" s="283">
        <f>AI276+($AX$276-$AI$276)/15</f>
        <v>6.4357380850865695</v>
      </c>
      <c r="AK276" s="283">
        <f t="shared" ref="AK276:AW276" si="17">AJ276+($AX$276-$AI$276)/15</f>
        <v>6.5077705567034361</v>
      </c>
      <c r="AL276" s="283">
        <f t="shared" si="17"/>
        <v>6.5798030283203026</v>
      </c>
      <c r="AM276" s="283">
        <f t="shared" si="17"/>
        <v>6.6518354999371692</v>
      </c>
      <c r="AN276" s="283">
        <f t="shared" si="17"/>
        <v>6.7238679715540357</v>
      </c>
      <c r="AO276" s="283">
        <f t="shared" si="17"/>
        <v>6.7959004431709022</v>
      </c>
      <c r="AP276" s="283">
        <f t="shared" si="17"/>
        <v>6.8679329147877688</v>
      </c>
      <c r="AQ276" s="283">
        <f t="shared" si="17"/>
        <v>6.9399653864046353</v>
      </c>
      <c r="AR276" s="283">
        <f t="shared" si="17"/>
        <v>7.0119978580215019</v>
      </c>
      <c r="AS276" s="283">
        <f t="shared" si="17"/>
        <v>7.0840303296383684</v>
      </c>
      <c r="AT276" s="283">
        <f t="shared" si="17"/>
        <v>7.156062801255235</v>
      </c>
      <c r="AU276" s="283">
        <f t="shared" si="17"/>
        <v>7.2280952728721015</v>
      </c>
      <c r="AV276" s="283">
        <f t="shared" si="17"/>
        <v>7.3001277444889681</v>
      </c>
      <c r="AW276" s="283">
        <f t="shared" si="17"/>
        <v>7.3721602161058346</v>
      </c>
      <c r="AX276" s="284">
        <f>AI276*$B$742</f>
        <v>7.4441926877227056</v>
      </c>
      <c r="AY276" s="283">
        <f>AX276+($BM$276-$AX$276)/15</f>
        <v>7.51790324705948</v>
      </c>
      <c r="AZ276" s="283">
        <f t="shared" ref="AZ276:BL276" si="18">AY276+($BM$276-$AX$276)/15</f>
        <v>7.5916138063962544</v>
      </c>
      <c r="BA276" s="283">
        <f t="shared" si="18"/>
        <v>7.6653243657330288</v>
      </c>
      <c r="BB276" s="283">
        <f t="shared" si="18"/>
        <v>7.7390349250698032</v>
      </c>
      <c r="BC276" s="283">
        <f t="shared" si="18"/>
        <v>7.8127454844065776</v>
      </c>
      <c r="BD276" s="283">
        <f t="shared" si="18"/>
        <v>7.886456043743352</v>
      </c>
      <c r="BE276" s="283">
        <f t="shared" si="18"/>
        <v>7.9601666030801264</v>
      </c>
      <c r="BF276" s="283">
        <f t="shared" si="18"/>
        <v>8.0338771624169016</v>
      </c>
      <c r="BG276" s="283">
        <f t="shared" si="18"/>
        <v>8.107587721753676</v>
      </c>
      <c r="BH276" s="283">
        <f t="shared" si="18"/>
        <v>8.1812982810904504</v>
      </c>
      <c r="BI276" s="283">
        <f t="shared" si="18"/>
        <v>8.2550088404272248</v>
      </c>
      <c r="BJ276" s="283">
        <f t="shared" si="18"/>
        <v>8.3287193997639992</v>
      </c>
      <c r="BK276" s="283">
        <f t="shared" si="18"/>
        <v>8.4024299591007736</v>
      </c>
      <c r="BL276" s="283">
        <f t="shared" si="18"/>
        <v>8.476140518437548</v>
      </c>
      <c r="BM276" s="284">
        <f>AX276*$C$742</f>
        <v>8.5498510777743242</v>
      </c>
      <c r="BN276" s="283">
        <f>BM276+($BR$276-$BM$276)/5</f>
        <v>8.6345095936975138</v>
      </c>
      <c r="BO276" s="283">
        <f>BN276+($BR$276-$BM$276)/5</f>
        <v>8.7191681096207034</v>
      </c>
      <c r="BP276" s="283">
        <f>BO276+($BR$276-$BM$276)/5</f>
        <v>8.8038266255438931</v>
      </c>
      <c r="BQ276" s="283">
        <f>BP276+($BR$276-$BM$276)/5</f>
        <v>8.8884851414670827</v>
      </c>
      <c r="BR276" s="284">
        <f>BM276*$D$742</f>
        <v>8.9731436573902759</v>
      </c>
    </row>
    <row r="277" spans="1:70" ht="13" thickBot="1" x14ac:dyDescent="0.3">
      <c r="AA277" s="306">
        <v>1.65011918544769</v>
      </c>
      <c r="AB277" s="306">
        <v>1.6656291484832799</v>
      </c>
      <c r="AC277" s="306">
        <v>1.67491066455841</v>
      </c>
      <c r="AD277" s="306">
        <v>1.68971908092499</v>
      </c>
      <c r="AE277" s="291">
        <f>AD277+($AI$277-$AD$277)/5</f>
        <v>1.6902380098146863</v>
      </c>
      <c r="AF277" s="291">
        <f>AE277+($AI$277-$AD$277)/5</f>
        <v>1.6907569387043826</v>
      </c>
      <c r="AG277" s="291">
        <f>AF277+($AI$277-$AD$277)/5</f>
        <v>1.6912758675940789</v>
      </c>
      <c r="AH277" s="291">
        <f>AG277+($AI$277-$AD$277)/5</f>
        <v>1.6917947964837752</v>
      </c>
      <c r="AI277" s="292">
        <f>T447*$E$740</f>
        <v>1.692313725373471</v>
      </c>
      <c r="AJ277" s="291">
        <f>AI277+($AX$277-$AI$277)/15</f>
        <v>1.6972753042285647</v>
      </c>
      <c r="AK277" s="291">
        <f t="shared" ref="AK277:AW277" si="19">AJ277+($AX$277-$AI$277)/15</f>
        <v>1.7022368830836583</v>
      </c>
      <c r="AL277" s="291">
        <f t="shared" si="19"/>
        <v>1.7071984619387519</v>
      </c>
      <c r="AM277" s="291">
        <f t="shared" si="19"/>
        <v>1.7121600407938455</v>
      </c>
      <c r="AN277" s="291">
        <f t="shared" si="19"/>
        <v>1.7171216196489392</v>
      </c>
      <c r="AO277" s="291">
        <f t="shared" si="19"/>
        <v>1.7220831985040328</v>
      </c>
      <c r="AP277" s="291">
        <f t="shared" si="19"/>
        <v>1.7270447773591264</v>
      </c>
      <c r="AQ277" s="291">
        <f t="shared" si="19"/>
        <v>1.7320063562142201</v>
      </c>
      <c r="AR277" s="291">
        <f t="shared" si="19"/>
        <v>1.7369679350693137</v>
      </c>
      <c r="AS277" s="291">
        <f t="shared" si="19"/>
        <v>1.7419295139244073</v>
      </c>
      <c r="AT277" s="291">
        <f t="shared" si="19"/>
        <v>1.7468910927795009</v>
      </c>
      <c r="AU277" s="291">
        <f t="shared" si="19"/>
        <v>1.7518526716345946</v>
      </c>
      <c r="AV277" s="291">
        <f t="shared" si="19"/>
        <v>1.7568142504896882</v>
      </c>
      <c r="AW277" s="291">
        <f t="shared" si="19"/>
        <v>1.7617758293447818</v>
      </c>
      <c r="AX277" s="292">
        <f>AI277*$B$740</f>
        <v>1.7667374081998766</v>
      </c>
      <c r="AY277" s="291">
        <f>AX277+($BM$277-$AX$277)/15</f>
        <v>1.7700881577207939</v>
      </c>
      <c r="AZ277" s="291">
        <f t="shared" ref="AZ277:BL277" si="20">AY277+($BM$277-$AX$277)/15</f>
        <v>1.7734389072417112</v>
      </c>
      <c r="BA277" s="291">
        <f t="shared" si="20"/>
        <v>1.7767896567626285</v>
      </c>
      <c r="BB277" s="291">
        <f t="shared" si="20"/>
        <v>1.7801404062835458</v>
      </c>
      <c r="BC277" s="291">
        <f t="shared" si="20"/>
        <v>1.783491155804463</v>
      </c>
      <c r="BD277" s="291">
        <f t="shared" si="20"/>
        <v>1.7868419053253803</v>
      </c>
      <c r="BE277" s="291">
        <f t="shared" si="20"/>
        <v>1.7901926548462976</v>
      </c>
      <c r="BF277" s="291">
        <f t="shared" si="20"/>
        <v>1.7935434043672149</v>
      </c>
      <c r="BG277" s="291">
        <f t="shared" si="20"/>
        <v>1.7968941538881322</v>
      </c>
      <c r="BH277" s="291">
        <f t="shared" si="20"/>
        <v>1.8002449034090495</v>
      </c>
      <c r="BI277" s="291">
        <f t="shared" si="20"/>
        <v>1.8035956529299668</v>
      </c>
      <c r="BJ277" s="291">
        <f t="shared" si="20"/>
        <v>1.8069464024508841</v>
      </c>
      <c r="BK277" s="291">
        <f t="shared" si="20"/>
        <v>1.8102971519718014</v>
      </c>
      <c r="BL277" s="291">
        <f t="shared" si="20"/>
        <v>1.8136479014927187</v>
      </c>
      <c r="BM277" s="292">
        <f>AX277*$C$740</f>
        <v>1.8169986510136373</v>
      </c>
      <c r="BN277" s="291">
        <f>BM277+($BR$277-$BM$277)/5</f>
        <v>1.8204447247375162</v>
      </c>
      <c r="BO277" s="291">
        <f>BN277+($BR$277-$BM$277)/5</f>
        <v>1.823890798461395</v>
      </c>
      <c r="BP277" s="291">
        <f>BO277+($BR$277-$BM$277)/5</f>
        <v>1.8273368721852739</v>
      </c>
      <c r="BQ277" s="291">
        <f>BP277+($BR$277-$BM$277)/5</f>
        <v>1.8307829459091527</v>
      </c>
      <c r="BR277" s="292">
        <f>BM277*$D$740</f>
        <v>1.8342290196330318</v>
      </c>
    </row>
    <row r="278" spans="1:70" x14ac:dyDescent="0.25">
      <c r="A278" s="912" t="s">
        <v>623</v>
      </c>
      <c r="AA278" s="306"/>
      <c r="AB278" s="306"/>
      <c r="AC278" s="306"/>
      <c r="AD278" s="306"/>
    </row>
    <row r="279" spans="1:70" x14ac:dyDescent="0.25">
      <c r="A279" s="912" t="s">
        <v>610</v>
      </c>
      <c r="B279" s="914">
        <v>13.773189544677701</v>
      </c>
      <c r="C279" s="914">
        <v>14.7725219726563</v>
      </c>
      <c r="D279" s="914">
        <v>19.176651000976602</v>
      </c>
      <c r="E279" s="914">
        <v>12.4995737075806</v>
      </c>
      <c r="F279" s="914">
        <v>9.7914295196533203</v>
      </c>
      <c r="G279" s="914">
        <v>12.0805196762085</v>
      </c>
      <c r="H279" s="914">
        <v>13.8671321868896</v>
      </c>
      <c r="I279" s="914">
        <v>15.216549873352101</v>
      </c>
      <c r="J279" s="914">
        <v>16.469785690307599</v>
      </c>
      <c r="K279" s="914">
        <v>17.9636936187744</v>
      </c>
      <c r="L279" s="914">
        <v>18.832237243652301</v>
      </c>
      <c r="M279" s="914">
        <v>19.641151428222699</v>
      </c>
      <c r="N279" s="914">
        <v>20.348432540893601</v>
      </c>
      <c r="O279" s="914">
        <v>20.710233688354499</v>
      </c>
      <c r="P279" s="914">
        <v>20.980741500854499</v>
      </c>
      <c r="Q279" s="914">
        <v>21.161005020141602</v>
      </c>
      <c r="R279" s="914">
        <v>21.2950553894043</v>
      </c>
      <c r="S279" s="914">
        <v>21.596014022827099</v>
      </c>
      <c r="T279" s="914">
        <v>21.884708404541001</v>
      </c>
      <c r="U279" s="914">
        <v>21.582948684692401</v>
      </c>
      <c r="V279" s="914">
        <v>21.8727416992188</v>
      </c>
      <c r="W279" s="914">
        <v>22.200710296630898</v>
      </c>
      <c r="X279" s="914">
        <v>22.548530578613299</v>
      </c>
      <c r="Y279" s="914">
        <v>22.812198638916001</v>
      </c>
      <c r="Z279" s="914">
        <v>23.2114353179932</v>
      </c>
      <c r="AA279" s="306">
        <v>18.0768718719482</v>
      </c>
      <c r="AB279" s="306">
        <v>18.184886932373001</v>
      </c>
      <c r="AC279" s="306">
        <v>18.263076782226602</v>
      </c>
      <c r="AD279" s="306">
        <v>18.304286956787099</v>
      </c>
    </row>
    <row r="280" spans="1:70" x14ac:dyDescent="0.25">
      <c r="A280" s="912" t="s">
        <v>611</v>
      </c>
      <c r="B280" s="914">
        <v>8.3781757354736293</v>
      </c>
      <c r="C280" s="914">
        <v>8.5664386749267596</v>
      </c>
      <c r="D280" s="914">
        <v>14.309384346008301</v>
      </c>
      <c r="E280" s="914">
        <v>6.51324510574341</v>
      </c>
      <c r="F280" s="914">
        <v>6.6763448715209996</v>
      </c>
      <c r="G280" s="914">
        <v>9.3123388290405291</v>
      </c>
      <c r="H280" s="914">
        <v>10.994701385498001</v>
      </c>
      <c r="I280" s="914">
        <v>12.5300750732422</v>
      </c>
      <c r="J280" s="914">
        <v>13.7526693344116</v>
      </c>
      <c r="K280" s="914">
        <v>15.155575752258301</v>
      </c>
      <c r="L280" s="914">
        <v>15.963142395019499</v>
      </c>
      <c r="M280" s="914">
        <v>16.617677688598601</v>
      </c>
      <c r="N280" s="914">
        <v>17.274333953857401</v>
      </c>
      <c r="O280" s="914">
        <v>17.322587966918899</v>
      </c>
      <c r="P280" s="914">
        <v>17.542411804199201</v>
      </c>
      <c r="Q280" s="914">
        <v>17.799869537353501</v>
      </c>
      <c r="R280" s="914">
        <v>17.916141510009801</v>
      </c>
      <c r="S280" s="914">
        <v>18.075910568237301</v>
      </c>
      <c r="T280" s="914">
        <v>18.1613368988037</v>
      </c>
      <c r="U280" s="914">
        <v>17.935956954956101</v>
      </c>
      <c r="V280" s="914">
        <v>18.128087997436499</v>
      </c>
      <c r="W280" s="914">
        <v>18.400978088378899</v>
      </c>
      <c r="X280" s="914">
        <v>18.7218933105469</v>
      </c>
      <c r="Y280" s="914">
        <v>18.9085083007813</v>
      </c>
      <c r="Z280" s="914">
        <v>19.247135162353501</v>
      </c>
      <c r="AA280" s="306">
        <v>21.3195495605469</v>
      </c>
      <c r="AB280" s="306">
        <v>21.43874168396</v>
      </c>
      <c r="AC280" s="306">
        <v>21.398374557495099</v>
      </c>
      <c r="AD280" s="306">
        <v>21.4992275238037</v>
      </c>
    </row>
    <row r="281" spans="1:70" x14ac:dyDescent="0.25">
      <c r="A281" s="912" t="s">
        <v>510</v>
      </c>
      <c r="B281" s="914">
        <v>7.0546379089355504</v>
      </c>
      <c r="C281" s="914">
        <v>7.0191597938537598</v>
      </c>
      <c r="D281" s="914">
        <v>8.8716125488281303</v>
      </c>
      <c r="E281" s="914">
        <v>4.5556221008300799</v>
      </c>
      <c r="F281" s="914">
        <v>5.1293134689331099</v>
      </c>
      <c r="G281" s="914">
        <v>5.4535460472106898</v>
      </c>
      <c r="H281" s="914">
        <v>5.5187635421752903</v>
      </c>
      <c r="I281" s="914">
        <v>5.53977298736572</v>
      </c>
      <c r="J281" s="914">
        <v>5.6835036277770996</v>
      </c>
      <c r="K281" s="914">
        <v>5.8920464515686</v>
      </c>
      <c r="L281" s="914">
        <v>6.0819325447082502</v>
      </c>
      <c r="M281" s="914">
        <v>6.2693996429443404</v>
      </c>
      <c r="N281" s="914">
        <v>6.4775133132934597</v>
      </c>
      <c r="O281" s="914">
        <v>6.7354197502136204</v>
      </c>
      <c r="P281" s="914">
        <v>7.0278439521789604</v>
      </c>
      <c r="Q281" s="914">
        <v>7.2539091110229501</v>
      </c>
      <c r="R281" s="914">
        <v>7.3283839225768999</v>
      </c>
      <c r="S281" s="914">
        <v>7.1506276130676296</v>
      </c>
      <c r="T281" s="914">
        <v>7.1924118995666504</v>
      </c>
      <c r="U281" s="914">
        <v>7.1398839950561497</v>
      </c>
      <c r="V281" s="914">
        <v>7.2806253433227504</v>
      </c>
      <c r="W281" s="914">
        <v>7.5354790687561</v>
      </c>
      <c r="X281" s="914">
        <v>7.8600792884826696</v>
      </c>
      <c r="Y281" s="914">
        <v>8.0742120742797905</v>
      </c>
      <c r="Z281" s="914">
        <v>8.3395175933837908</v>
      </c>
      <c r="AA281" s="306">
        <v>17.291141510009801</v>
      </c>
      <c r="AB281" s="306">
        <v>17.529483795166001</v>
      </c>
      <c r="AC281" s="306">
        <v>17.525184631347699</v>
      </c>
      <c r="AD281" s="306">
        <v>17.7543029785156</v>
      </c>
    </row>
    <row r="282" spans="1:70" x14ac:dyDescent="0.25">
      <c r="A282" s="912" t="s">
        <v>624</v>
      </c>
      <c r="B282" s="914">
        <v>1.7355252504348799</v>
      </c>
      <c r="C282" s="914">
        <v>1.7800002098083501</v>
      </c>
      <c r="D282" s="914">
        <v>1.9310736656189</v>
      </c>
      <c r="E282" s="914">
        <v>1.98230564594269</v>
      </c>
      <c r="F282" s="914">
        <v>1.86225914955139</v>
      </c>
      <c r="G282" s="914">
        <v>1.87335216999054</v>
      </c>
      <c r="H282" s="914">
        <v>1.85759365558624</v>
      </c>
      <c r="I282" s="914">
        <v>1.8817487955093399</v>
      </c>
      <c r="J282" s="914">
        <v>1.9043176174163801</v>
      </c>
      <c r="K282" s="914">
        <v>1.90719401836395</v>
      </c>
      <c r="L282" s="914">
        <v>1.9170492887496899</v>
      </c>
      <c r="M282" s="914">
        <v>1.9259506464004501</v>
      </c>
      <c r="N282" s="914">
        <v>1.94080138206482</v>
      </c>
      <c r="O282" s="914">
        <v>1.94636797904968</v>
      </c>
      <c r="P282" s="914">
        <v>1.9562891721725499</v>
      </c>
      <c r="Q282" s="914">
        <v>1.9622501134872401</v>
      </c>
      <c r="R282" s="914">
        <v>1.9753552675247199</v>
      </c>
      <c r="S282" s="914">
        <v>1.9811542034149201</v>
      </c>
      <c r="T282" s="914">
        <v>1.98549652099609</v>
      </c>
      <c r="U282" s="914">
        <v>1.9898830652236901</v>
      </c>
      <c r="V282" s="914">
        <v>1.99634909629822</v>
      </c>
      <c r="W282" s="914">
        <v>2.00744533538818</v>
      </c>
      <c r="X282" s="914">
        <v>2.0202190876007098</v>
      </c>
      <c r="Y282" s="914">
        <v>2.0336120128631601</v>
      </c>
      <c r="Z282" s="914">
        <v>2.0445194244384801</v>
      </c>
      <c r="AA282" s="306">
        <v>11.227470397949199</v>
      </c>
      <c r="AB282" s="306">
        <v>11.517865180969199</v>
      </c>
      <c r="AC282" s="306">
        <v>11.5089683532715</v>
      </c>
      <c r="AD282" s="306">
        <v>11.7493782043457</v>
      </c>
    </row>
    <row r="283" spans="1:70" x14ac:dyDescent="0.25">
      <c r="AA283" s="306">
        <v>15.2353620529175</v>
      </c>
      <c r="AB283" s="306">
        <v>15.5302953720093</v>
      </c>
      <c r="AC283" s="306">
        <v>15.500846862793001</v>
      </c>
      <c r="AD283" s="306">
        <v>15.7047281265259</v>
      </c>
    </row>
    <row r="284" spans="1:70" x14ac:dyDescent="0.25">
      <c r="A284" s="912" t="s">
        <v>625</v>
      </c>
      <c r="AA284" s="306">
        <v>7.7013258934020996</v>
      </c>
      <c r="AB284" s="306">
        <v>7.6767330169677699</v>
      </c>
      <c r="AC284" s="306">
        <v>7.8322434425354004</v>
      </c>
      <c r="AD284" s="306">
        <v>7.7872447967529297</v>
      </c>
    </row>
    <row r="285" spans="1:70" x14ac:dyDescent="0.25">
      <c r="A285" s="912" t="s">
        <v>609</v>
      </c>
      <c r="B285" s="914">
        <v>15.657142639160201</v>
      </c>
      <c r="C285" s="914">
        <v>18.5313529968262</v>
      </c>
      <c r="D285" s="914">
        <v>19.701341629028299</v>
      </c>
      <c r="E285" s="914">
        <v>16.4090671539307</v>
      </c>
      <c r="F285" s="914">
        <v>16.297544479370099</v>
      </c>
      <c r="G285" s="914">
        <v>18.4262371063232</v>
      </c>
      <c r="H285" s="914">
        <v>20.2184352874756</v>
      </c>
      <c r="I285" s="914">
        <v>21.813219070434599</v>
      </c>
      <c r="J285" s="914">
        <v>23.252103805541999</v>
      </c>
      <c r="K285" s="914">
        <v>24.811630249023398</v>
      </c>
      <c r="L285" s="914">
        <v>25.812454223632798</v>
      </c>
      <c r="M285" s="914">
        <v>26.627546310424801</v>
      </c>
      <c r="N285" s="914">
        <v>27.460300445556602</v>
      </c>
      <c r="O285" s="914">
        <v>27.8579425811768</v>
      </c>
      <c r="P285" s="914">
        <v>28.113265991210898</v>
      </c>
      <c r="Q285" s="914">
        <v>28.325565338134801</v>
      </c>
      <c r="R285" s="914">
        <v>28.4571437835693</v>
      </c>
      <c r="S285" s="914">
        <v>28.7732944488525</v>
      </c>
      <c r="T285" s="914">
        <v>28.920036315918001</v>
      </c>
      <c r="U285" s="914">
        <v>28.525373458862301</v>
      </c>
      <c r="V285" s="914">
        <v>28.814060211181602</v>
      </c>
      <c r="W285" s="914">
        <v>29.1242790222168</v>
      </c>
      <c r="X285" s="914">
        <v>29.486963272094702</v>
      </c>
      <c r="Y285" s="914">
        <v>29.629682540893601</v>
      </c>
      <c r="Z285" s="914">
        <v>30.0484523773193</v>
      </c>
      <c r="AA285" s="306">
        <v>7.8213167190551802</v>
      </c>
      <c r="AB285" s="306">
        <v>7.9383788108825701</v>
      </c>
      <c r="AC285" s="306">
        <v>8.0273618698120099</v>
      </c>
      <c r="AD285" s="306">
        <v>8.0851049423217791</v>
      </c>
    </row>
    <row r="286" spans="1:70" x14ac:dyDescent="0.25">
      <c r="A286" s="912" t="s">
        <v>618</v>
      </c>
      <c r="B286" s="914">
        <v>25.5142211914063</v>
      </c>
      <c r="C286" s="914">
        <v>26.818180084228501</v>
      </c>
      <c r="D286" s="914">
        <v>34.073703765869098</v>
      </c>
      <c r="E286" s="914">
        <v>20.3962516784668</v>
      </c>
      <c r="F286" s="914">
        <v>18.869060516357401</v>
      </c>
      <c r="G286" s="914">
        <v>22.499189376831101</v>
      </c>
      <c r="H286" s="914">
        <v>24.345371246337901</v>
      </c>
      <c r="I286" s="914">
        <v>25.8835773468018</v>
      </c>
      <c r="J286" s="914">
        <v>27.376197814941399</v>
      </c>
      <c r="K286" s="914">
        <v>25.5507621765137</v>
      </c>
      <c r="L286" s="914">
        <v>26.3307495117188</v>
      </c>
      <c r="M286" s="914">
        <v>27.042121887206999</v>
      </c>
      <c r="N286" s="914">
        <v>27.074653625488299</v>
      </c>
      <c r="O286" s="914">
        <v>28.861484527587901</v>
      </c>
      <c r="P286" s="914">
        <v>29.593324661254901</v>
      </c>
      <c r="Q286" s="914">
        <v>29.691083908081101</v>
      </c>
      <c r="R286" s="914">
        <v>29.8394565582275</v>
      </c>
      <c r="S286" s="914">
        <v>30.056737899780298</v>
      </c>
      <c r="T286" s="914">
        <v>30.123649597168001</v>
      </c>
      <c r="U286" s="914">
        <v>30.045396804809599</v>
      </c>
      <c r="V286" s="914">
        <v>30.335887908935501</v>
      </c>
      <c r="W286" s="914">
        <v>30.1821899414063</v>
      </c>
      <c r="X286" s="914">
        <v>30.567377090454102</v>
      </c>
      <c r="Y286" s="914">
        <v>31.227724075317401</v>
      </c>
      <c r="Z286" s="914">
        <v>30.935503005981399</v>
      </c>
      <c r="AA286" s="306">
        <v>2.7168338298797599</v>
      </c>
      <c r="AB286" s="306">
        <v>2.7307398319244398</v>
      </c>
      <c r="AC286" s="306">
        <v>2.7413196563720699</v>
      </c>
      <c r="AD286" s="306">
        <v>2.7546591758728001</v>
      </c>
    </row>
    <row r="287" spans="1:70" x14ac:dyDescent="0.25">
      <c r="A287" s="912" t="s">
        <v>619</v>
      </c>
      <c r="B287" s="914">
        <v>21.649000167846701</v>
      </c>
      <c r="C287" s="914">
        <v>22.8191947937012</v>
      </c>
      <c r="D287" s="914">
        <v>26.0107421875</v>
      </c>
      <c r="E287" s="914">
        <v>15.8019914627075</v>
      </c>
      <c r="F287" s="914">
        <v>17.711067199706999</v>
      </c>
      <c r="G287" s="914">
        <v>20.6589241027832</v>
      </c>
      <c r="H287" s="914">
        <v>22.298402786254901</v>
      </c>
      <c r="I287" s="914">
        <v>23.5152263641357</v>
      </c>
      <c r="J287" s="914">
        <v>24.813198089599599</v>
      </c>
      <c r="K287" s="914">
        <v>26.134485244751001</v>
      </c>
      <c r="L287" s="914">
        <v>27.0586547851563</v>
      </c>
      <c r="M287" s="914">
        <v>27.9900207519531</v>
      </c>
      <c r="N287" s="914">
        <v>28.799554824829102</v>
      </c>
      <c r="O287" s="914">
        <v>29.408401489257798</v>
      </c>
      <c r="P287" s="914">
        <v>29.935087203979499</v>
      </c>
      <c r="Q287" s="914">
        <v>30.054672241210898</v>
      </c>
      <c r="R287" s="914">
        <v>30.314332962036101</v>
      </c>
      <c r="S287" s="914">
        <v>30.492042541503899</v>
      </c>
      <c r="T287" s="914">
        <v>30.525100708007798</v>
      </c>
      <c r="U287" s="914">
        <v>30.442491531372099</v>
      </c>
      <c r="V287" s="914">
        <v>30.723676681518601</v>
      </c>
      <c r="W287" s="914">
        <v>30.701581954956101</v>
      </c>
      <c r="X287" s="914">
        <v>31.107343673706101</v>
      </c>
      <c r="Y287" s="914">
        <v>31.957983016967798</v>
      </c>
      <c r="Z287" s="914">
        <v>31.580909729003899</v>
      </c>
      <c r="AA287" s="306">
        <v>1.67883205413818</v>
      </c>
      <c r="AB287" s="306">
        <v>1.6938681602478001</v>
      </c>
      <c r="AC287" s="306">
        <v>1.7024568319320701</v>
      </c>
      <c r="AD287" s="306">
        <v>1.71655297279358</v>
      </c>
    </row>
    <row r="288" spans="1:70" x14ac:dyDescent="0.25">
      <c r="A288" s="912" t="s">
        <v>626</v>
      </c>
      <c r="B288" s="914">
        <v>15.2446508407593</v>
      </c>
      <c r="C288" s="914">
        <v>16.0964660644531</v>
      </c>
      <c r="D288" s="914">
        <v>22.1856594085693</v>
      </c>
      <c r="E288" s="914">
        <v>10.540905952453601</v>
      </c>
      <c r="F288" s="914">
        <v>10.4131317138672</v>
      </c>
      <c r="G288" s="914">
        <v>12.992267608642599</v>
      </c>
      <c r="H288" s="914">
        <v>14.8510446548462</v>
      </c>
      <c r="I288" s="914">
        <v>16.4927158355713</v>
      </c>
      <c r="J288" s="914">
        <v>17.888269424438501</v>
      </c>
      <c r="K288" s="914">
        <v>19.120731353759801</v>
      </c>
      <c r="L288" s="914">
        <v>20.025011062622099</v>
      </c>
      <c r="M288" s="914">
        <v>20.925888061523398</v>
      </c>
      <c r="N288" s="914">
        <v>21.650459289550799</v>
      </c>
      <c r="O288" s="914">
        <v>22.054113388061499</v>
      </c>
      <c r="P288" s="914">
        <v>22.358533859252901</v>
      </c>
      <c r="Q288" s="914">
        <v>22.535087585449201</v>
      </c>
      <c r="R288" s="914">
        <v>22.624557495117202</v>
      </c>
      <c r="S288" s="914">
        <v>22.875423431396499</v>
      </c>
      <c r="T288" s="914">
        <v>23.088819503784201</v>
      </c>
      <c r="U288" s="914">
        <v>22.878332138061499</v>
      </c>
      <c r="V288" s="914">
        <v>23.229129791259801</v>
      </c>
      <c r="W288" s="914">
        <v>23.440977096557599</v>
      </c>
      <c r="X288" s="914">
        <v>23.911849975585898</v>
      </c>
      <c r="Y288" s="914">
        <v>24.3618278503418</v>
      </c>
      <c r="Z288" s="914">
        <v>24.669164657592798</v>
      </c>
      <c r="AA288" s="306">
        <v>1.2833950519561801</v>
      </c>
      <c r="AB288" s="306">
        <v>1.3286876678466799</v>
      </c>
      <c r="AC288" s="306">
        <v>1.33012855052948</v>
      </c>
      <c r="AD288" s="306">
        <v>1.33445107936859</v>
      </c>
    </row>
    <row r="289" spans="1:30" x14ac:dyDescent="0.25">
      <c r="A289" s="912" t="s">
        <v>610</v>
      </c>
      <c r="B289" s="914">
        <v>19.171348571777301</v>
      </c>
      <c r="C289" s="914">
        <v>19.9431552886963</v>
      </c>
      <c r="D289" s="914">
        <v>25.721439361572301</v>
      </c>
      <c r="E289" s="914">
        <v>15.1513471603394</v>
      </c>
      <c r="F289" s="914">
        <v>13.5963325500488</v>
      </c>
      <c r="G289" s="914">
        <v>16.098552703857401</v>
      </c>
      <c r="H289" s="914">
        <v>18.014595031738299</v>
      </c>
      <c r="I289" s="914">
        <v>20.0945529937744</v>
      </c>
      <c r="J289" s="914">
        <v>21.487236022949201</v>
      </c>
      <c r="K289" s="914">
        <v>22.551927566528299</v>
      </c>
      <c r="L289" s="914">
        <v>23.4185886383057</v>
      </c>
      <c r="M289" s="914">
        <v>24.295482635498001</v>
      </c>
      <c r="N289" s="914">
        <v>25.028078079223601</v>
      </c>
      <c r="O289" s="914">
        <v>25.4735622406006</v>
      </c>
      <c r="P289" s="914">
        <v>25.7968635559082</v>
      </c>
      <c r="Q289" s="914">
        <v>25.744600296020501</v>
      </c>
      <c r="R289" s="914">
        <v>26.0401725769043</v>
      </c>
      <c r="S289" s="914">
        <v>26.245742797851602</v>
      </c>
      <c r="T289" s="914">
        <v>26.316581726074201</v>
      </c>
      <c r="U289" s="914">
        <v>26.282798767089801</v>
      </c>
      <c r="V289" s="914">
        <v>26.623888015747099</v>
      </c>
      <c r="W289" s="914">
        <v>26.532428741455099</v>
      </c>
      <c r="X289" s="914">
        <v>26.9911499023438</v>
      </c>
      <c r="Y289" s="914">
        <v>27.692060470581101</v>
      </c>
      <c r="Z289" s="914">
        <v>27.7130451202393</v>
      </c>
      <c r="AA289" s="306">
        <v>23.429731369018601</v>
      </c>
      <c r="AB289" s="306">
        <v>23.480413436889599</v>
      </c>
      <c r="AC289" s="306">
        <v>23.589033126831101</v>
      </c>
      <c r="AD289" s="306">
        <v>23.596023559570298</v>
      </c>
    </row>
    <row r="290" spans="1:30" x14ac:dyDescent="0.25">
      <c r="A290" s="912" t="s">
        <v>611</v>
      </c>
      <c r="B290" s="914">
        <v>8.4246683120727504</v>
      </c>
      <c r="C290" s="914">
        <v>9.3672227859497106</v>
      </c>
      <c r="D290" s="914">
        <v>14.1781015396118</v>
      </c>
      <c r="E290" s="914">
        <v>6.5043296813964799</v>
      </c>
      <c r="F290" s="914">
        <v>6.9149212837219203</v>
      </c>
      <c r="G290" s="914">
        <v>9.2013835906982404</v>
      </c>
      <c r="H290" s="914">
        <v>10.8588418960571</v>
      </c>
      <c r="I290" s="914">
        <v>12.3554439544678</v>
      </c>
      <c r="J290" s="914">
        <v>13.5696716308594</v>
      </c>
      <c r="K290" s="914">
        <v>14.9571332931519</v>
      </c>
      <c r="L290" s="914">
        <v>15.7562828063965</v>
      </c>
      <c r="M290" s="914">
        <v>16.419845581054702</v>
      </c>
      <c r="N290" s="914">
        <v>17.090215682983398</v>
      </c>
      <c r="O290" s="914">
        <v>17.3671054840088</v>
      </c>
      <c r="P290" s="914">
        <v>17.589653015136701</v>
      </c>
      <c r="Q290" s="914">
        <v>17.8480415344238</v>
      </c>
      <c r="R290" s="914">
        <v>17.911899566650401</v>
      </c>
      <c r="S290" s="914">
        <v>18.041828155517599</v>
      </c>
      <c r="T290" s="914">
        <v>18.112939834594702</v>
      </c>
      <c r="U290" s="914">
        <v>17.862413406372099</v>
      </c>
      <c r="V290" s="914">
        <v>18.047613143920898</v>
      </c>
      <c r="W290" s="914">
        <v>18.333000183105501</v>
      </c>
      <c r="X290" s="914">
        <v>18.6528930664063</v>
      </c>
      <c r="Y290" s="914">
        <v>18.8375339508057</v>
      </c>
      <c r="Z290" s="914">
        <v>19.187860488891602</v>
      </c>
      <c r="AA290" s="306"/>
      <c r="AB290" s="306"/>
      <c r="AC290" s="306"/>
      <c r="AD290" s="306"/>
    </row>
    <row r="291" spans="1:30" x14ac:dyDescent="0.25">
      <c r="A291" s="912" t="s">
        <v>510</v>
      </c>
      <c r="B291" s="914">
        <v>9.5015735626220703</v>
      </c>
      <c r="C291" s="914">
        <v>9.0060253143310494</v>
      </c>
      <c r="D291" s="914">
        <v>10.1816816329956</v>
      </c>
      <c r="E291" s="914">
        <v>6.76324558258057</v>
      </c>
      <c r="F291" s="914">
        <v>7.4289712905883798</v>
      </c>
      <c r="G291" s="914">
        <v>7.7374553680419904</v>
      </c>
      <c r="H291" s="914">
        <v>7.7907910346984899</v>
      </c>
      <c r="I291" s="914">
        <v>7.79954290390015</v>
      </c>
      <c r="J291" s="914">
        <v>7.91036033630371</v>
      </c>
      <c r="K291" s="914">
        <v>8.0721502304077095</v>
      </c>
      <c r="L291" s="914">
        <v>8.2674913406372106</v>
      </c>
      <c r="M291" s="914">
        <v>8.4630060195922905</v>
      </c>
      <c r="N291" s="914">
        <v>8.6615943908691406</v>
      </c>
      <c r="O291" s="914">
        <v>8.9140930175781303</v>
      </c>
      <c r="P291" s="914">
        <v>9.2212562561035192</v>
      </c>
      <c r="Q291" s="914">
        <v>9.4307956695556605</v>
      </c>
      <c r="R291" s="914">
        <v>9.4883728027343803</v>
      </c>
      <c r="S291" s="914">
        <v>9.2674760818481392</v>
      </c>
      <c r="T291" s="914">
        <v>9.2395153045654297</v>
      </c>
      <c r="U291" s="914">
        <v>9.1623344421386701</v>
      </c>
      <c r="V291" s="914">
        <v>9.3142642974853498</v>
      </c>
      <c r="W291" s="914">
        <v>9.5711297988891602</v>
      </c>
      <c r="X291" s="914">
        <v>9.9057645797729492</v>
      </c>
      <c r="Y291" s="914">
        <v>10.151716232299799</v>
      </c>
      <c r="Z291" s="914">
        <v>10.4206848144531</v>
      </c>
      <c r="AA291" s="306"/>
      <c r="AB291" s="306"/>
      <c r="AC291" s="306"/>
      <c r="AD291" s="306"/>
    </row>
    <row r="292" spans="1:30" x14ac:dyDescent="0.25">
      <c r="A292" s="912" t="s">
        <v>614</v>
      </c>
      <c r="B292" s="914">
        <v>3.6353600025177002</v>
      </c>
      <c r="C292" s="914">
        <v>3.6099998950958301</v>
      </c>
      <c r="D292" s="914">
        <v>4.0558156967163104</v>
      </c>
      <c r="E292" s="914">
        <v>4.0487108230590803</v>
      </c>
      <c r="F292" s="914">
        <v>3.9977276325225799</v>
      </c>
      <c r="G292" s="914">
        <v>4.1121706962585396</v>
      </c>
      <c r="H292" s="914">
        <v>4.1809573173522896</v>
      </c>
      <c r="I292" s="914">
        <v>4.2343683242797896</v>
      </c>
      <c r="J292" s="914">
        <v>4.27162742614746</v>
      </c>
      <c r="K292" s="914">
        <v>4.2985162734985396</v>
      </c>
      <c r="L292" s="914">
        <v>4.3192996978759801</v>
      </c>
      <c r="M292" s="914">
        <v>4.3337044715881303</v>
      </c>
      <c r="N292" s="914">
        <v>4.3530845642089799</v>
      </c>
      <c r="O292" s="914">
        <v>4.3696141242981001</v>
      </c>
      <c r="P292" s="914">
        <v>4.3899216651916504</v>
      </c>
      <c r="Q292" s="914">
        <v>4.4470157623290998</v>
      </c>
      <c r="R292" s="914">
        <v>4.5093812942504901</v>
      </c>
      <c r="S292" s="914">
        <v>4.5352845191955602</v>
      </c>
      <c r="T292" s="914">
        <v>4.5618190765380904</v>
      </c>
      <c r="U292" s="914">
        <v>4.5643453598022496</v>
      </c>
      <c r="V292" s="914">
        <v>4.5493078231811497</v>
      </c>
      <c r="W292" s="914">
        <v>4.5490665435790998</v>
      </c>
      <c r="X292" s="914">
        <v>4.5331215858459499</v>
      </c>
      <c r="Y292" s="914">
        <v>4.4955492019653303</v>
      </c>
      <c r="Z292" s="914">
        <v>4.4319190979003897</v>
      </c>
      <c r="AA292" s="306">
        <v>253.732666015625</v>
      </c>
      <c r="AB292" s="306">
        <v>257.28918457031301</v>
      </c>
      <c r="AC292" s="306">
        <v>259.96432495117199</v>
      </c>
      <c r="AD292" s="306">
        <v>262.21316528320301</v>
      </c>
    </row>
    <row r="293" spans="1:30" x14ac:dyDescent="0.25">
      <c r="A293" s="912" t="s">
        <v>627</v>
      </c>
      <c r="B293" s="914">
        <v>1.7776364088058501</v>
      </c>
      <c r="C293" s="914">
        <v>1.81885313987732</v>
      </c>
      <c r="D293" s="914">
        <v>1.9676311016082799</v>
      </c>
      <c r="E293" s="914">
        <v>2.0067975521087602</v>
      </c>
      <c r="F293" s="914">
        <v>1.88941025733948</v>
      </c>
      <c r="G293" s="914">
        <v>1.9042230844497701</v>
      </c>
      <c r="H293" s="914">
        <v>1.89033174514771</v>
      </c>
      <c r="I293" s="914">
        <v>1.9154095649719201</v>
      </c>
      <c r="J293" s="914">
        <v>1.93832087516785</v>
      </c>
      <c r="K293" s="914">
        <v>1.94072294235229</v>
      </c>
      <c r="L293" s="914">
        <v>1.9500694274902299</v>
      </c>
      <c r="M293" s="914">
        <v>1.9586881399154701</v>
      </c>
      <c r="N293" s="914">
        <v>1.9732190370559699</v>
      </c>
      <c r="O293" s="914">
        <v>1.9783339500427199</v>
      </c>
      <c r="P293" s="914">
        <v>1.98810267448425</v>
      </c>
      <c r="Q293" s="914">
        <v>1.9938982725143399</v>
      </c>
      <c r="R293" s="914">
        <v>2.0064799785614</v>
      </c>
      <c r="S293" s="914">
        <v>2.0119984149932901</v>
      </c>
      <c r="T293" s="914">
        <v>2.0163278579711901</v>
      </c>
      <c r="U293" s="914">
        <v>2.0205180644989</v>
      </c>
      <c r="V293" s="914">
        <v>2.0271856784820601</v>
      </c>
      <c r="W293" s="914">
        <v>2.0382561683654798</v>
      </c>
      <c r="X293" s="914">
        <v>2.0508835315704301</v>
      </c>
      <c r="Y293" s="914">
        <v>2.0641281604766801</v>
      </c>
      <c r="Z293" s="914">
        <v>2.0750961303710902</v>
      </c>
      <c r="AA293" s="306">
        <v>208.50216674804699</v>
      </c>
      <c r="AB293" s="306">
        <v>213.246017456055</v>
      </c>
      <c r="AC293" s="306">
        <v>217.97378540039099</v>
      </c>
      <c r="AD293" s="306">
        <v>222.08200073242199</v>
      </c>
    </row>
    <row r="294" spans="1:30" x14ac:dyDescent="0.25">
      <c r="A294" s="912" t="s">
        <v>616</v>
      </c>
      <c r="B294" s="914">
        <v>0</v>
      </c>
      <c r="C294" s="914">
        <v>0</v>
      </c>
      <c r="D294" s="914">
        <v>0</v>
      </c>
      <c r="E294" s="914">
        <v>0</v>
      </c>
      <c r="F294" s="914">
        <v>0</v>
      </c>
      <c r="G294" s="914">
        <v>1.5133428573608401</v>
      </c>
      <c r="H294" s="914">
        <v>1.3742095232009901</v>
      </c>
      <c r="I294" s="914">
        <v>1.19064140319824</v>
      </c>
      <c r="J294" s="914">
        <v>1.3664953708648699</v>
      </c>
      <c r="K294" s="914">
        <v>1.33487153053284</v>
      </c>
      <c r="L294" s="914">
        <v>1.31654036045074</v>
      </c>
      <c r="M294" s="914">
        <v>1.30223417282104</v>
      </c>
      <c r="N294" s="914">
        <v>1.30838906764984</v>
      </c>
      <c r="O294" s="914">
        <v>1.32146644592285</v>
      </c>
      <c r="P294" s="914">
        <v>1.3489345312118499</v>
      </c>
      <c r="Q294" s="914">
        <v>1.3524934053421001</v>
      </c>
      <c r="R294" s="914">
        <v>1.3570195436477701</v>
      </c>
      <c r="S294" s="914">
        <v>1.3626403808593801</v>
      </c>
      <c r="T294" s="914">
        <v>1.37119424343109</v>
      </c>
      <c r="U294" s="914">
        <v>1.3635557889938399</v>
      </c>
      <c r="V294" s="914">
        <v>1.3662919998168901</v>
      </c>
      <c r="W294" s="914">
        <v>1.37254309654236</v>
      </c>
      <c r="X294" s="914">
        <v>1.37609398365021</v>
      </c>
      <c r="Y294" s="914">
        <v>1.3784751892089799</v>
      </c>
      <c r="Z294" s="914">
        <v>1.3805129528045701</v>
      </c>
      <c r="AA294" s="306">
        <v>212.89649963378901</v>
      </c>
      <c r="AB294" s="306">
        <v>216.30204772949199</v>
      </c>
      <c r="AC294" s="306">
        <v>219.267822265625</v>
      </c>
      <c r="AD294" s="306">
        <v>222.079177856445</v>
      </c>
    </row>
    <row r="295" spans="1:30" x14ac:dyDescent="0.25">
      <c r="A295" s="912" t="s">
        <v>479</v>
      </c>
      <c r="B295" s="914">
        <v>26.672916412353501</v>
      </c>
      <c r="C295" s="914">
        <v>26.680915832519499</v>
      </c>
      <c r="D295" s="914">
        <v>27.799331665039102</v>
      </c>
      <c r="E295" s="914">
        <v>26.6892414093018</v>
      </c>
      <c r="F295" s="914">
        <v>24.2756156921387</v>
      </c>
      <c r="G295" s="914">
        <v>25.0947151184082</v>
      </c>
      <c r="H295" s="914">
        <v>25.0493679046631</v>
      </c>
      <c r="I295" s="914">
        <v>25.093559265136701</v>
      </c>
      <c r="J295" s="914">
        <v>25.339256286621101</v>
      </c>
      <c r="K295" s="914">
        <v>25.454051971435501</v>
      </c>
      <c r="L295" s="914">
        <v>25.7708930969238</v>
      </c>
      <c r="M295" s="914">
        <v>26.1124782562256</v>
      </c>
      <c r="N295" s="914">
        <v>26.474697113037099</v>
      </c>
      <c r="O295" s="914">
        <v>26.7419338226318</v>
      </c>
      <c r="P295" s="914">
        <v>27.1641750335693</v>
      </c>
      <c r="Q295" s="914">
        <v>27.529588699340799</v>
      </c>
      <c r="R295" s="914">
        <v>27.7828693389893</v>
      </c>
      <c r="S295" s="914">
        <v>27.754991531372099</v>
      </c>
      <c r="T295" s="914">
        <v>27.792310714721701</v>
      </c>
      <c r="U295" s="914">
        <v>27.7856330871582</v>
      </c>
      <c r="V295" s="914">
        <v>27.867961883544901</v>
      </c>
      <c r="W295" s="914">
        <v>28.2280673980713</v>
      </c>
      <c r="X295" s="914">
        <v>28.6754856109619</v>
      </c>
      <c r="Y295" s="914">
        <v>29.0858860015869</v>
      </c>
      <c r="Z295" s="914">
        <v>29.4564533233643</v>
      </c>
      <c r="AA295" s="306">
        <v>588.97521972656295</v>
      </c>
      <c r="AB295" s="306">
        <v>607.12139892578102</v>
      </c>
      <c r="AC295" s="306">
        <v>615.45501708984398</v>
      </c>
      <c r="AD295" s="306">
        <v>632.78991699218795</v>
      </c>
    </row>
    <row r="296" spans="1:30" x14ac:dyDescent="0.25">
      <c r="AA296" s="306">
        <v>1264.10656738281</v>
      </c>
      <c r="AB296" s="306">
        <v>1293.95861816406</v>
      </c>
      <c r="AC296" s="306">
        <v>1312.66088867188</v>
      </c>
      <c r="AD296" s="306">
        <v>1339.16430664063</v>
      </c>
    </row>
    <row r="297" spans="1:30" x14ac:dyDescent="0.25">
      <c r="A297" s="912" t="s">
        <v>513</v>
      </c>
      <c r="AA297" s="306">
        <v>0.38684526085853599</v>
      </c>
      <c r="AB297" s="306">
        <v>0.443235874176025</v>
      </c>
      <c r="AC297" s="306">
        <v>0.46923574805259699</v>
      </c>
      <c r="AD297" s="306">
        <v>0.51463860273361195</v>
      </c>
    </row>
    <row r="298" spans="1:30" x14ac:dyDescent="0.25">
      <c r="A298" s="912" t="s">
        <v>725</v>
      </c>
      <c r="AA298" s="306">
        <v>1264.49340820313</v>
      </c>
      <c r="AB298" s="306">
        <v>1294.40185546875</v>
      </c>
      <c r="AC298" s="306">
        <v>1313.13012695313</v>
      </c>
      <c r="AD298" s="306">
        <v>1339.67895507813</v>
      </c>
    </row>
    <row r="299" spans="1:30" x14ac:dyDescent="0.25">
      <c r="A299" s="912" t="s">
        <v>473</v>
      </c>
      <c r="B299" s="914">
        <v>231.10064697265599</v>
      </c>
      <c r="C299" s="914">
        <v>238.40081787109401</v>
      </c>
      <c r="D299" s="914">
        <v>250.00378417968801</v>
      </c>
      <c r="E299" s="914">
        <v>223.81915283203099</v>
      </c>
      <c r="F299" s="914">
        <v>215.29118347168</v>
      </c>
      <c r="G299" s="914">
        <v>224.09677124023401</v>
      </c>
      <c r="H299" s="914">
        <v>227.34310913085901</v>
      </c>
      <c r="I299" s="914">
        <v>227.85260009765599</v>
      </c>
      <c r="J299" s="914">
        <v>231.24415588378901</v>
      </c>
      <c r="K299" s="914">
        <v>234.18721008300801</v>
      </c>
      <c r="L299" s="914">
        <v>238.75100708007801</v>
      </c>
      <c r="M299" s="914">
        <v>243.18489074707</v>
      </c>
      <c r="N299" s="914">
        <v>248.169021606445</v>
      </c>
      <c r="O299" s="914">
        <v>252.72660827636699</v>
      </c>
      <c r="P299" s="914">
        <v>258.44952392578102</v>
      </c>
      <c r="Q299" s="914">
        <v>262.50808715820301</v>
      </c>
      <c r="R299" s="914">
        <v>265.94851684570301</v>
      </c>
      <c r="S299" s="914">
        <v>267.30322265625</v>
      </c>
      <c r="T299" s="914">
        <v>270.58847045898398</v>
      </c>
      <c r="U299" s="914">
        <v>272.04168701171898</v>
      </c>
      <c r="V299" s="914">
        <v>276.25186157226602</v>
      </c>
      <c r="W299" s="914">
        <v>282.20260620117199</v>
      </c>
      <c r="X299" s="914">
        <v>288.93267822265602</v>
      </c>
      <c r="Y299" s="914">
        <v>293.60751342773398</v>
      </c>
      <c r="Z299" s="914">
        <v>298.90402221679699</v>
      </c>
      <c r="AA299" s="306"/>
      <c r="AB299" s="306"/>
      <c r="AC299" s="306"/>
      <c r="AD299" s="306"/>
    </row>
    <row r="300" spans="1:30" x14ac:dyDescent="0.25">
      <c r="A300" s="912" t="s">
        <v>480</v>
      </c>
      <c r="B300" s="914">
        <v>170.28274536132801</v>
      </c>
      <c r="C300" s="914">
        <v>172.89260864257801</v>
      </c>
      <c r="D300" s="914">
        <v>183.352294921875</v>
      </c>
      <c r="E300" s="914">
        <v>163.89425659179699</v>
      </c>
      <c r="F300" s="914">
        <v>157.14476013183599</v>
      </c>
      <c r="G300" s="914">
        <v>164.69047546386699</v>
      </c>
      <c r="H300" s="914">
        <v>166.42567443847699</v>
      </c>
      <c r="I300" s="914">
        <v>169.00093078613301</v>
      </c>
      <c r="J300" s="914">
        <v>173.04789733886699</v>
      </c>
      <c r="K300" s="914">
        <v>176.93461608886699</v>
      </c>
      <c r="L300" s="914">
        <v>182.04042053222699</v>
      </c>
      <c r="M300" s="914">
        <v>187.24485778808599</v>
      </c>
      <c r="N300" s="914">
        <v>192.69107055664099</v>
      </c>
      <c r="O300" s="914">
        <v>197.508544921875</v>
      </c>
      <c r="P300" s="914">
        <v>203.26272583007801</v>
      </c>
      <c r="Q300" s="914">
        <v>208.31881713867199</v>
      </c>
      <c r="R300" s="914">
        <v>212.33370971679699</v>
      </c>
      <c r="S300" s="914">
        <v>214.22947692871099</v>
      </c>
      <c r="T300" s="914">
        <v>217.23475646972699</v>
      </c>
      <c r="U300" s="914">
        <v>219.65505981445301</v>
      </c>
      <c r="V300" s="914">
        <v>223.61666870117199</v>
      </c>
      <c r="W300" s="914">
        <v>229.31947326660199</v>
      </c>
      <c r="X300" s="914">
        <v>235.82908630371099</v>
      </c>
      <c r="Y300" s="914">
        <v>241.79779052734401</v>
      </c>
      <c r="Z300" s="914">
        <v>247.76422119140599</v>
      </c>
      <c r="AA300" s="306"/>
      <c r="AB300" s="306"/>
      <c r="AC300" s="306"/>
      <c r="AD300" s="306"/>
    </row>
    <row r="301" spans="1:30" x14ac:dyDescent="0.25">
      <c r="A301" s="912" t="s">
        <v>515</v>
      </c>
      <c r="B301" s="914">
        <v>216.08058166503901</v>
      </c>
      <c r="C301" s="914">
        <v>226.88609313964801</v>
      </c>
      <c r="D301" s="914">
        <v>248.66896057128901</v>
      </c>
      <c r="E301" s="914">
        <v>181.39601135253901</v>
      </c>
      <c r="F301" s="914">
        <v>151.70443725585901</v>
      </c>
      <c r="G301" s="914">
        <v>172.23597717285199</v>
      </c>
      <c r="H301" s="914">
        <v>186.63681030273401</v>
      </c>
      <c r="I301" s="914">
        <v>200.19924926757801</v>
      </c>
      <c r="J301" s="914">
        <v>207.03741455078099</v>
      </c>
      <c r="K301" s="914">
        <v>213.45352172851599</v>
      </c>
      <c r="L301" s="914">
        <v>218.62767028808599</v>
      </c>
      <c r="M301" s="914">
        <v>224.29528808593801</v>
      </c>
      <c r="N301" s="914">
        <v>229.96401977539099</v>
      </c>
      <c r="O301" s="914">
        <v>233.76069641113301</v>
      </c>
      <c r="P301" s="914">
        <v>239.065841674805</v>
      </c>
      <c r="Q301" s="914">
        <v>241.45851135253901</v>
      </c>
      <c r="R301" s="914">
        <v>242.383544921875</v>
      </c>
      <c r="S301" s="914">
        <v>242.41815185546901</v>
      </c>
      <c r="T301" s="914">
        <v>242.89247131347699</v>
      </c>
      <c r="U301" s="914">
        <v>240.916915893555</v>
      </c>
      <c r="V301" s="914">
        <v>241.41357421875</v>
      </c>
      <c r="W301" s="914">
        <v>242.50785827636699</v>
      </c>
      <c r="X301" s="914">
        <v>244.85752868652301</v>
      </c>
      <c r="Y301" s="914">
        <v>245.86729431152301</v>
      </c>
      <c r="Z301" s="914">
        <v>245.87216186523401</v>
      </c>
      <c r="AA301" s="306"/>
      <c r="AB301" s="306"/>
      <c r="AC301" s="306"/>
      <c r="AD301" s="306"/>
    </row>
    <row r="302" spans="1:30" x14ac:dyDescent="0.25">
      <c r="A302" s="912" t="s">
        <v>487</v>
      </c>
      <c r="B302" s="914">
        <v>564.62982177734398</v>
      </c>
      <c r="C302" s="914">
        <v>596.84759521484398</v>
      </c>
      <c r="D302" s="914">
        <v>693.65460205078102</v>
      </c>
      <c r="E302" s="914">
        <v>393.76574707031301</v>
      </c>
      <c r="F302" s="914">
        <v>430.90808105468801</v>
      </c>
      <c r="G302" s="914">
        <v>516.84307861328102</v>
      </c>
      <c r="H302" s="914">
        <v>568.141357421875</v>
      </c>
      <c r="I302" s="914">
        <v>610.89111328125</v>
      </c>
      <c r="J302" s="914">
        <v>646.41064453125</v>
      </c>
      <c r="K302" s="914">
        <v>676.39013671875</v>
      </c>
      <c r="L302" s="914">
        <v>696.72686767578102</v>
      </c>
      <c r="M302" s="914">
        <v>719.33160400390602</v>
      </c>
      <c r="N302" s="914">
        <v>737.13671875</v>
      </c>
      <c r="O302" s="914">
        <v>750.27301025390602</v>
      </c>
      <c r="P302" s="914">
        <v>759.33123779296898</v>
      </c>
      <c r="Q302" s="914">
        <v>760.33734130859398</v>
      </c>
      <c r="R302" s="914">
        <v>761.04602050781295</v>
      </c>
      <c r="S302" s="914">
        <v>771.55059814453102</v>
      </c>
      <c r="T302" s="914">
        <v>780.57421875</v>
      </c>
      <c r="U302" s="914">
        <v>783.147216796875</v>
      </c>
      <c r="V302" s="914">
        <v>796.70227050781295</v>
      </c>
      <c r="W302" s="914">
        <v>794.56842041015602</v>
      </c>
      <c r="X302" s="914">
        <v>811.39251708984398</v>
      </c>
      <c r="Y302" s="914">
        <v>832.07995605468795</v>
      </c>
      <c r="Z302" s="914">
        <v>835.36431884765602</v>
      </c>
      <c r="AA302" s="306"/>
      <c r="AB302" s="306"/>
      <c r="AC302" s="306"/>
      <c r="AD302" s="306"/>
    </row>
    <row r="303" spans="1:30" x14ac:dyDescent="0.25">
      <c r="A303" s="912" t="s">
        <v>516</v>
      </c>
      <c r="B303" s="914">
        <v>1182.09375</v>
      </c>
      <c r="C303" s="914">
        <v>1235.02709960938</v>
      </c>
      <c r="D303" s="914">
        <v>1375.6796875</v>
      </c>
      <c r="E303" s="914">
        <v>962.87518310546898</v>
      </c>
      <c r="F303" s="914">
        <v>955.04846191406295</v>
      </c>
      <c r="G303" s="914">
        <v>1077.86633300781</v>
      </c>
      <c r="H303" s="914">
        <v>1148.54699707031</v>
      </c>
      <c r="I303" s="914">
        <v>1207.94384765625</v>
      </c>
      <c r="J303" s="914">
        <v>1257.74011230469</v>
      </c>
      <c r="K303" s="914">
        <v>1300.96545410156</v>
      </c>
      <c r="L303" s="914">
        <v>1336.14599609375</v>
      </c>
      <c r="M303" s="914">
        <v>1374.056640625</v>
      </c>
      <c r="N303" s="914">
        <v>1407.96081542969</v>
      </c>
      <c r="O303" s="914">
        <v>1434.26879882813</v>
      </c>
      <c r="P303" s="914">
        <v>1460.109375</v>
      </c>
      <c r="Q303" s="914">
        <v>1472.62280273438</v>
      </c>
      <c r="R303" s="914">
        <v>1481.71179199219</v>
      </c>
      <c r="S303" s="914">
        <v>1495.50146484375</v>
      </c>
      <c r="T303" s="914">
        <v>1511.28991699219</v>
      </c>
      <c r="U303" s="914">
        <v>1515.76086425781</v>
      </c>
      <c r="V303" s="914">
        <v>1537.984375</v>
      </c>
      <c r="W303" s="914">
        <v>1548.59838867188</v>
      </c>
      <c r="X303" s="914">
        <v>1581.01184082031</v>
      </c>
      <c r="Y303" s="914">
        <v>1613.3525390625</v>
      </c>
      <c r="Z303" s="914">
        <v>1627.90478515625</v>
      </c>
      <c r="AA303" s="306"/>
      <c r="AB303" s="306"/>
      <c r="AC303" s="306"/>
      <c r="AD303" s="306"/>
    </row>
    <row r="304" spans="1:30" x14ac:dyDescent="0.25">
      <c r="A304" s="912" t="s">
        <v>629</v>
      </c>
      <c r="B304" s="914">
        <v>3.2131362706422799E-2</v>
      </c>
      <c r="C304" s="914">
        <v>4.0145620703697198E-2</v>
      </c>
      <c r="D304" s="914">
        <v>3.7687420845031697E-2</v>
      </c>
      <c r="E304" s="914">
        <v>2.54867300391197E-2</v>
      </c>
      <c r="F304" s="914">
        <v>5.4010055959224701E-2</v>
      </c>
      <c r="G304" s="914">
        <v>6.77362531423569E-2</v>
      </c>
      <c r="H304" s="914">
        <v>8.3178348839283003E-2</v>
      </c>
      <c r="I304" s="914">
        <v>9.4869345426559407E-2</v>
      </c>
      <c r="J304" s="914">
        <v>0.113030456006527</v>
      </c>
      <c r="K304" s="914">
        <v>1.97330021858215</v>
      </c>
      <c r="L304" s="914">
        <v>4.8567194938659703</v>
      </c>
      <c r="M304" s="914">
        <v>6.7303171157836896</v>
      </c>
      <c r="N304" s="914">
        <v>10.514961242675801</v>
      </c>
      <c r="O304" s="914">
        <v>15.7356252670288</v>
      </c>
      <c r="P304" s="914">
        <v>22.100711822509801</v>
      </c>
      <c r="Q304" s="914">
        <v>25.9892463684082</v>
      </c>
      <c r="R304" s="914">
        <v>35.539012908935497</v>
      </c>
      <c r="S304" s="914">
        <v>35.597633361816399</v>
      </c>
      <c r="T304" s="914">
        <v>34.1677055358887</v>
      </c>
      <c r="U304" s="914">
        <v>35.613494873046903</v>
      </c>
      <c r="V304" s="914">
        <v>37.140151977539098</v>
      </c>
      <c r="W304" s="914">
        <v>45.276290893554702</v>
      </c>
      <c r="X304" s="914">
        <v>47.974498748779297</v>
      </c>
      <c r="Y304" s="914">
        <v>53.190200805664098</v>
      </c>
      <c r="Z304" s="914">
        <v>54.179977416992202</v>
      </c>
      <c r="AA304" s="306"/>
      <c r="AB304" s="306"/>
      <c r="AC304" s="306"/>
      <c r="AD304" s="306"/>
    </row>
    <row r="305" spans="1:30" x14ac:dyDescent="0.25">
      <c r="A305" s="912" t="s">
        <v>518</v>
      </c>
      <c r="B305" s="914">
        <v>1182.12585449219</v>
      </c>
      <c r="C305" s="914">
        <v>1235.06726074219</v>
      </c>
      <c r="D305" s="914">
        <v>1375.71740722656</v>
      </c>
      <c r="E305" s="914">
        <v>962.90069580078102</v>
      </c>
      <c r="F305" s="914">
        <v>955.10247802734398</v>
      </c>
      <c r="G305" s="914">
        <v>1077.93408203125</v>
      </c>
      <c r="H305" s="914">
        <v>1148.63012695313</v>
      </c>
      <c r="I305" s="914">
        <v>1208.03869628906</v>
      </c>
      <c r="J305" s="914">
        <v>1257.85314941406</v>
      </c>
      <c r="K305" s="914">
        <v>1302.93872070313</v>
      </c>
      <c r="L305" s="914">
        <v>1341.00268554688</v>
      </c>
      <c r="M305" s="914">
        <v>1380.78698730469</v>
      </c>
      <c r="N305" s="914">
        <v>1418.47583007813</v>
      </c>
      <c r="O305" s="914">
        <v>1450.00439453125</v>
      </c>
      <c r="P305" s="914">
        <v>1482.21008300781</v>
      </c>
      <c r="Q305" s="914">
        <v>1498.61206054688</v>
      </c>
      <c r="R305" s="914">
        <v>1517.25085449219</v>
      </c>
      <c r="S305" s="914">
        <v>1531.09912109375</v>
      </c>
      <c r="T305" s="914">
        <v>1545.45764160156</v>
      </c>
      <c r="U305" s="914">
        <v>1551.37438964844</v>
      </c>
      <c r="V305" s="914">
        <v>1575.12451171875</v>
      </c>
      <c r="W305" s="914">
        <v>1593.87463378906</v>
      </c>
      <c r="X305" s="914">
        <v>1628.986328125</v>
      </c>
      <c r="Y305" s="914">
        <v>1666.54272460938</v>
      </c>
      <c r="Z305" s="914">
        <v>1682.08471679688</v>
      </c>
      <c r="AA305" s="306"/>
      <c r="AB305" s="306"/>
      <c r="AC305" s="306"/>
      <c r="AD305" s="306"/>
    </row>
    <row r="306" spans="1:30" x14ac:dyDescent="0.25">
      <c r="AA306" s="306"/>
      <c r="AB306" s="306"/>
      <c r="AC306" s="306"/>
      <c r="AD306" s="306"/>
    </row>
    <row r="307" spans="1:30" x14ac:dyDescent="0.25">
      <c r="AA307" s="306"/>
      <c r="AB307" s="306"/>
      <c r="AC307" s="306"/>
      <c r="AD307" s="306"/>
    </row>
    <row r="308" spans="1:30" x14ac:dyDescent="0.25">
      <c r="A308" s="912" t="s">
        <v>726</v>
      </c>
      <c r="AA308" s="306"/>
      <c r="AB308" s="306"/>
      <c r="AC308" s="306"/>
      <c r="AD308" s="306"/>
    </row>
    <row r="309" spans="1:30" x14ac:dyDescent="0.25">
      <c r="A309" s="912" t="s">
        <v>473</v>
      </c>
      <c r="AA309" s="306"/>
      <c r="AB309" s="306"/>
      <c r="AC309" s="306"/>
      <c r="AD309" s="306"/>
    </row>
    <row r="310" spans="1:30" x14ac:dyDescent="0.25">
      <c r="A310" s="912" t="s">
        <v>609</v>
      </c>
      <c r="B310" s="914">
        <v>23.2563285827637</v>
      </c>
      <c r="C310" s="914">
        <v>24.973464965820298</v>
      </c>
      <c r="D310" s="914">
        <v>29.096658706665</v>
      </c>
      <c r="E310" s="914">
        <v>22.194786071777301</v>
      </c>
      <c r="F310" s="914">
        <v>21.477947235107401</v>
      </c>
      <c r="G310" s="914">
        <v>24.1509113311768</v>
      </c>
      <c r="H310" s="914">
        <v>26.557428359985401</v>
      </c>
      <c r="I310" s="914">
        <v>28.936630249023398</v>
      </c>
      <c r="J310" s="914">
        <v>31.2247924804688</v>
      </c>
      <c r="K310" s="914">
        <v>33.758499145507798</v>
      </c>
      <c r="L310" s="914">
        <v>35.743316650390597</v>
      </c>
      <c r="M310" s="914">
        <v>37.599853515625</v>
      </c>
      <c r="N310" s="914">
        <v>39.552177429199197</v>
      </c>
      <c r="O310" s="914">
        <v>40.9905815124512</v>
      </c>
      <c r="P310" s="914">
        <v>42.334590911865199</v>
      </c>
      <c r="Q310" s="914">
        <v>43.7123832702637</v>
      </c>
      <c r="R310" s="914">
        <v>44.985881805419901</v>
      </c>
      <c r="S310" s="914">
        <v>46.523696899414098</v>
      </c>
      <c r="T310" s="914">
        <v>47.765018463134801</v>
      </c>
      <c r="U310" s="914">
        <v>48.143123626708999</v>
      </c>
      <c r="V310" s="914">
        <v>49.548942565917997</v>
      </c>
      <c r="W310" s="914">
        <v>50.986961364746101</v>
      </c>
      <c r="X310" s="914">
        <v>52.580905914306598</v>
      </c>
      <c r="Y310" s="914">
        <v>53.965934753417997</v>
      </c>
      <c r="Z310" s="914">
        <v>55.648300170898402</v>
      </c>
      <c r="AA310" s="306"/>
      <c r="AB310" s="306"/>
      <c r="AC310" s="306"/>
      <c r="AD310" s="306"/>
    </row>
    <row r="311" spans="1:30" x14ac:dyDescent="0.25">
      <c r="A311" s="912" t="s">
        <v>610</v>
      </c>
      <c r="B311" s="914">
        <v>17.979913711547901</v>
      </c>
      <c r="C311" s="914">
        <v>19.664405822753899</v>
      </c>
      <c r="D311" s="914">
        <v>24.466548919677699</v>
      </c>
      <c r="E311" s="914">
        <v>16.188474655151399</v>
      </c>
      <c r="F311" s="914">
        <v>13.8549404144287</v>
      </c>
      <c r="G311" s="914">
        <v>16.4927158355713</v>
      </c>
      <c r="H311" s="914">
        <v>18.5955104827881</v>
      </c>
      <c r="I311" s="914">
        <v>20.348911285400401</v>
      </c>
      <c r="J311" s="914">
        <v>22.1809597015381</v>
      </c>
      <c r="K311" s="914">
        <v>24.3712253570557</v>
      </c>
      <c r="L311" s="914">
        <v>25.9372863769531</v>
      </c>
      <c r="M311" s="914">
        <v>27.5034885406494</v>
      </c>
      <c r="N311" s="914">
        <v>29.0146675109863</v>
      </c>
      <c r="O311" s="914">
        <v>30.168525695800799</v>
      </c>
      <c r="P311" s="914">
        <v>31.2883205413818</v>
      </c>
      <c r="Q311" s="914">
        <v>32.275276184082003</v>
      </c>
      <c r="R311" s="914">
        <v>33.246475219726598</v>
      </c>
      <c r="S311" s="914">
        <v>34.4459838867188</v>
      </c>
      <c r="T311" s="914">
        <v>35.640113830566399</v>
      </c>
      <c r="U311" s="914">
        <v>35.882171630859403</v>
      </c>
      <c r="V311" s="914">
        <v>37.065284729003899</v>
      </c>
      <c r="W311" s="914">
        <v>38.310382843017599</v>
      </c>
      <c r="X311" s="914">
        <v>39.641868591308601</v>
      </c>
      <c r="Y311" s="914">
        <v>40.905982971191399</v>
      </c>
      <c r="Z311" s="914">
        <v>42.365245819091797</v>
      </c>
      <c r="AA311" s="306"/>
      <c r="AB311" s="306"/>
      <c r="AC311" s="306"/>
      <c r="AD311" s="306"/>
    </row>
    <row r="312" spans="1:30" x14ac:dyDescent="0.25">
      <c r="A312" s="912" t="s">
        <v>510</v>
      </c>
      <c r="B312" s="914">
        <v>13.3406887054443</v>
      </c>
      <c r="C312" s="914">
        <v>12.691158294677701</v>
      </c>
      <c r="D312" s="914">
        <v>13.2631158828735</v>
      </c>
      <c r="E312" s="914">
        <v>11.061133384704601</v>
      </c>
      <c r="F312" s="914">
        <v>11.614992141723601</v>
      </c>
      <c r="G312" s="914">
        <v>12.061012268066399</v>
      </c>
      <c r="H312" s="914">
        <v>12.1186227798462</v>
      </c>
      <c r="I312" s="914">
        <v>12.236530303955099</v>
      </c>
      <c r="J312" s="914">
        <v>12.476335525512701</v>
      </c>
      <c r="K312" s="914">
        <v>12.8177757263184</v>
      </c>
      <c r="L312" s="914">
        <v>13.333586692810099</v>
      </c>
      <c r="M312" s="914">
        <v>13.900782585144</v>
      </c>
      <c r="N312" s="914">
        <v>14.492022514343301</v>
      </c>
      <c r="O312" s="914">
        <v>15.1641521453857</v>
      </c>
      <c r="P312" s="914">
        <v>15.945101737976101</v>
      </c>
      <c r="Q312" s="914">
        <v>16.661958694458001</v>
      </c>
      <c r="R312" s="914">
        <v>17.186347961425799</v>
      </c>
      <c r="S312" s="914">
        <v>17.308622360229499</v>
      </c>
      <c r="T312" s="914">
        <v>17.6488857269287</v>
      </c>
      <c r="U312" s="914">
        <v>17.9868679046631</v>
      </c>
      <c r="V312" s="914">
        <v>18.635103225708001</v>
      </c>
      <c r="W312" s="914">
        <v>19.4500408172607</v>
      </c>
      <c r="X312" s="914">
        <v>20.3657627105713</v>
      </c>
      <c r="Y312" s="914">
        <v>21.1996364593506</v>
      </c>
      <c r="Z312" s="914">
        <v>22.095756530761701</v>
      </c>
      <c r="AA312" s="306"/>
      <c r="AB312" s="306"/>
      <c r="AC312" s="306"/>
      <c r="AD312" s="306"/>
    </row>
    <row r="313" spans="1:30" x14ac:dyDescent="0.25">
      <c r="A313" s="912" t="s">
        <v>479</v>
      </c>
      <c r="B313" s="914">
        <v>30.388185501098601</v>
      </c>
      <c r="C313" s="914">
        <v>31.181957244873001</v>
      </c>
      <c r="D313" s="914">
        <v>32.471218109130902</v>
      </c>
      <c r="E313" s="914">
        <v>31.722009658813501</v>
      </c>
      <c r="F313" s="914">
        <v>29.6958332061768</v>
      </c>
      <c r="G313" s="914">
        <v>31.365653991699201</v>
      </c>
      <c r="H313" s="914">
        <v>32.001548767089801</v>
      </c>
      <c r="I313" s="914">
        <v>32.924289703369098</v>
      </c>
      <c r="J313" s="914">
        <v>34.030689239502003</v>
      </c>
      <c r="K313" s="914">
        <v>34.890899658203097</v>
      </c>
      <c r="L313" s="914">
        <v>35.995761871337898</v>
      </c>
      <c r="M313" s="914">
        <v>37.227577209472699</v>
      </c>
      <c r="N313" s="914">
        <v>38.5026245117188</v>
      </c>
      <c r="O313" s="914">
        <v>39.672031402587898</v>
      </c>
      <c r="P313" s="914">
        <v>41.180412292480497</v>
      </c>
      <c r="Q313" s="914">
        <v>42.698352813720703</v>
      </c>
      <c r="R313" s="914">
        <v>44.053905487060497</v>
      </c>
      <c r="S313" s="914">
        <v>45.011627197265597</v>
      </c>
      <c r="T313" s="914">
        <v>46.023651123046903</v>
      </c>
      <c r="U313" s="914">
        <v>46.971866607666001</v>
      </c>
      <c r="V313" s="914">
        <v>48.032154083252003</v>
      </c>
      <c r="W313" s="914">
        <v>49.565544128417997</v>
      </c>
      <c r="X313" s="914">
        <v>51.240451812744098</v>
      </c>
      <c r="Y313" s="914">
        <v>52.949665069580099</v>
      </c>
      <c r="Z313" s="914">
        <v>54.583251953125</v>
      </c>
      <c r="AA313" s="306"/>
      <c r="AB313" s="306"/>
      <c r="AC313" s="306"/>
      <c r="AD313" s="306"/>
    </row>
    <row r="314" spans="1:30" x14ac:dyDescent="0.25">
      <c r="AA314" s="306"/>
      <c r="AB314" s="306"/>
      <c r="AC314" s="306"/>
      <c r="AD314" s="306"/>
    </row>
    <row r="315" spans="1:30" x14ac:dyDescent="0.25">
      <c r="A315" s="912" t="s">
        <v>480</v>
      </c>
      <c r="AA315" s="306"/>
      <c r="AB315" s="306"/>
      <c r="AC315" s="306"/>
      <c r="AD315" s="306"/>
    </row>
    <row r="316" spans="1:30" x14ac:dyDescent="0.25">
      <c r="A316" s="912" t="s">
        <v>609</v>
      </c>
      <c r="B316" s="914">
        <v>20.6414604187012</v>
      </c>
      <c r="C316" s="914">
        <v>23.041419982910199</v>
      </c>
      <c r="D316" s="914">
        <v>24.0578727722168</v>
      </c>
      <c r="E316" s="914">
        <v>21.6475944519043</v>
      </c>
      <c r="F316" s="914">
        <v>18.202018737793001</v>
      </c>
      <c r="G316" s="914">
        <v>20.8180141448975</v>
      </c>
      <c r="H316" s="914">
        <v>23.171899795532202</v>
      </c>
      <c r="I316" s="914">
        <v>25.4778232574463</v>
      </c>
      <c r="J316" s="914">
        <v>27.6801948547363</v>
      </c>
      <c r="K316" s="914">
        <v>30.122516632080099</v>
      </c>
      <c r="L316" s="914">
        <v>32.012001037597699</v>
      </c>
      <c r="M316" s="914">
        <v>33.770454406738303</v>
      </c>
      <c r="N316" s="914">
        <v>35.6212158203125</v>
      </c>
      <c r="O316" s="914">
        <v>36.9546508789063</v>
      </c>
      <c r="P316" s="914">
        <v>38.187240600585902</v>
      </c>
      <c r="Q316" s="914">
        <v>39.449775695800803</v>
      </c>
      <c r="R316" s="914">
        <v>40.605808258056598</v>
      </c>
      <c r="S316" s="914">
        <v>42.0293998718262</v>
      </c>
      <c r="T316" s="914">
        <v>43.160079956054702</v>
      </c>
      <c r="U316" s="914">
        <v>43.432140350341797</v>
      </c>
      <c r="V316" s="914">
        <v>44.7312202453613</v>
      </c>
      <c r="W316" s="914">
        <v>46.061283111572301</v>
      </c>
      <c r="X316" s="914">
        <v>47.542713165283203</v>
      </c>
      <c r="Y316" s="914">
        <v>48.814918518066399</v>
      </c>
      <c r="Z316" s="914">
        <v>50.382663726806598</v>
      </c>
      <c r="AA316" s="306"/>
      <c r="AB316" s="306"/>
      <c r="AC316" s="306"/>
      <c r="AD316" s="306"/>
    </row>
    <row r="317" spans="1:30" x14ac:dyDescent="0.25">
      <c r="A317" s="912" t="s">
        <v>610</v>
      </c>
      <c r="B317" s="914">
        <v>14.625953674316399</v>
      </c>
      <c r="C317" s="914">
        <v>16.054100036621101</v>
      </c>
      <c r="D317" s="914">
        <v>21.4175109863281</v>
      </c>
      <c r="E317" s="914">
        <v>14.1806936264038</v>
      </c>
      <c r="F317" s="914">
        <v>11.1656141281128</v>
      </c>
      <c r="G317" s="914">
        <v>13.940697669982899</v>
      </c>
      <c r="H317" s="914">
        <v>16.055301666259801</v>
      </c>
      <c r="I317" s="914">
        <v>18.2004089355469</v>
      </c>
      <c r="J317" s="914">
        <v>20.072311401367202</v>
      </c>
      <c r="K317" s="914">
        <v>21.922914505004901</v>
      </c>
      <c r="L317" s="914">
        <v>23.436100006103501</v>
      </c>
      <c r="M317" s="914">
        <v>24.993484497070298</v>
      </c>
      <c r="N317" s="914">
        <v>26.4673175811768</v>
      </c>
      <c r="O317" s="914">
        <v>27.614213943481399</v>
      </c>
      <c r="P317" s="914">
        <v>28.7058811187744</v>
      </c>
      <c r="Q317" s="914">
        <v>29.4854850769043</v>
      </c>
      <c r="R317" s="914">
        <v>30.5256862640381</v>
      </c>
      <c r="S317" s="914">
        <v>31.597146987915</v>
      </c>
      <c r="T317" s="914">
        <v>32.548923492431598</v>
      </c>
      <c r="U317" s="914">
        <v>32.997859954833999</v>
      </c>
      <c r="V317" s="914">
        <v>34.165657043457003</v>
      </c>
      <c r="W317" s="914">
        <v>35.000114440917997</v>
      </c>
      <c r="X317" s="914">
        <v>36.3691596984863</v>
      </c>
      <c r="Y317" s="914">
        <v>37.943679809570298</v>
      </c>
      <c r="Z317" s="914">
        <v>39.006439208984403</v>
      </c>
      <c r="AA317" s="306"/>
      <c r="AB317" s="306"/>
      <c r="AC317" s="306"/>
      <c r="AD317" s="306"/>
    </row>
    <row r="318" spans="1:30" x14ac:dyDescent="0.25">
      <c r="A318" s="912" t="s">
        <v>723</v>
      </c>
      <c r="B318" s="914">
        <v>8.64862155914307</v>
      </c>
      <c r="C318" s="914">
        <v>10.3074436187744</v>
      </c>
      <c r="D318" s="914">
        <v>13.7067270278931</v>
      </c>
      <c r="E318" s="914">
        <v>6.9139137268066397</v>
      </c>
      <c r="F318" s="914">
        <v>6.0204734802246103</v>
      </c>
      <c r="G318" s="914">
        <v>9.0269355773925799</v>
      </c>
      <c r="H318" s="914">
        <v>10.767860412597701</v>
      </c>
      <c r="I318" s="914">
        <v>12.611166954040501</v>
      </c>
      <c r="J318" s="914">
        <v>14.3083610534668</v>
      </c>
      <c r="K318" s="914">
        <v>16.269037246704102</v>
      </c>
      <c r="L318" s="914">
        <v>17.569841384887699</v>
      </c>
      <c r="M318" s="914">
        <v>18.511304855346701</v>
      </c>
      <c r="N318" s="914">
        <v>19.7891235351563</v>
      </c>
      <c r="O318" s="914">
        <v>20.573390960693398</v>
      </c>
      <c r="P318" s="914">
        <v>21.404872894287099</v>
      </c>
      <c r="Q318" s="914">
        <v>22.193275451660199</v>
      </c>
      <c r="R318" s="914">
        <v>22.9593410491943</v>
      </c>
      <c r="S318" s="914">
        <v>23.7928276062012</v>
      </c>
      <c r="T318" s="914">
        <v>24.398706436157202</v>
      </c>
      <c r="U318" s="914">
        <v>24.292516708373999</v>
      </c>
      <c r="V318" s="914">
        <v>25.0136394500732</v>
      </c>
      <c r="W318" s="914">
        <v>25.751762390136701</v>
      </c>
      <c r="X318" s="914">
        <v>26.606601715087901</v>
      </c>
      <c r="Y318" s="914">
        <v>27.4516487121582</v>
      </c>
      <c r="Z318" s="914">
        <v>28.286119461059599</v>
      </c>
      <c r="AA318" s="306"/>
      <c r="AB318" s="306"/>
      <c r="AC318" s="306"/>
      <c r="AD318" s="306"/>
    </row>
    <row r="319" spans="1:30" x14ac:dyDescent="0.25">
      <c r="A319" s="912" t="s">
        <v>510</v>
      </c>
      <c r="B319" s="914">
        <v>11.5840444564819</v>
      </c>
      <c r="C319" s="914">
        <v>10.9898433685303</v>
      </c>
      <c r="D319" s="914">
        <v>11.588038444519</v>
      </c>
      <c r="E319" s="914">
        <v>9.1930990219116193</v>
      </c>
      <c r="F319" s="914">
        <v>9.8226709365844709</v>
      </c>
      <c r="G319" s="914">
        <v>10.233100891113301</v>
      </c>
      <c r="H319" s="914">
        <v>10.334647178649901</v>
      </c>
      <c r="I319" s="914">
        <v>10.4663095474243</v>
      </c>
      <c r="J319" s="914">
        <v>10.734943389892599</v>
      </c>
      <c r="K319" s="914">
        <v>11.106437683105501</v>
      </c>
      <c r="L319" s="914">
        <v>11.600093841552701</v>
      </c>
      <c r="M319" s="914">
        <v>12.1229543685913</v>
      </c>
      <c r="N319" s="914">
        <v>12.6781578063965</v>
      </c>
      <c r="O319" s="914">
        <v>13.3144483566284</v>
      </c>
      <c r="P319" s="914">
        <v>14.069993019104</v>
      </c>
      <c r="Q319" s="914">
        <v>14.7329454421997</v>
      </c>
      <c r="R319" s="914">
        <v>15.223674774169901</v>
      </c>
      <c r="S319" s="914">
        <v>15.329276084899901</v>
      </c>
      <c r="T319" s="914">
        <v>15.6546773910522</v>
      </c>
      <c r="U319" s="914">
        <v>15.9318437576294</v>
      </c>
      <c r="V319" s="914">
        <v>16.5416469573975</v>
      </c>
      <c r="W319" s="914">
        <v>17.316057205200199</v>
      </c>
      <c r="X319" s="914">
        <v>18.194717407226602</v>
      </c>
      <c r="Y319" s="914">
        <v>18.967941284179702</v>
      </c>
      <c r="Z319" s="914">
        <v>19.811794281005898</v>
      </c>
      <c r="AA319" s="306"/>
      <c r="AB319" s="306"/>
      <c r="AC319" s="306"/>
      <c r="AD319" s="306"/>
    </row>
    <row r="320" spans="1:30" x14ac:dyDescent="0.25">
      <c r="A320" s="912" t="s">
        <v>479</v>
      </c>
      <c r="B320" s="914">
        <v>27.631908416748001</v>
      </c>
      <c r="C320" s="914">
        <v>28.029735565185501</v>
      </c>
      <c r="D320" s="914">
        <v>29.6960258483887</v>
      </c>
      <c r="E320" s="914">
        <v>28.491619110107401</v>
      </c>
      <c r="F320" s="914">
        <v>25.7724418640137</v>
      </c>
      <c r="G320" s="914">
        <v>26.858903884887699</v>
      </c>
      <c r="H320" s="914">
        <v>27.045906066894499</v>
      </c>
      <c r="I320" s="914">
        <v>27.5620422363281</v>
      </c>
      <c r="J320" s="914">
        <v>28.370775222778299</v>
      </c>
      <c r="K320" s="914">
        <v>29.106733322143601</v>
      </c>
      <c r="L320" s="914">
        <v>30.1617736816406</v>
      </c>
      <c r="M320" s="914">
        <v>31.290737152099599</v>
      </c>
      <c r="N320" s="914">
        <v>32.536418914794901</v>
      </c>
      <c r="O320" s="914">
        <v>33.661582946777301</v>
      </c>
      <c r="P320" s="914">
        <v>35.072307586669901</v>
      </c>
      <c r="Q320" s="914">
        <v>36.4632377624512</v>
      </c>
      <c r="R320" s="914">
        <v>37.713531494140597</v>
      </c>
      <c r="S320" s="914">
        <v>38.535266876220703</v>
      </c>
      <c r="T320" s="914">
        <v>39.429233551025398</v>
      </c>
      <c r="U320" s="914">
        <v>40.172752380371101</v>
      </c>
      <c r="V320" s="914">
        <v>41.0662841796875</v>
      </c>
      <c r="W320" s="914">
        <v>42.386928558349602</v>
      </c>
      <c r="X320" s="914">
        <v>43.920989990234403</v>
      </c>
      <c r="Y320" s="914">
        <v>45.4139213562012</v>
      </c>
      <c r="Z320" s="914">
        <v>46.925571441650398</v>
      </c>
      <c r="AA320" s="306"/>
      <c r="AB320" s="306"/>
      <c r="AC320" s="306"/>
      <c r="AD320" s="306"/>
    </row>
    <row r="321" spans="1:30" x14ac:dyDescent="0.25">
      <c r="AA321" s="306"/>
      <c r="AB321" s="306"/>
      <c r="AC321" s="306"/>
      <c r="AD321" s="306"/>
    </row>
    <row r="322" spans="1:30" x14ac:dyDescent="0.25">
      <c r="A322" s="912" t="s">
        <v>612</v>
      </c>
      <c r="AA322" s="306"/>
      <c r="AB322" s="306"/>
      <c r="AC322" s="306"/>
      <c r="AD322" s="306"/>
    </row>
    <row r="323" spans="1:30" x14ac:dyDescent="0.25">
      <c r="A323" s="912" t="s">
        <v>609</v>
      </c>
      <c r="B323" s="914">
        <v>20.489143371581999</v>
      </c>
      <c r="C323" s="914">
        <v>23.3795166015625</v>
      </c>
      <c r="D323" s="914">
        <v>27.232301712036101</v>
      </c>
      <c r="E323" s="914">
        <v>22.957033157348601</v>
      </c>
      <c r="F323" s="914">
        <v>17.265552520751999</v>
      </c>
      <c r="G323" s="914">
        <v>19.8652458190918</v>
      </c>
      <c r="H323" s="914">
        <v>22.207704544067401</v>
      </c>
      <c r="I323" s="914">
        <v>24.495702743530298</v>
      </c>
      <c r="J323" s="914">
        <v>26.6714878082275</v>
      </c>
      <c r="K323" s="914">
        <v>29.0830192565918</v>
      </c>
      <c r="L323" s="914">
        <v>30.951156616210898</v>
      </c>
      <c r="M323" s="914">
        <v>32.690711975097699</v>
      </c>
      <c r="N323" s="914">
        <v>34.514808654785199</v>
      </c>
      <c r="O323" s="914">
        <v>35.846107482910199</v>
      </c>
      <c r="P323" s="914">
        <v>37.040077209472699</v>
      </c>
      <c r="Q323" s="914">
        <v>38.301750183105497</v>
      </c>
      <c r="R323" s="914">
        <v>39.421558380127003</v>
      </c>
      <c r="S323" s="914">
        <v>40.814861297607401</v>
      </c>
      <c r="T323" s="914">
        <v>41.884078979492202</v>
      </c>
      <c r="U323" s="914">
        <v>42.155609130859403</v>
      </c>
      <c r="V323" s="914">
        <v>43.402267456054702</v>
      </c>
      <c r="W323" s="914">
        <v>44.705905914306598</v>
      </c>
      <c r="X323" s="914">
        <v>46.153343200683601</v>
      </c>
      <c r="Y323" s="914">
        <v>47.236614227294901</v>
      </c>
      <c r="Z323" s="914">
        <v>48.820529937744098</v>
      </c>
      <c r="AA323" s="306"/>
      <c r="AB323" s="306"/>
      <c r="AC323" s="306"/>
      <c r="AD323" s="306"/>
    </row>
    <row r="324" spans="1:30" x14ac:dyDescent="0.25">
      <c r="A324" s="912" t="s">
        <v>610</v>
      </c>
      <c r="B324" s="914">
        <v>15.3226671218872</v>
      </c>
      <c r="C324" s="914">
        <v>16.8219394683838</v>
      </c>
      <c r="D324" s="914">
        <v>22.4200763702393</v>
      </c>
      <c r="E324" s="914">
        <v>14.749831199646</v>
      </c>
      <c r="F324" s="914">
        <v>11.025536537170399</v>
      </c>
      <c r="G324" s="914">
        <v>14.0721025466919</v>
      </c>
      <c r="H324" s="914">
        <v>16.2283020019531</v>
      </c>
      <c r="I324" s="914">
        <v>18.6841716766357</v>
      </c>
      <c r="J324" s="914">
        <v>20.619239807128899</v>
      </c>
      <c r="K324" s="914">
        <v>22.302150726318398</v>
      </c>
      <c r="L324" s="914">
        <v>23.831027984619102</v>
      </c>
      <c r="M324" s="914">
        <v>25.434989929199201</v>
      </c>
      <c r="N324" s="914">
        <v>26.940843582153299</v>
      </c>
      <c r="O324" s="914">
        <v>28.1489963531494</v>
      </c>
      <c r="P324" s="914">
        <v>29.2844352722168</v>
      </c>
      <c r="Q324" s="914">
        <v>29.987220764160199</v>
      </c>
      <c r="R324" s="914">
        <v>31.1475830078125</v>
      </c>
      <c r="S324" s="914">
        <v>32.191192626953097</v>
      </c>
      <c r="T324" s="914">
        <v>33.043167114257798</v>
      </c>
      <c r="U324" s="914">
        <v>33.6753120422363</v>
      </c>
      <c r="V324" s="914">
        <v>34.892765045166001</v>
      </c>
      <c r="W324" s="914">
        <v>35.508182525634801</v>
      </c>
      <c r="X324" s="914">
        <v>36.966400146484403</v>
      </c>
      <c r="Y324" s="914">
        <v>38.821296691894503</v>
      </c>
      <c r="Z324" s="914">
        <v>39.679729461669901</v>
      </c>
      <c r="AA324" s="306"/>
      <c r="AB324" s="306"/>
      <c r="AC324" s="306"/>
      <c r="AD324" s="306"/>
    </row>
    <row r="325" spans="1:30" x14ac:dyDescent="0.25">
      <c r="A325" s="912" t="s">
        <v>611</v>
      </c>
      <c r="B325" s="914">
        <v>8.9709205627441406</v>
      </c>
      <c r="C325" s="914">
        <v>10.5954837799072</v>
      </c>
      <c r="D325" s="914">
        <v>14.049506187439</v>
      </c>
      <c r="E325" s="914">
        <v>7.1343002319335902</v>
      </c>
      <c r="F325" s="914">
        <v>10.215766906738301</v>
      </c>
      <c r="G325" s="914">
        <v>12.8617763519287</v>
      </c>
      <c r="H325" s="914">
        <v>14.814771652221699</v>
      </c>
      <c r="I325" s="914">
        <v>16.696189880371101</v>
      </c>
      <c r="J325" s="914">
        <v>18.396284103393601</v>
      </c>
      <c r="K325" s="914">
        <v>20.378862380981399</v>
      </c>
      <c r="L325" s="914">
        <v>21.7460041046143</v>
      </c>
      <c r="M325" s="914">
        <v>22.969861984252901</v>
      </c>
      <c r="N325" s="914">
        <v>24.3396511077881</v>
      </c>
      <c r="O325" s="914">
        <v>25.3345756530762</v>
      </c>
      <c r="P325" s="914">
        <v>26.3205471038818</v>
      </c>
      <c r="Q325" s="914">
        <v>27.310920715331999</v>
      </c>
      <c r="R325" s="914">
        <v>28.174968719482401</v>
      </c>
      <c r="S325" s="914">
        <v>29.129919052123999</v>
      </c>
      <c r="T325" s="914">
        <v>29.910713195800799</v>
      </c>
      <c r="U325" s="914">
        <v>30.004579544067401</v>
      </c>
      <c r="V325" s="914">
        <v>30.867444992065401</v>
      </c>
      <c r="W325" s="914">
        <v>31.741449356079102</v>
      </c>
      <c r="X325" s="914">
        <v>32.901214599609403</v>
      </c>
      <c r="Y325" s="914">
        <v>33.791465759277301</v>
      </c>
      <c r="Z325" s="914">
        <v>34.9404487609863</v>
      </c>
      <c r="AA325" s="306"/>
      <c r="AB325" s="306"/>
      <c r="AC325" s="306"/>
      <c r="AD325" s="306"/>
    </row>
    <row r="326" spans="1:30" x14ac:dyDescent="0.25">
      <c r="A326" s="912" t="s">
        <v>613</v>
      </c>
      <c r="B326" s="914">
        <v>7.7454247474670401</v>
      </c>
      <c r="C326" s="914">
        <v>7.5152516365051296</v>
      </c>
      <c r="D326" s="914">
        <v>8.9947338104247994</v>
      </c>
      <c r="E326" s="914">
        <v>5.0039734840393102</v>
      </c>
      <c r="F326" s="914">
        <v>5.7063522338867196</v>
      </c>
      <c r="G326" s="914">
        <v>6.1171517372131303</v>
      </c>
      <c r="H326" s="914">
        <v>6.2487673759460396</v>
      </c>
      <c r="I326" s="914">
        <v>6.4428400993347203</v>
      </c>
      <c r="J326" s="914">
        <v>6.7520828247070304</v>
      </c>
      <c r="K326" s="914">
        <v>7.1508984565734899</v>
      </c>
      <c r="L326" s="914">
        <v>7.5258989334106401</v>
      </c>
      <c r="M326" s="914">
        <v>7.9240221977233896</v>
      </c>
      <c r="N326" s="914">
        <v>8.3488731384277308</v>
      </c>
      <c r="O326" s="914">
        <v>8.8619937896728498</v>
      </c>
      <c r="P326" s="914">
        <v>9.4837093353271502</v>
      </c>
      <c r="Q326" s="914">
        <v>9.9987487792968803</v>
      </c>
      <c r="R326" s="914">
        <v>10.352954864501999</v>
      </c>
      <c r="S326" s="914">
        <v>10.3336448669434</v>
      </c>
      <c r="T326" s="914">
        <v>10.549848556518601</v>
      </c>
      <c r="U326" s="914">
        <v>10.6489877700806</v>
      </c>
      <c r="V326" s="914">
        <v>11.076291084289601</v>
      </c>
      <c r="W326" s="914">
        <v>11.6912574768066</v>
      </c>
      <c r="X326" s="914">
        <v>12.4464559555054</v>
      </c>
      <c r="Y326" s="914">
        <v>13.0579080581665</v>
      </c>
      <c r="Z326" s="914">
        <v>13.758059501647899</v>
      </c>
      <c r="AA326" s="306"/>
      <c r="AB326" s="306"/>
      <c r="AC326" s="306"/>
      <c r="AD326" s="306"/>
    </row>
    <row r="327" spans="1:30" x14ac:dyDescent="0.25">
      <c r="A327" s="912" t="s">
        <v>614</v>
      </c>
      <c r="B327" s="914">
        <v>3.53999996185303</v>
      </c>
      <c r="C327" s="914">
        <v>3.6099998950958301</v>
      </c>
      <c r="D327" s="914">
        <v>4.1449666023254403</v>
      </c>
      <c r="E327" s="914">
        <v>4.1784791946411097</v>
      </c>
      <c r="F327" s="914">
        <v>4.1485314369201696</v>
      </c>
      <c r="G327" s="914">
        <v>4.3175525665283203</v>
      </c>
      <c r="H327" s="914">
        <v>4.44484186172485</v>
      </c>
      <c r="I327" s="914">
        <v>4.5821456909179696</v>
      </c>
      <c r="J327" s="914">
        <v>4.7206311225891104</v>
      </c>
      <c r="K327" s="914">
        <v>4.8563599586486799</v>
      </c>
      <c r="L327" s="914">
        <v>4.9913563728332502</v>
      </c>
      <c r="M327" s="914">
        <v>5.1233406066894496</v>
      </c>
      <c r="N327" s="914">
        <v>5.2680139541626003</v>
      </c>
      <c r="O327" s="914">
        <v>5.4137320518493697</v>
      </c>
      <c r="P327" s="914">
        <v>5.5743689537048304</v>
      </c>
      <c r="Q327" s="914">
        <v>5.7906579971313503</v>
      </c>
      <c r="R327" s="914">
        <v>6.0209679603576696</v>
      </c>
      <c r="S327" s="914">
        <v>6.20045709609985</v>
      </c>
      <c r="T327" s="914">
        <v>6.3775997161865199</v>
      </c>
      <c r="U327" s="914">
        <v>6.5161404609680202</v>
      </c>
      <c r="V327" s="914">
        <v>6.6299972534179696</v>
      </c>
      <c r="W327" s="914">
        <v>6.7667918205261204</v>
      </c>
      <c r="X327" s="914">
        <v>6.88553714752197</v>
      </c>
      <c r="Y327" s="914">
        <v>6.9704546928405797</v>
      </c>
      <c r="Z327" s="914">
        <v>7.0137753486633301</v>
      </c>
    </row>
    <row r="328" spans="1:30" x14ac:dyDescent="0.25">
      <c r="A328" s="912" t="s">
        <v>615</v>
      </c>
      <c r="B328" s="914">
        <v>2.3399634361267099</v>
      </c>
      <c r="C328" s="914">
        <v>2.4299483299255402</v>
      </c>
      <c r="D328" s="914">
        <v>2.5979068279266402</v>
      </c>
      <c r="E328" s="914">
        <v>2.52754878997803</v>
      </c>
      <c r="F328" s="914">
        <v>2.4808654785156299</v>
      </c>
      <c r="G328" s="914">
        <v>2.6002757549285902</v>
      </c>
      <c r="H328" s="914">
        <v>2.6509947776794398</v>
      </c>
      <c r="I328" s="914">
        <v>2.73208808898926</v>
      </c>
      <c r="J328" s="914">
        <v>2.8122007846832302</v>
      </c>
      <c r="K328" s="914">
        <v>2.8687095642089799</v>
      </c>
      <c r="L328" s="914">
        <v>2.94158983230591</v>
      </c>
      <c r="M328" s="914">
        <v>3.0178208351135298</v>
      </c>
      <c r="N328" s="914">
        <v>3.1028199195861799</v>
      </c>
      <c r="O328" s="914">
        <v>3.17316722869873</v>
      </c>
      <c r="P328" s="914">
        <v>3.2616541385650599</v>
      </c>
      <c r="Q328" s="914">
        <v>3.3479356765747101</v>
      </c>
      <c r="R328" s="914">
        <v>3.4371068477630602</v>
      </c>
      <c r="S328" s="914">
        <v>3.5193088054657</v>
      </c>
      <c r="T328" s="914">
        <v>3.6053638458252002</v>
      </c>
      <c r="U328" s="914">
        <v>3.6816923618316699</v>
      </c>
      <c r="V328" s="914">
        <v>3.7800858020782502</v>
      </c>
      <c r="W328" s="914">
        <v>3.88063645362854</v>
      </c>
      <c r="X328" s="914">
        <v>3.98858737945557</v>
      </c>
      <c r="Y328" s="914">
        <v>4.1003923416137704</v>
      </c>
      <c r="Z328" s="914">
        <v>4.2166938781738299</v>
      </c>
    </row>
    <row r="329" spans="1:30" x14ac:dyDescent="0.25">
      <c r="A329" s="912" t="s">
        <v>616</v>
      </c>
      <c r="B329" s="914">
        <v>0</v>
      </c>
      <c r="C329" s="914">
        <v>0</v>
      </c>
      <c r="D329" s="914">
        <v>0</v>
      </c>
      <c r="E329" s="914">
        <v>0</v>
      </c>
      <c r="F329" s="914">
        <v>0</v>
      </c>
      <c r="G329" s="914">
        <v>1.5889266729354901</v>
      </c>
      <c r="H329" s="914">
        <v>1.46094393730164</v>
      </c>
      <c r="I329" s="914">
        <v>1.28843116760254</v>
      </c>
      <c r="J329" s="914">
        <v>1.5101318359375</v>
      </c>
      <c r="K329" s="914">
        <v>1.50810551643372</v>
      </c>
      <c r="L329" s="914">
        <v>1.5213859081268299</v>
      </c>
      <c r="M329" s="914">
        <v>1.53951179981232</v>
      </c>
      <c r="N329" s="914">
        <v>1.58338570594788</v>
      </c>
      <c r="O329" s="914">
        <v>1.63723039627075</v>
      </c>
      <c r="P329" s="914">
        <v>1.71289122104645</v>
      </c>
      <c r="Q329" s="914">
        <v>1.76114201545715</v>
      </c>
      <c r="R329" s="914">
        <v>1.8119050264358501</v>
      </c>
      <c r="S329" s="914">
        <v>1.8629466295242301</v>
      </c>
      <c r="T329" s="914">
        <v>1.9169825315475499</v>
      </c>
      <c r="U329" s="914">
        <v>1.9466364383697501</v>
      </c>
      <c r="V329" s="914">
        <v>1.9911848306655899</v>
      </c>
      <c r="W329" s="914">
        <v>2.0416746139526398</v>
      </c>
      <c r="X329" s="914">
        <v>2.09020328521729</v>
      </c>
      <c r="Y329" s="914">
        <v>2.1373581886291499</v>
      </c>
      <c r="Z329" s="914">
        <v>2.1847438812255899</v>
      </c>
    </row>
    <row r="330" spans="1:30" x14ac:dyDescent="0.25">
      <c r="A330" s="912" t="s">
        <v>479</v>
      </c>
      <c r="B330" s="914">
        <v>17.918214797973601</v>
      </c>
      <c r="C330" s="914">
        <v>18.6226921081543</v>
      </c>
      <c r="D330" s="914">
        <v>20.7813816070557</v>
      </c>
      <c r="E330" s="914">
        <v>19.773582458496101</v>
      </c>
      <c r="F330" s="914">
        <v>17.462970733642599</v>
      </c>
      <c r="G330" s="914">
        <v>18.126573562622099</v>
      </c>
      <c r="H330" s="914">
        <v>18.238889694213899</v>
      </c>
      <c r="I330" s="914">
        <v>18.4867153167725</v>
      </c>
      <c r="J330" s="914">
        <v>19.006654739379901</v>
      </c>
      <c r="K330" s="914">
        <v>19.565620422363299</v>
      </c>
      <c r="L330" s="914">
        <v>20.355871200561499</v>
      </c>
      <c r="M330" s="914">
        <v>21.173530578613299</v>
      </c>
      <c r="N330" s="914">
        <v>22.037576675415</v>
      </c>
      <c r="O330" s="914">
        <v>22.867145538330099</v>
      </c>
      <c r="P330" s="914">
        <v>23.876249313354499</v>
      </c>
      <c r="Q330" s="914">
        <v>24.851699829101602</v>
      </c>
      <c r="R330" s="914">
        <v>25.777753829956101</v>
      </c>
      <c r="S330" s="914">
        <v>26.392097473144499</v>
      </c>
      <c r="T330" s="914">
        <v>27.017583847045898</v>
      </c>
      <c r="U330" s="914">
        <v>27.588447570800799</v>
      </c>
      <c r="V330" s="914">
        <v>28.206142425537099</v>
      </c>
      <c r="W330" s="914">
        <v>29.1773777008057</v>
      </c>
      <c r="X330" s="914">
        <v>30.336851119995099</v>
      </c>
      <c r="Y330" s="914">
        <v>31.4674072265625</v>
      </c>
      <c r="Z330" s="914">
        <v>32.538986206054702</v>
      </c>
    </row>
    <row r="332" spans="1:30" x14ac:dyDescent="0.25">
      <c r="A332" s="912" t="s">
        <v>487</v>
      </c>
    </row>
    <row r="333" spans="1:30" x14ac:dyDescent="0.25">
      <c r="A333" s="912" t="s">
        <v>617</v>
      </c>
      <c r="B333" s="914">
        <v>21.711509704589801</v>
      </c>
      <c r="C333" s="914">
        <v>25.0072345733643</v>
      </c>
      <c r="D333" s="914">
        <v>29.391622543335</v>
      </c>
      <c r="E333" s="914">
        <v>22.380046844482401</v>
      </c>
      <c r="F333" s="914">
        <v>21.3089294433594</v>
      </c>
      <c r="G333" s="914">
        <v>23.935417175293001</v>
      </c>
      <c r="H333" s="914">
        <v>26.369024276733398</v>
      </c>
      <c r="I333" s="914">
        <v>28.752412796020501</v>
      </c>
      <c r="J333" s="914">
        <v>31.0282287597656</v>
      </c>
      <c r="K333" s="914">
        <v>33.547065734863303</v>
      </c>
      <c r="L333" s="914">
        <v>35.514869689941399</v>
      </c>
      <c r="M333" s="914">
        <v>37.352748870849602</v>
      </c>
      <c r="N333" s="914">
        <v>39.287044525146499</v>
      </c>
      <c r="O333" s="914">
        <v>40.7039604187012</v>
      </c>
      <c r="P333" s="914">
        <v>42.024444580078097</v>
      </c>
      <c r="Q333" s="914">
        <v>43.379894256591797</v>
      </c>
      <c r="R333" s="914">
        <v>44.630382537841797</v>
      </c>
      <c r="S333" s="914">
        <v>46.145259857177699</v>
      </c>
      <c r="T333" s="914">
        <v>47.363857269287102</v>
      </c>
      <c r="U333" s="914">
        <v>47.7197074890137</v>
      </c>
      <c r="V333" s="914">
        <v>49.102500915527301</v>
      </c>
      <c r="W333" s="914">
        <v>50.517303466796903</v>
      </c>
      <c r="X333" s="914">
        <v>52.086456298828097</v>
      </c>
      <c r="Y333" s="914">
        <v>53.442653656005902</v>
      </c>
      <c r="Z333" s="914">
        <v>55.104091644287102</v>
      </c>
    </row>
    <row r="334" spans="1:30" x14ac:dyDescent="0.25">
      <c r="A334" s="912" t="s">
        <v>618</v>
      </c>
      <c r="B334" s="914">
        <v>24.84494972229</v>
      </c>
      <c r="C334" s="914">
        <v>26.818180084228501</v>
      </c>
      <c r="D334" s="914">
        <v>34.822681427002003</v>
      </c>
      <c r="E334" s="914">
        <v>21.049989700317401</v>
      </c>
      <c r="F334" s="914">
        <v>19.580844879150401</v>
      </c>
      <c r="G334" s="914">
        <v>23.622909545898398</v>
      </c>
      <c r="H334" s="914">
        <v>25.881950378418001</v>
      </c>
      <c r="I334" s="914">
        <v>28.009447097778299</v>
      </c>
      <c r="J334" s="914">
        <v>30.2537937164307</v>
      </c>
      <c r="K334" s="914">
        <v>28.866632461547901</v>
      </c>
      <c r="L334" s="914">
        <v>30.4276523590088</v>
      </c>
      <c r="M334" s="914">
        <v>31.969417572021499</v>
      </c>
      <c r="N334" s="914">
        <v>32.765193939208999</v>
      </c>
      <c r="O334" s="914">
        <v>35.757926940917997</v>
      </c>
      <c r="P334" s="914">
        <v>37.577915191650398</v>
      </c>
      <c r="Q334" s="914">
        <v>38.662086486816399</v>
      </c>
      <c r="R334" s="914">
        <v>39.8419189453125</v>
      </c>
      <c r="S334" s="914">
        <v>41.092353820800803</v>
      </c>
      <c r="T334" s="914">
        <v>42.114028930664098</v>
      </c>
      <c r="U334" s="914">
        <v>42.893341064453097</v>
      </c>
      <c r="V334" s="914">
        <v>44.2104301452637</v>
      </c>
      <c r="W334" s="914">
        <v>44.896373748779297</v>
      </c>
      <c r="X334" s="914">
        <v>46.4299926757813</v>
      </c>
      <c r="Y334" s="914">
        <v>48.419319152832003</v>
      </c>
      <c r="Z334" s="914">
        <v>48.957271575927699</v>
      </c>
    </row>
    <row r="335" spans="1:30" x14ac:dyDescent="0.25">
      <c r="A335" s="912" t="s">
        <v>619</v>
      </c>
      <c r="B335" s="914">
        <v>21.213121414184599</v>
      </c>
      <c r="C335" s="914">
        <v>22.982162475585898</v>
      </c>
      <c r="D335" s="914">
        <v>26.749811172485401</v>
      </c>
      <c r="E335" s="914">
        <v>16.175968170166001</v>
      </c>
      <c r="F335" s="914">
        <v>18.381326675415</v>
      </c>
      <c r="G335" s="914">
        <v>21.693702697753899</v>
      </c>
      <c r="H335" s="914">
        <v>23.709007263183601</v>
      </c>
      <c r="I335" s="914">
        <v>25.449525833129901</v>
      </c>
      <c r="J335" s="914">
        <v>27.424634933471701</v>
      </c>
      <c r="K335" s="914">
        <v>29.529468536376999</v>
      </c>
      <c r="L335" s="914">
        <v>31.27219581604</v>
      </c>
      <c r="M335" s="914">
        <v>33.093906402587898</v>
      </c>
      <c r="N335" s="914">
        <v>34.856166839599602</v>
      </c>
      <c r="O335" s="914">
        <v>36.438858032226598</v>
      </c>
      <c r="P335" s="914">
        <v>38.015861511230497</v>
      </c>
      <c r="Q335" s="914">
        <v>39.139541625976598</v>
      </c>
      <c r="R335" s="914">
        <v>40.478176116943402</v>
      </c>
      <c r="S335" s="914">
        <v>41.691452026367202</v>
      </c>
      <c r="T335" s="914">
        <v>42.679801940917997</v>
      </c>
      <c r="U335" s="914">
        <v>43.464977264404297</v>
      </c>
      <c r="V335" s="914">
        <v>44.780059814453097</v>
      </c>
      <c r="W335" s="914">
        <v>45.673988342285199</v>
      </c>
      <c r="X335" s="914">
        <v>47.254981994628899</v>
      </c>
      <c r="Y335" s="914">
        <v>49.557445526122997</v>
      </c>
      <c r="Z335" s="914">
        <v>49.9830131530762</v>
      </c>
    </row>
    <row r="336" spans="1:30" x14ac:dyDescent="0.25">
      <c r="A336" s="912" t="s">
        <v>620</v>
      </c>
      <c r="B336" s="914">
        <v>14.844763755798301</v>
      </c>
      <c r="C336" s="914">
        <v>16.0964660644531</v>
      </c>
      <c r="D336" s="914">
        <v>22.673322677612301</v>
      </c>
      <c r="E336" s="914">
        <v>10.878761291503899</v>
      </c>
      <c r="F336" s="914">
        <v>10.805939674377401</v>
      </c>
      <c r="G336" s="914">
        <v>13.641165733337401</v>
      </c>
      <c r="H336" s="914">
        <v>15.7883806228638</v>
      </c>
      <c r="I336" s="914">
        <v>17.847295761108398</v>
      </c>
      <c r="J336" s="914">
        <v>19.768560409545898</v>
      </c>
      <c r="K336" s="914">
        <v>21.6021404266357</v>
      </c>
      <c r="L336" s="914">
        <v>23.1407794952393</v>
      </c>
      <c r="M336" s="914">
        <v>24.738756179809599</v>
      </c>
      <c r="N336" s="914">
        <v>26.200944900512699</v>
      </c>
      <c r="O336" s="914">
        <v>27.323936462402301</v>
      </c>
      <c r="P336" s="914">
        <v>28.3911018371582</v>
      </c>
      <c r="Q336" s="914">
        <v>29.343944549560501</v>
      </c>
      <c r="R336" s="914">
        <v>30.208518981933601</v>
      </c>
      <c r="S336" s="914">
        <v>31.274351119995099</v>
      </c>
      <c r="T336" s="914">
        <v>32.279064178466797</v>
      </c>
      <c r="U336" s="914">
        <v>32.661514282226598</v>
      </c>
      <c r="V336" s="914">
        <v>33.853298187255902</v>
      </c>
      <c r="W336" s="914">
        <v>34.868740081787102</v>
      </c>
      <c r="X336" s="914">
        <v>36.320652008056598</v>
      </c>
      <c r="Y336" s="914">
        <v>37.773586273193402</v>
      </c>
      <c r="Z336" s="914">
        <v>39.040420532226598</v>
      </c>
    </row>
    <row r="337" spans="1:70" x14ac:dyDescent="0.25">
      <c r="A337" s="912" t="s">
        <v>724</v>
      </c>
      <c r="B337" s="914">
        <v>19.740650177001999</v>
      </c>
      <c r="C337" s="914">
        <v>20.921422958373999</v>
      </c>
      <c r="D337" s="914">
        <v>27.660943984985401</v>
      </c>
      <c r="E337" s="914">
        <v>15.872093200683601</v>
      </c>
      <c r="F337" s="914">
        <v>15.1842641830444</v>
      </c>
      <c r="G337" s="914">
        <v>17.936090469360401</v>
      </c>
      <c r="H337" s="914">
        <v>20.100133895873999</v>
      </c>
      <c r="I337" s="914">
        <v>22.737785339355501</v>
      </c>
      <c r="J337" s="914">
        <v>24.745433807373001</v>
      </c>
      <c r="K337" s="914">
        <v>26.438911437988299</v>
      </c>
      <c r="L337" s="914">
        <v>28.0228977203369</v>
      </c>
      <c r="M337" s="914">
        <v>29.7338352203369</v>
      </c>
      <c r="N337" s="914">
        <v>31.2589511871338</v>
      </c>
      <c r="O337" s="914">
        <v>32.543869018554702</v>
      </c>
      <c r="P337" s="914">
        <v>33.764415740966797</v>
      </c>
      <c r="Q337" s="914">
        <v>34.490653991699197</v>
      </c>
      <c r="R337" s="914">
        <v>35.692588806152301</v>
      </c>
      <c r="S337" s="914">
        <v>36.884777069091797</v>
      </c>
      <c r="T337" s="914">
        <v>37.7488403320313</v>
      </c>
      <c r="U337" s="914">
        <v>38.541912078857401</v>
      </c>
      <c r="V337" s="914">
        <v>39.811958312988303</v>
      </c>
      <c r="W337" s="914">
        <v>40.433952331542997</v>
      </c>
      <c r="X337" s="914">
        <v>41.980552673339801</v>
      </c>
      <c r="Y337" s="914">
        <v>44.0175971984863</v>
      </c>
      <c r="Z337" s="914">
        <v>44.845256805419901</v>
      </c>
    </row>
    <row r="338" spans="1:70" x14ac:dyDescent="0.25">
      <c r="A338" s="912" t="s">
        <v>611</v>
      </c>
      <c r="B338" s="914">
        <v>7.9912142753601101</v>
      </c>
      <c r="C338" s="914">
        <v>9.4357099533081108</v>
      </c>
      <c r="D338" s="914">
        <v>14.5987691879272</v>
      </c>
      <c r="E338" s="914">
        <v>6.5974926948547399</v>
      </c>
      <c r="F338" s="914">
        <v>6.8336348533630398</v>
      </c>
      <c r="G338" s="914">
        <v>9.1002550125122106</v>
      </c>
      <c r="H338" s="914">
        <v>10.9850196838379</v>
      </c>
      <c r="I338" s="914">
        <v>12.7856092453003</v>
      </c>
      <c r="J338" s="914">
        <v>14.3925485610962</v>
      </c>
      <c r="K338" s="914">
        <v>16.284711837768601</v>
      </c>
      <c r="L338" s="914">
        <v>17.587419509887699</v>
      </c>
      <c r="M338" s="914">
        <v>18.815961837768601</v>
      </c>
      <c r="N338" s="914">
        <v>20.079933166503899</v>
      </c>
      <c r="O338" s="914">
        <v>21.0047607421875</v>
      </c>
      <c r="P338" s="914">
        <v>21.793167114257798</v>
      </c>
      <c r="Q338" s="914">
        <v>22.696048736572301</v>
      </c>
      <c r="R338" s="914">
        <v>23.3086338043213</v>
      </c>
      <c r="S338" s="914">
        <v>24.011238098144499</v>
      </c>
      <c r="T338" s="914">
        <v>24.648492813110401</v>
      </c>
      <c r="U338" s="914">
        <v>24.8559169769287</v>
      </c>
      <c r="V338" s="914">
        <v>25.6537380218506</v>
      </c>
      <c r="W338" s="914">
        <v>26.666080474853501</v>
      </c>
      <c r="X338" s="914">
        <v>27.731492996215799</v>
      </c>
      <c r="Y338" s="914">
        <v>28.609724044799801</v>
      </c>
      <c r="Z338" s="914">
        <v>29.807550430297901</v>
      </c>
    </row>
    <row r="339" spans="1:70" x14ac:dyDescent="0.25">
      <c r="A339" s="912" t="s">
        <v>622</v>
      </c>
      <c r="B339" s="914">
        <v>15.1338348388672</v>
      </c>
      <c r="C339" s="914">
        <v>15.4958410263062</v>
      </c>
      <c r="D339" s="914">
        <v>17.260919570922901</v>
      </c>
      <c r="E339" s="914">
        <v>13.197589874267599</v>
      </c>
      <c r="F339" s="914">
        <v>14.011960029602101</v>
      </c>
      <c r="G339" s="914">
        <v>14.5198259353638</v>
      </c>
      <c r="H339" s="914">
        <v>14.7125358581543</v>
      </c>
      <c r="I339" s="914">
        <v>14.9809007644653</v>
      </c>
      <c r="J339" s="914">
        <v>15.3987216949463</v>
      </c>
      <c r="K339" s="914">
        <v>15.929105758666999</v>
      </c>
      <c r="L339" s="914">
        <v>16.444049835205099</v>
      </c>
      <c r="M339" s="914">
        <v>16.986526489257798</v>
      </c>
      <c r="N339" s="914">
        <v>17.562019348144499</v>
      </c>
      <c r="O339" s="914">
        <v>18.214298248291001</v>
      </c>
      <c r="P339" s="914">
        <v>18.978889465331999</v>
      </c>
      <c r="Q339" s="914">
        <v>19.653842926025401</v>
      </c>
      <c r="R339" s="914">
        <v>20.151586532592798</v>
      </c>
      <c r="S339" s="914">
        <v>20.264110565185501</v>
      </c>
      <c r="T339" s="914">
        <v>20.6345119476318</v>
      </c>
      <c r="U339" s="914">
        <v>20.930568695068398</v>
      </c>
      <c r="V339" s="914">
        <v>21.5493049621582</v>
      </c>
      <c r="W339" s="914">
        <v>22.330928802490199</v>
      </c>
      <c r="X339" s="914">
        <v>23.217420578002901</v>
      </c>
      <c r="Y339" s="914">
        <v>23.984209060668899</v>
      </c>
      <c r="Z339" s="914">
        <v>24.842088699340799</v>
      </c>
    </row>
    <row r="340" spans="1:70" x14ac:dyDescent="0.25">
      <c r="A340" s="912" t="s">
        <v>479</v>
      </c>
      <c r="B340" s="914">
        <v>29.552911758422901</v>
      </c>
      <c r="C340" s="914">
        <v>30.777971267700199</v>
      </c>
      <c r="D340" s="914">
        <v>34.475650787353501</v>
      </c>
      <c r="E340" s="914">
        <v>32.511272430419901</v>
      </c>
      <c r="F340" s="914">
        <v>28.3578701019287</v>
      </c>
      <c r="G340" s="914">
        <v>29.9883632659912</v>
      </c>
      <c r="H340" s="914">
        <v>30.793474197387699</v>
      </c>
      <c r="I340" s="914">
        <v>31.290824890136701</v>
      </c>
      <c r="J340" s="914">
        <v>31.788017272949201</v>
      </c>
      <c r="K340" s="914">
        <v>32.228786468505902</v>
      </c>
      <c r="L340" s="914">
        <v>33.101249694824197</v>
      </c>
      <c r="M340" s="914">
        <v>33.873565673828097</v>
      </c>
      <c r="N340" s="914">
        <v>34.876777648925803</v>
      </c>
      <c r="O340" s="914">
        <v>35.790927886962898</v>
      </c>
      <c r="P340" s="914">
        <v>37.005527496337898</v>
      </c>
      <c r="Q340" s="914">
        <v>38.374465942382798</v>
      </c>
      <c r="R340" s="914">
        <v>39.741268157958999</v>
      </c>
      <c r="S340" s="914">
        <v>40.743644714355497</v>
      </c>
      <c r="T340" s="914">
        <v>41.832027435302699</v>
      </c>
      <c r="U340" s="914">
        <v>42.8788452148438</v>
      </c>
      <c r="V340" s="914">
        <v>44.165149688720703</v>
      </c>
      <c r="W340" s="914">
        <v>45.822151184082003</v>
      </c>
      <c r="X340" s="914">
        <v>47.770866394042997</v>
      </c>
      <c r="Y340" s="914">
        <v>49.4786567687988</v>
      </c>
      <c r="Z340" s="914">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912" t="s">
        <v>623</v>
      </c>
    </row>
    <row r="343" spans="1:70" x14ac:dyDescent="0.25">
      <c r="A343" s="912" t="s">
        <v>610</v>
      </c>
      <c r="B343" s="914">
        <v>13.411901473999</v>
      </c>
      <c r="C343" s="914">
        <v>14.7725219726563</v>
      </c>
      <c r="D343" s="914">
        <v>19.598173141479499</v>
      </c>
      <c r="E343" s="914">
        <v>12.9002075195313</v>
      </c>
      <c r="F343" s="914">
        <v>10.160784721374499</v>
      </c>
      <c r="G343" s="914">
        <v>12.683879852294901</v>
      </c>
      <c r="H343" s="914">
        <v>14.742367744445801</v>
      </c>
      <c r="I343" s="914">
        <v>16.466316223144499</v>
      </c>
      <c r="J343" s="914">
        <v>18.200975418090799</v>
      </c>
      <c r="K343" s="914">
        <v>20.294946670532202</v>
      </c>
      <c r="L343" s="914">
        <v>21.762416839599599</v>
      </c>
      <c r="M343" s="914">
        <v>23.219928741455099</v>
      </c>
      <c r="N343" s="914">
        <v>24.625257492065401</v>
      </c>
      <c r="O343" s="914">
        <v>25.658937454223601</v>
      </c>
      <c r="P343" s="914">
        <v>26.641567230224599</v>
      </c>
      <c r="Q343" s="914">
        <v>27.554689407348601</v>
      </c>
      <c r="R343" s="914">
        <v>28.433355331420898</v>
      </c>
      <c r="S343" s="914">
        <v>29.525194168090799</v>
      </c>
      <c r="T343" s="914">
        <v>30.595668792724599</v>
      </c>
      <c r="U343" s="914">
        <v>30.812200546264599</v>
      </c>
      <c r="V343" s="914">
        <v>31.8765468597412</v>
      </c>
      <c r="W343" s="914">
        <v>33.023826599121101</v>
      </c>
      <c r="X343" s="914">
        <v>34.249851226806598</v>
      </c>
      <c r="Y343" s="914">
        <v>35.370849609375</v>
      </c>
      <c r="Z343" s="914">
        <v>36.733474731445298</v>
      </c>
    </row>
    <row r="344" spans="1:70" x14ac:dyDescent="0.25">
      <c r="A344" s="912" t="s">
        <v>611</v>
      </c>
      <c r="B344" s="914">
        <v>8.1584053039550799</v>
      </c>
      <c r="C344" s="914">
        <v>8.5664386749267596</v>
      </c>
      <c r="D344" s="914">
        <v>14.623919486999499</v>
      </c>
      <c r="E344" s="914">
        <v>6.72200632095337</v>
      </c>
      <c r="F344" s="914">
        <v>6.9281921386718803</v>
      </c>
      <c r="G344" s="914">
        <v>9.7774429321289098</v>
      </c>
      <c r="H344" s="914">
        <v>11.688641548156699</v>
      </c>
      <c r="I344" s="914">
        <v>13.5591955184937</v>
      </c>
      <c r="J344" s="914">
        <v>15.198254585266101</v>
      </c>
      <c r="K344" s="914">
        <v>17.122402191162099</v>
      </c>
      <c r="L344" s="914">
        <v>18.4469089508057</v>
      </c>
      <c r="M344" s="914">
        <v>19.645553588867202</v>
      </c>
      <c r="N344" s="914">
        <v>20.905046463012699</v>
      </c>
      <c r="O344" s="914">
        <v>21.461814880371101</v>
      </c>
      <c r="P344" s="914">
        <v>22.275539398193398</v>
      </c>
      <c r="Q344" s="914">
        <v>23.178005218505898</v>
      </c>
      <c r="R344" s="914">
        <v>23.921798706054702</v>
      </c>
      <c r="S344" s="914">
        <v>24.712652206420898</v>
      </c>
      <c r="T344" s="914">
        <v>25.390251159668001</v>
      </c>
      <c r="U344" s="914">
        <v>25.605690002441399</v>
      </c>
      <c r="V344" s="914">
        <v>26.419223785400401</v>
      </c>
      <c r="W344" s="914">
        <v>27.371679306030298</v>
      </c>
      <c r="X344" s="914">
        <v>28.437421798706101</v>
      </c>
      <c r="Y344" s="914">
        <v>29.318086624145501</v>
      </c>
      <c r="Z344" s="914">
        <v>30.4597358703613</v>
      </c>
    </row>
    <row r="345" spans="1:70" x14ac:dyDescent="0.25">
      <c r="A345" s="912" t="s">
        <v>510</v>
      </c>
      <c r="B345" s="914">
        <v>6.8695855140686</v>
      </c>
      <c r="C345" s="914">
        <v>7.0191597938537598</v>
      </c>
      <c r="D345" s="914">
        <v>9.0666198730468803</v>
      </c>
      <c r="E345" s="914">
        <v>4.70163822174072</v>
      </c>
      <c r="F345" s="914">
        <v>5.3228030204772896</v>
      </c>
      <c r="G345" s="914">
        <v>5.7259230613708496</v>
      </c>
      <c r="H345" s="914">
        <v>5.8670849800109899</v>
      </c>
      <c r="I345" s="914">
        <v>5.9947657585143999</v>
      </c>
      <c r="J345" s="914">
        <v>6.2809138298034703</v>
      </c>
      <c r="K345" s="914">
        <v>6.6566915512084996</v>
      </c>
      <c r="L345" s="914">
        <v>7.0282440185546902</v>
      </c>
      <c r="M345" s="914">
        <v>7.4117355346679696</v>
      </c>
      <c r="N345" s="914">
        <v>7.8389544486999503</v>
      </c>
      <c r="O345" s="914">
        <v>8.3448457717895508</v>
      </c>
      <c r="P345" s="914">
        <v>8.9240303039550799</v>
      </c>
      <c r="Q345" s="914">
        <v>9.4456386566162092</v>
      </c>
      <c r="R345" s="914">
        <v>9.7849264144897496</v>
      </c>
      <c r="S345" s="914">
        <v>9.7760477066040004</v>
      </c>
      <c r="T345" s="914">
        <v>10.055270195007299</v>
      </c>
      <c r="U345" s="914">
        <v>10.193024635314901</v>
      </c>
      <c r="V345" s="914">
        <v>10.610521316528301</v>
      </c>
      <c r="W345" s="914">
        <v>11.20911693573</v>
      </c>
      <c r="X345" s="914">
        <v>11.9389839172363</v>
      </c>
      <c r="Y345" s="914">
        <v>12.519255638122599</v>
      </c>
      <c r="Z345" s="914">
        <v>13.197782516479499</v>
      </c>
    </row>
    <row r="346" spans="1:70" x14ac:dyDescent="0.25">
      <c r="A346" s="912" t="s">
        <v>624</v>
      </c>
      <c r="B346" s="914">
        <v>1.6900001764297501</v>
      </c>
      <c r="C346" s="914">
        <v>1.7800002098083501</v>
      </c>
      <c r="D346" s="914">
        <v>1.97352075576782</v>
      </c>
      <c r="E346" s="914">
        <v>2.0458421707153298</v>
      </c>
      <c r="F346" s="914">
        <v>1.9325078725814799</v>
      </c>
      <c r="G346" s="914">
        <v>1.9669165611267101</v>
      </c>
      <c r="H346" s="914">
        <v>1.97483730316162</v>
      </c>
      <c r="I346" s="914">
        <v>2.0363006591796902</v>
      </c>
      <c r="J346" s="914">
        <v>2.1044862270355198</v>
      </c>
      <c r="K346" s="914">
        <v>2.15470170974731</v>
      </c>
      <c r="L346" s="914">
        <v>2.2153303623199498</v>
      </c>
      <c r="M346" s="914">
        <v>2.2768745422363299</v>
      </c>
      <c r="N346" s="914">
        <v>2.3487181663513201</v>
      </c>
      <c r="O346" s="914">
        <v>2.4114518165588401</v>
      </c>
      <c r="P346" s="914">
        <v>2.4841165542602499</v>
      </c>
      <c r="Q346" s="914">
        <v>2.5551335811614999</v>
      </c>
      <c r="R346" s="914">
        <v>2.63751268386841</v>
      </c>
      <c r="S346" s="914">
        <v>2.7085535526275599</v>
      </c>
      <c r="T346" s="914">
        <v>2.7758009433746298</v>
      </c>
      <c r="U346" s="914">
        <v>2.84079241752625</v>
      </c>
      <c r="V346" s="914">
        <v>2.9094073772430402</v>
      </c>
      <c r="W346" s="914">
        <v>2.9860992431640598</v>
      </c>
      <c r="X346" s="914">
        <v>3.0685904026031499</v>
      </c>
      <c r="Y346" s="914">
        <v>3.1531631946563698</v>
      </c>
      <c r="Z346" s="914">
        <v>3.23557353019714</v>
      </c>
    </row>
    <row r="348" spans="1:70" x14ac:dyDescent="0.25">
      <c r="A348" s="912" t="s">
        <v>625</v>
      </c>
    </row>
    <row r="349" spans="1:70" x14ac:dyDescent="0.25">
      <c r="A349" s="912" t="s">
        <v>609</v>
      </c>
      <c r="B349" s="914">
        <v>15.246436119079601</v>
      </c>
      <c r="C349" s="914">
        <v>18.5313529968262</v>
      </c>
      <c r="D349" s="914">
        <v>20.134397506713899</v>
      </c>
      <c r="E349" s="914">
        <v>16.9350070953369</v>
      </c>
      <c r="F349" s="914">
        <v>16.912326812744102</v>
      </c>
      <c r="G349" s="914">
        <v>19.346534729003899</v>
      </c>
      <c r="H349" s="914">
        <v>21.4945392608643</v>
      </c>
      <c r="I349" s="914">
        <v>23.604782104492202</v>
      </c>
      <c r="J349" s="914">
        <v>25.696203231811499</v>
      </c>
      <c r="K349" s="914">
        <v>28.031579971313501</v>
      </c>
      <c r="L349" s="914">
        <v>29.828712463378899</v>
      </c>
      <c r="M349" s="914">
        <v>31.479301452636701</v>
      </c>
      <c r="N349" s="914">
        <v>33.231895446777301</v>
      </c>
      <c r="O349" s="914">
        <v>34.5145874023438</v>
      </c>
      <c r="P349" s="914">
        <v>35.698520660400398</v>
      </c>
      <c r="Q349" s="914">
        <v>36.883983612060497</v>
      </c>
      <c r="R349" s="914">
        <v>37.996242523193402</v>
      </c>
      <c r="S349" s="914">
        <v>39.337680816650398</v>
      </c>
      <c r="T349" s="914">
        <v>40.431327819824197</v>
      </c>
      <c r="U349" s="914">
        <v>40.7233276367188</v>
      </c>
      <c r="V349" s="914">
        <v>41.9925727844238</v>
      </c>
      <c r="W349" s="914">
        <v>43.322719573974602</v>
      </c>
      <c r="X349" s="914">
        <v>44.788909912109403</v>
      </c>
      <c r="Y349" s="914">
        <v>45.941520690917997</v>
      </c>
      <c r="Z349" s="914">
        <v>47.553462982177699</v>
      </c>
    </row>
    <row r="350" spans="1:70" x14ac:dyDescent="0.25">
      <c r="A350" s="912" t="s">
        <v>618</v>
      </c>
      <c r="B350" s="914">
        <v>24.84494972229</v>
      </c>
      <c r="C350" s="914">
        <v>26.818180084228501</v>
      </c>
      <c r="D350" s="914">
        <v>34.822681427002003</v>
      </c>
      <c r="E350" s="914">
        <v>21.049989700317401</v>
      </c>
      <c r="F350" s="914">
        <v>19.580844879150401</v>
      </c>
      <c r="G350" s="914">
        <v>23.622909545898398</v>
      </c>
      <c r="H350" s="914">
        <v>25.881950378418001</v>
      </c>
      <c r="I350" s="914">
        <v>28.009447097778299</v>
      </c>
      <c r="J350" s="914">
        <v>30.2537937164307</v>
      </c>
      <c r="K350" s="914">
        <v>28.866632461547901</v>
      </c>
      <c r="L350" s="914">
        <v>30.4276523590088</v>
      </c>
      <c r="M350" s="914">
        <v>31.969417572021499</v>
      </c>
      <c r="N350" s="914">
        <v>32.765193939208999</v>
      </c>
      <c r="O350" s="914">
        <v>35.757926940917997</v>
      </c>
      <c r="P350" s="914">
        <v>37.577915191650398</v>
      </c>
      <c r="Q350" s="914">
        <v>38.662086486816399</v>
      </c>
      <c r="R350" s="914">
        <v>39.8419189453125</v>
      </c>
      <c r="S350" s="914">
        <v>41.092353820800803</v>
      </c>
      <c r="T350" s="914">
        <v>42.114028930664098</v>
      </c>
      <c r="U350" s="914">
        <v>42.893341064453097</v>
      </c>
      <c r="V350" s="914">
        <v>44.2104301452637</v>
      </c>
      <c r="W350" s="914">
        <v>44.896373748779297</v>
      </c>
      <c r="X350" s="914">
        <v>46.4299926757813</v>
      </c>
      <c r="Y350" s="914">
        <v>48.419319152832003</v>
      </c>
      <c r="Z350" s="914">
        <v>48.957271575927699</v>
      </c>
    </row>
    <row r="351" spans="1:70" x14ac:dyDescent="0.25">
      <c r="A351" s="912" t="s">
        <v>619</v>
      </c>
      <c r="B351" s="914">
        <v>21.081119537353501</v>
      </c>
      <c r="C351" s="914">
        <v>22.8191947937012</v>
      </c>
      <c r="D351" s="914">
        <v>26.582485198974599</v>
      </c>
      <c r="E351" s="914">
        <v>16.308473587036101</v>
      </c>
      <c r="F351" s="914">
        <v>18.3791694641113</v>
      </c>
      <c r="G351" s="914">
        <v>21.690732955932599</v>
      </c>
      <c r="H351" s="914">
        <v>23.705785751342798</v>
      </c>
      <c r="I351" s="914">
        <v>25.446578979492202</v>
      </c>
      <c r="J351" s="914">
        <v>27.421388626098601</v>
      </c>
      <c r="K351" s="914">
        <v>29.526109695434599</v>
      </c>
      <c r="L351" s="914">
        <v>31.268815994262699</v>
      </c>
      <c r="M351" s="914">
        <v>33.090030670166001</v>
      </c>
      <c r="N351" s="914">
        <v>34.852634429931598</v>
      </c>
      <c r="O351" s="914">
        <v>36.4355278015137</v>
      </c>
      <c r="P351" s="914">
        <v>38.011890411377003</v>
      </c>
      <c r="Q351" s="914">
        <v>39.135532379150398</v>
      </c>
      <c r="R351" s="914">
        <v>40.475978851318402</v>
      </c>
      <c r="S351" s="914">
        <v>41.687484741210902</v>
      </c>
      <c r="T351" s="914">
        <v>42.675270080566399</v>
      </c>
      <c r="U351" s="914">
        <v>43.460239410400398</v>
      </c>
      <c r="V351" s="914">
        <v>44.775581359863303</v>
      </c>
      <c r="W351" s="914">
        <v>45.668975830078097</v>
      </c>
      <c r="X351" s="914">
        <v>47.250167846679702</v>
      </c>
      <c r="Y351" s="914">
        <v>49.551605224609403</v>
      </c>
      <c r="Z351" s="914">
        <v>49.978668212890597</v>
      </c>
    </row>
    <row r="352" spans="1:70" x14ac:dyDescent="0.25">
      <c r="A352" s="912" t="s">
        <v>626</v>
      </c>
      <c r="B352" s="914">
        <v>14.844763755798301</v>
      </c>
      <c r="C352" s="914">
        <v>16.0964660644531</v>
      </c>
      <c r="D352" s="914">
        <v>22.673322677612301</v>
      </c>
      <c r="E352" s="914">
        <v>10.878761291503899</v>
      </c>
      <c r="F352" s="914">
        <v>10.805939674377401</v>
      </c>
      <c r="G352" s="914">
        <v>13.641165733337401</v>
      </c>
      <c r="H352" s="914">
        <v>15.7883806228638</v>
      </c>
      <c r="I352" s="914">
        <v>17.847295761108398</v>
      </c>
      <c r="J352" s="914">
        <v>19.768560409545898</v>
      </c>
      <c r="K352" s="914">
        <v>21.6021404266357</v>
      </c>
      <c r="L352" s="914">
        <v>23.1407794952393</v>
      </c>
      <c r="M352" s="914">
        <v>24.738756179809599</v>
      </c>
      <c r="N352" s="914">
        <v>26.200944900512699</v>
      </c>
      <c r="O352" s="914">
        <v>27.323936462402301</v>
      </c>
      <c r="P352" s="914">
        <v>28.3911018371582</v>
      </c>
      <c r="Q352" s="914">
        <v>29.343944549560501</v>
      </c>
      <c r="R352" s="914">
        <v>30.208518981933601</v>
      </c>
      <c r="S352" s="914">
        <v>31.274351119995099</v>
      </c>
      <c r="T352" s="914">
        <v>32.279064178466797</v>
      </c>
      <c r="U352" s="914">
        <v>32.661514282226598</v>
      </c>
      <c r="V352" s="914">
        <v>33.853298187255902</v>
      </c>
      <c r="W352" s="914">
        <v>34.868740081787102</v>
      </c>
      <c r="X352" s="914">
        <v>36.320652008056598</v>
      </c>
      <c r="Y352" s="914">
        <v>37.773586273193402</v>
      </c>
      <c r="Z352" s="914">
        <v>39.040420532226598</v>
      </c>
    </row>
    <row r="353" spans="1:70" x14ac:dyDescent="0.25">
      <c r="A353" s="912" t="s">
        <v>610</v>
      </c>
      <c r="B353" s="914">
        <v>18.668458938598601</v>
      </c>
      <c r="C353" s="914">
        <v>19.9431552886963</v>
      </c>
      <c r="D353" s="914">
        <v>26.286823272705099</v>
      </c>
      <c r="E353" s="914">
        <v>15.636975288391101</v>
      </c>
      <c r="F353" s="914">
        <v>14.1092176437378</v>
      </c>
      <c r="G353" s="914">
        <v>16.902593612670898</v>
      </c>
      <c r="H353" s="914">
        <v>19.1516017913818</v>
      </c>
      <c r="I353" s="914">
        <v>21.744958877563501</v>
      </c>
      <c r="J353" s="914">
        <v>23.745824813842798</v>
      </c>
      <c r="K353" s="914">
        <v>25.478622436523398</v>
      </c>
      <c r="L353" s="914">
        <v>27.0623779296875</v>
      </c>
      <c r="M353" s="914">
        <v>28.722316741943398</v>
      </c>
      <c r="N353" s="914">
        <v>30.288469314575199</v>
      </c>
      <c r="O353" s="914">
        <v>31.560461044311499</v>
      </c>
      <c r="P353" s="914">
        <v>32.757129669189503</v>
      </c>
      <c r="Q353" s="914">
        <v>33.523193359375</v>
      </c>
      <c r="R353" s="914">
        <v>34.769081115722699</v>
      </c>
      <c r="S353" s="914">
        <v>35.882114410400398</v>
      </c>
      <c r="T353" s="914">
        <v>36.791599273681598</v>
      </c>
      <c r="U353" s="914">
        <v>37.5217895507813</v>
      </c>
      <c r="V353" s="914">
        <v>38.800697326660199</v>
      </c>
      <c r="W353" s="914">
        <v>39.467311859130902</v>
      </c>
      <c r="X353" s="914">
        <v>40.997920989990199</v>
      </c>
      <c r="Y353" s="914">
        <v>42.937191009521499</v>
      </c>
      <c r="Z353" s="914">
        <v>43.857540130615199</v>
      </c>
    </row>
    <row r="354" spans="1:70" x14ac:dyDescent="0.25">
      <c r="A354" s="912" t="s">
        <v>611</v>
      </c>
      <c r="B354" s="914">
        <v>8.2036781311035192</v>
      </c>
      <c r="C354" s="914">
        <v>9.3672227859497106</v>
      </c>
      <c r="D354" s="914">
        <v>14.4897508621216</v>
      </c>
      <c r="E354" s="914">
        <v>6.7128052711486799</v>
      </c>
      <c r="F354" s="914">
        <v>7.1757683753967303</v>
      </c>
      <c r="G354" s="914">
        <v>9.6609458923339808</v>
      </c>
      <c r="H354" s="914">
        <v>11.544206619262701</v>
      </c>
      <c r="I354" s="914">
        <v>13.370221138000501</v>
      </c>
      <c r="J354" s="914">
        <v>14.996021270751999</v>
      </c>
      <c r="K354" s="914">
        <v>16.898206710815401</v>
      </c>
      <c r="L354" s="914">
        <v>18.207862854003899</v>
      </c>
      <c r="M354" s="914">
        <v>19.411674499511701</v>
      </c>
      <c r="N354" s="914">
        <v>20.6822299957275</v>
      </c>
      <c r="O354" s="914">
        <v>21.516969680786101</v>
      </c>
      <c r="P354" s="914">
        <v>22.335527420043899</v>
      </c>
      <c r="Q354" s="914">
        <v>23.2407321929932</v>
      </c>
      <c r="R354" s="914">
        <v>23.916133880615199</v>
      </c>
      <c r="S354" s="914">
        <v>24.6660556793213</v>
      </c>
      <c r="T354" s="914">
        <v>25.322589874267599</v>
      </c>
      <c r="U354" s="914">
        <v>25.500698089599599</v>
      </c>
      <c r="V354" s="914">
        <v>26.3019409179688</v>
      </c>
      <c r="W354" s="914">
        <v>27.270561218261701</v>
      </c>
      <c r="X354" s="914">
        <v>28.332614898681602</v>
      </c>
      <c r="Y354" s="914">
        <v>29.2080383300781</v>
      </c>
      <c r="Z354" s="914">
        <v>30.365930557251001</v>
      </c>
    </row>
    <row r="355" spans="1:70" x14ac:dyDescent="0.25">
      <c r="A355" s="912" t="s">
        <v>510</v>
      </c>
      <c r="B355" s="914">
        <v>9.2523355484008807</v>
      </c>
      <c r="C355" s="914">
        <v>9.0060253143310494</v>
      </c>
      <c r="D355" s="914">
        <v>10.405486106872599</v>
      </c>
      <c r="E355" s="914">
        <v>6.98002004623413</v>
      </c>
      <c r="F355" s="914">
        <v>7.7092094421386701</v>
      </c>
      <c r="G355" s="914">
        <v>8.12390232086182</v>
      </c>
      <c r="H355" s="914">
        <v>8.2825136184692401</v>
      </c>
      <c r="I355" s="914">
        <v>8.4401350021362305</v>
      </c>
      <c r="J355" s="914">
        <v>8.7418422698974592</v>
      </c>
      <c r="K355" s="914">
        <v>9.1197204589843803</v>
      </c>
      <c r="L355" s="914">
        <v>9.5538625717163104</v>
      </c>
      <c r="M355" s="914">
        <v>10.0050344467163</v>
      </c>
      <c r="N355" s="914">
        <v>10.4820852279663</v>
      </c>
      <c r="O355" s="914">
        <v>11.0441122055054</v>
      </c>
      <c r="P355" s="914">
        <v>11.7092485427856</v>
      </c>
      <c r="Q355" s="914">
        <v>12.280260086059601</v>
      </c>
      <c r="R355" s="914">
        <v>12.668963432311999</v>
      </c>
      <c r="S355" s="914">
        <v>12.670117378234901</v>
      </c>
      <c r="T355" s="914">
        <v>12.917200088501</v>
      </c>
      <c r="U355" s="914">
        <v>13.0803108215332</v>
      </c>
      <c r="V355" s="914">
        <v>13.574273109436</v>
      </c>
      <c r="W355" s="914">
        <v>14.23717212677</v>
      </c>
      <c r="X355" s="914">
        <v>15.0462560653687</v>
      </c>
      <c r="Y355" s="914">
        <v>15.740474700927701</v>
      </c>
      <c r="Z355" s="914">
        <v>16.4913539886475</v>
      </c>
    </row>
    <row r="356" spans="1:70" ht="13" thickBot="1" x14ac:dyDescent="0.3">
      <c r="A356" s="912" t="s">
        <v>614</v>
      </c>
      <c r="B356" s="914">
        <v>3.53999996185303</v>
      </c>
      <c r="C356" s="914">
        <v>3.6099998950958301</v>
      </c>
      <c r="D356" s="914">
        <v>4.1449666023254403</v>
      </c>
      <c r="E356" s="914">
        <v>4.1784791946411097</v>
      </c>
      <c r="F356" s="914">
        <v>4.1485314369201696</v>
      </c>
      <c r="G356" s="914">
        <v>4.3175525665283203</v>
      </c>
      <c r="H356" s="914">
        <v>4.44484186172485</v>
      </c>
      <c r="I356" s="914">
        <v>4.5821456909179696</v>
      </c>
      <c r="J356" s="914">
        <v>4.7206311225891104</v>
      </c>
      <c r="K356" s="914">
        <v>4.8563599586486799</v>
      </c>
      <c r="L356" s="914">
        <v>4.9913563728332502</v>
      </c>
      <c r="M356" s="914">
        <v>5.1233406066894496</v>
      </c>
      <c r="N356" s="914">
        <v>5.2680139541626003</v>
      </c>
      <c r="O356" s="914">
        <v>5.4137320518493697</v>
      </c>
      <c r="P356" s="914">
        <v>5.5743689537048304</v>
      </c>
      <c r="Q356" s="914">
        <v>5.7906579971313503</v>
      </c>
      <c r="R356" s="914">
        <v>6.0209679603576696</v>
      </c>
      <c r="S356" s="914">
        <v>6.20045709609985</v>
      </c>
      <c r="T356" s="914">
        <v>6.3775997161865199</v>
      </c>
      <c r="U356" s="914">
        <v>6.5161404609680202</v>
      </c>
      <c r="V356" s="914">
        <v>6.6299972534179696</v>
      </c>
      <c r="W356" s="914">
        <v>6.7667918205261204</v>
      </c>
      <c r="X356" s="914">
        <v>6.88553714752197</v>
      </c>
      <c r="Y356" s="914">
        <v>6.9704546928405797</v>
      </c>
      <c r="Z356" s="914">
        <v>7.0137753486633301</v>
      </c>
    </row>
    <row r="357" spans="1:70" ht="13" thickBot="1" x14ac:dyDescent="0.3">
      <c r="A357" s="912" t="s">
        <v>627</v>
      </c>
      <c r="B357" s="914">
        <v>1.73100674152374</v>
      </c>
      <c r="C357" s="914">
        <v>1.81885313987732</v>
      </c>
      <c r="D357" s="914">
        <v>2.01088166236877</v>
      </c>
      <c r="E357" s="914">
        <v>2.0711190700531001</v>
      </c>
      <c r="F357" s="914">
        <v>1.96068322658539</v>
      </c>
      <c r="G357" s="914">
        <v>1.99932932853699</v>
      </c>
      <c r="H357" s="914">
        <v>2.0096416473388699</v>
      </c>
      <c r="I357" s="914">
        <v>2.07272601127625</v>
      </c>
      <c r="J357" s="914">
        <v>2.1420636177063002</v>
      </c>
      <c r="K357" s="914">
        <v>2.1925818920135498</v>
      </c>
      <c r="L357" s="914">
        <v>2.2534883022308301</v>
      </c>
      <c r="M357" s="914">
        <v>2.3155770301818799</v>
      </c>
      <c r="N357" s="914">
        <v>2.38794946670532</v>
      </c>
      <c r="O357" s="914">
        <v>2.4510562419891402</v>
      </c>
      <c r="P357" s="914">
        <v>2.52451372146606</v>
      </c>
      <c r="Q357" s="914">
        <v>2.5963439941406299</v>
      </c>
      <c r="R357" s="914">
        <v>2.6790707111358598</v>
      </c>
      <c r="S357" s="914">
        <v>2.7507226467132599</v>
      </c>
      <c r="T357" s="914">
        <v>2.8189043998718302</v>
      </c>
      <c r="U357" s="914">
        <v>2.8845274448394802</v>
      </c>
      <c r="V357" s="914">
        <v>2.9543473720550502</v>
      </c>
      <c r="W357" s="914">
        <v>3.0319309234619101</v>
      </c>
      <c r="X357" s="914">
        <v>3.1151678562164302</v>
      </c>
      <c r="Y357" s="914">
        <v>3.20047926902771</v>
      </c>
      <c r="Z357" s="914">
        <v>3.2839629650115998</v>
      </c>
      <c r="AA357" s="283">
        <f>Z527+($AI$357-$Y$527)/10</f>
        <v>8.0623037763536161</v>
      </c>
      <c r="AB357" s="283">
        <f t="shared" ref="AB357:AH357" si="21">AA357+($AI$357-$Y$527)/10</f>
        <v>8.1146083992868938</v>
      </c>
      <c r="AC357" s="283">
        <f t="shared" si="21"/>
        <v>8.1669130222201716</v>
      </c>
      <c r="AD357" s="283">
        <f t="shared" si="21"/>
        <v>8.2192176451534493</v>
      </c>
      <c r="AE357" s="283">
        <f t="shared" si="21"/>
        <v>8.2715222680867271</v>
      </c>
      <c r="AF357" s="283">
        <f t="shared" si="21"/>
        <v>8.3238268910200048</v>
      </c>
      <c r="AG357" s="283">
        <f t="shared" si="21"/>
        <v>8.3761315139532826</v>
      </c>
      <c r="AH357" s="283">
        <f t="shared" si="21"/>
        <v>8.4284361368865603</v>
      </c>
      <c r="AI357" s="284">
        <f>T527*$E$742</f>
        <v>8.4807407598198452</v>
      </c>
      <c r="AJ357" s="283">
        <f>AI357+($AX$357-$AI$357)/15</f>
        <v>8.5767365137369804</v>
      </c>
      <c r="AK357" s="283">
        <f t="shared" ref="AK357:AW357" si="22">AJ357+($AX$357-$AI$357)/15</f>
        <v>8.6727322676541156</v>
      </c>
      <c r="AL357" s="283">
        <f t="shared" si="22"/>
        <v>8.7687280215712509</v>
      </c>
      <c r="AM357" s="283">
        <f t="shared" si="22"/>
        <v>8.8647237754883861</v>
      </c>
      <c r="AN357" s="283">
        <f t="shared" si="22"/>
        <v>8.9607195294055213</v>
      </c>
      <c r="AO357" s="283">
        <f t="shared" si="22"/>
        <v>9.0567152833226565</v>
      </c>
      <c r="AP357" s="283">
        <f t="shared" si="22"/>
        <v>9.1527110372397917</v>
      </c>
      <c r="AQ357" s="283">
        <f t="shared" si="22"/>
        <v>9.248706791156927</v>
      </c>
      <c r="AR357" s="283">
        <f t="shared" si="22"/>
        <v>9.3447025450740622</v>
      </c>
      <c r="AS357" s="283">
        <f t="shared" si="22"/>
        <v>9.4406982989911974</v>
      </c>
      <c r="AT357" s="283">
        <f t="shared" si="22"/>
        <v>9.5366940529083326</v>
      </c>
      <c r="AU357" s="283">
        <f t="shared" si="22"/>
        <v>9.6326898068254678</v>
      </c>
      <c r="AV357" s="283">
        <f t="shared" si="22"/>
        <v>9.728685560742603</v>
      </c>
      <c r="AW357" s="283">
        <f t="shared" si="22"/>
        <v>9.8246813146597383</v>
      </c>
      <c r="AX357" s="284">
        <f>AI357*$B$742</f>
        <v>9.9206770685768717</v>
      </c>
      <c r="AY357" s="283">
        <f>AX357+($BM$357-$AX$357)/15</f>
        <v>10.018909165246043</v>
      </c>
      <c r="AZ357" s="283">
        <f t="shared" ref="AZ357:BL357" si="23">AY357+($BM$357-$AX$357)/15</f>
        <v>10.117141261915215</v>
      </c>
      <c r="BA357" s="283">
        <f t="shared" si="23"/>
        <v>10.215373358584387</v>
      </c>
      <c r="BB357" s="283">
        <f t="shared" si="23"/>
        <v>10.313605455253558</v>
      </c>
      <c r="BC357" s="283">
        <f t="shared" si="23"/>
        <v>10.41183755192273</v>
      </c>
      <c r="BD357" s="283">
        <f t="shared" si="23"/>
        <v>10.510069648591902</v>
      </c>
      <c r="BE357" s="283">
        <f t="shared" si="23"/>
        <v>10.608301745261073</v>
      </c>
      <c r="BF357" s="283">
        <f t="shared" si="23"/>
        <v>10.706533841930245</v>
      </c>
      <c r="BG357" s="283">
        <f t="shared" si="23"/>
        <v>10.804765938599417</v>
      </c>
      <c r="BH357" s="283">
        <f t="shared" si="23"/>
        <v>10.902998035268588</v>
      </c>
      <c r="BI357" s="283">
        <f t="shared" si="23"/>
        <v>11.00123013193776</v>
      </c>
      <c r="BJ357" s="283">
        <f t="shared" si="23"/>
        <v>11.099462228606932</v>
      </c>
      <c r="BK357" s="283">
        <f t="shared" si="23"/>
        <v>11.197694325276103</v>
      </c>
      <c r="BL357" s="283">
        <f t="shared" si="23"/>
        <v>11.295926421945275</v>
      </c>
      <c r="BM357" s="284">
        <f>AX357*$C$742</f>
        <v>11.394158518614441</v>
      </c>
      <c r="BN357" s="283">
        <f>BM357+($BR$357-$BM$357)/5</f>
        <v>11.506980665059427</v>
      </c>
      <c r="BO357" s="283">
        <f>BN357+($BR$357-$BM$357)/5</f>
        <v>11.619802811504412</v>
      </c>
      <c r="BP357" s="283">
        <f>BO357+($BR$357-$BM$357)/5</f>
        <v>11.732624957949398</v>
      </c>
      <c r="BQ357" s="283">
        <f>BP357+($BR$357-$BM$357)/5</f>
        <v>11.845447104394383</v>
      </c>
      <c r="BR357" s="284">
        <f>BM357*$D$742</f>
        <v>11.95826925083937</v>
      </c>
    </row>
    <row r="358" spans="1:70" ht="13" thickBot="1" x14ac:dyDescent="0.3">
      <c r="A358" s="912" t="s">
        <v>616</v>
      </c>
      <c r="B358" s="914">
        <v>0</v>
      </c>
      <c r="C358" s="914">
        <v>0</v>
      </c>
      <c r="D358" s="914">
        <v>0</v>
      </c>
      <c r="E358" s="914">
        <v>0</v>
      </c>
      <c r="F358" s="914">
        <v>0</v>
      </c>
      <c r="G358" s="914">
        <v>1.5889266729354901</v>
      </c>
      <c r="H358" s="914">
        <v>1.46094393730164</v>
      </c>
      <c r="I358" s="914">
        <v>1.28843116760254</v>
      </c>
      <c r="J358" s="914">
        <v>1.5101318359375</v>
      </c>
      <c r="K358" s="914">
        <v>1.50810551643372</v>
      </c>
      <c r="L358" s="914">
        <v>1.5213859081268299</v>
      </c>
      <c r="M358" s="914">
        <v>1.53951179981232</v>
      </c>
      <c r="N358" s="914">
        <v>1.58338570594788</v>
      </c>
      <c r="O358" s="914">
        <v>1.63723039627075</v>
      </c>
      <c r="P358" s="914">
        <v>1.71289122104645</v>
      </c>
      <c r="Q358" s="914">
        <v>1.76114201545715</v>
      </c>
      <c r="R358" s="914">
        <v>1.8119050264358501</v>
      </c>
      <c r="S358" s="914">
        <v>1.8629466295242301</v>
      </c>
      <c r="T358" s="914">
        <v>1.9169825315475499</v>
      </c>
      <c r="U358" s="914">
        <v>1.9466364383697501</v>
      </c>
      <c r="V358" s="914">
        <v>1.9911848306655899</v>
      </c>
      <c r="W358" s="914">
        <v>2.0416746139526398</v>
      </c>
      <c r="X358" s="914">
        <v>2.09020328521729</v>
      </c>
      <c r="Y358" s="914">
        <v>2.1373581886291499</v>
      </c>
      <c r="Z358" s="914">
        <v>2.1847438812255899</v>
      </c>
      <c r="AA358" s="285">
        <f>Z528+($AI$358-$Y$528)/10</f>
        <v>22.224617194901626</v>
      </c>
      <c r="AB358" s="285">
        <f t="shared" ref="AB358:AH358" si="24">AA358+($AI$358-$Y$528)/10</f>
        <v>22.135413455621489</v>
      </c>
      <c r="AC358" s="285">
        <f t="shared" si="24"/>
        <v>22.046209716341352</v>
      </c>
      <c r="AD358" s="285">
        <f t="shared" si="24"/>
        <v>21.957005977061215</v>
      </c>
      <c r="AE358" s="285">
        <f t="shared" si="24"/>
        <v>21.867802237781078</v>
      </c>
      <c r="AF358" s="285">
        <f t="shared" si="24"/>
        <v>21.778598498500941</v>
      </c>
      <c r="AG358" s="285">
        <f t="shared" si="24"/>
        <v>21.689394759220804</v>
      </c>
      <c r="AH358" s="285">
        <f t="shared" si="24"/>
        <v>21.600191019940667</v>
      </c>
      <c r="AI358" s="286">
        <f>T528*$E$745</f>
        <v>21.510987280660522</v>
      </c>
      <c r="AJ358" s="285">
        <f>AI358+($AX$358-$AI$358)/15</f>
        <v>21.502530865644818</v>
      </c>
      <c r="AK358" s="285">
        <f t="shared" ref="AK358:AW358" si="25">AJ358+($AX$358-$AI$358)/15</f>
        <v>21.494074450629114</v>
      </c>
      <c r="AL358" s="285">
        <f t="shared" si="25"/>
        <v>21.48561803561341</v>
      </c>
      <c r="AM358" s="285">
        <f t="shared" si="25"/>
        <v>21.477161620597705</v>
      </c>
      <c r="AN358" s="285">
        <f t="shared" si="25"/>
        <v>21.468705205582001</v>
      </c>
      <c r="AO358" s="285">
        <f t="shared" si="25"/>
        <v>21.460248790566297</v>
      </c>
      <c r="AP358" s="285">
        <f t="shared" si="25"/>
        <v>21.451792375550593</v>
      </c>
      <c r="AQ358" s="285">
        <f t="shared" si="25"/>
        <v>21.443335960534888</v>
      </c>
      <c r="AR358" s="285">
        <f t="shared" si="25"/>
        <v>21.434879545519184</v>
      </c>
      <c r="AS358" s="285">
        <f t="shared" si="25"/>
        <v>21.42642313050348</v>
      </c>
      <c r="AT358" s="285">
        <f t="shared" si="25"/>
        <v>21.417966715487776</v>
      </c>
      <c r="AU358" s="285">
        <f t="shared" si="25"/>
        <v>21.409510300472071</v>
      </c>
      <c r="AV358" s="285">
        <f t="shared" si="25"/>
        <v>21.401053885456367</v>
      </c>
      <c r="AW358" s="285">
        <f t="shared" si="25"/>
        <v>21.392597470440663</v>
      </c>
      <c r="AX358" s="286">
        <f>AI358*$B$745</f>
        <v>21.384141055424955</v>
      </c>
      <c r="AY358" s="285">
        <f>AX358+($BM$358-$AX$358)/15</f>
        <v>21.397725276976207</v>
      </c>
      <c r="AZ358" s="285">
        <f t="shared" ref="AZ358:BL358" si="26">AY358+($BM$358-$AX$358)/15</f>
        <v>21.411309498527459</v>
      </c>
      <c r="BA358" s="285">
        <f t="shared" si="26"/>
        <v>21.42489372007871</v>
      </c>
      <c r="BB358" s="285">
        <f t="shared" si="26"/>
        <v>21.438477941629962</v>
      </c>
      <c r="BC358" s="285">
        <f t="shared" si="26"/>
        <v>21.452062163181214</v>
      </c>
      <c r="BD358" s="285">
        <f t="shared" si="26"/>
        <v>21.465646384732466</v>
      </c>
      <c r="BE358" s="285">
        <f t="shared" si="26"/>
        <v>21.479230606283718</v>
      </c>
      <c r="BF358" s="285">
        <f t="shared" si="26"/>
        <v>21.49281482783497</v>
      </c>
      <c r="BG358" s="285">
        <f t="shared" si="26"/>
        <v>21.506399049386221</v>
      </c>
      <c r="BH358" s="285">
        <f t="shared" si="26"/>
        <v>21.519983270937473</v>
      </c>
      <c r="BI358" s="285">
        <f t="shared" si="26"/>
        <v>21.533567492488725</v>
      </c>
      <c r="BJ358" s="285">
        <f t="shared" si="26"/>
        <v>21.547151714039977</v>
      </c>
      <c r="BK358" s="285">
        <f t="shared" si="26"/>
        <v>21.560735935591229</v>
      </c>
      <c r="BL358" s="285">
        <f t="shared" si="26"/>
        <v>21.574320157142481</v>
      </c>
      <c r="BM358" s="286">
        <f>AX358*$C$745</f>
        <v>21.587904378693722</v>
      </c>
      <c r="BN358" s="285">
        <f>BM358+($BR$358-$BM$358)/5</f>
        <v>21.601618040381013</v>
      </c>
      <c r="BO358" s="285">
        <f>BN358+($BR$358-$BM$358)/5</f>
        <v>21.615331702068303</v>
      </c>
      <c r="BP358" s="285">
        <f>BO358+($BR$358-$BM$358)/5</f>
        <v>21.629045363755594</v>
      </c>
      <c r="BQ358" s="285">
        <f>BP358+($BR$358-$BM$358)/5</f>
        <v>21.642759025442885</v>
      </c>
      <c r="BR358" s="286">
        <f>BM358*$D$745</f>
        <v>21.656472687130176</v>
      </c>
    </row>
    <row r="359" spans="1:70" x14ac:dyDescent="0.25">
      <c r="A359" s="912" t="s">
        <v>479</v>
      </c>
      <c r="B359" s="914">
        <v>25.973251342773398</v>
      </c>
      <c r="C359" s="914">
        <v>26.680915832519499</v>
      </c>
      <c r="D359" s="914">
        <v>28.4103908538818</v>
      </c>
      <c r="E359" s="914">
        <v>27.544679641723601</v>
      </c>
      <c r="F359" s="914">
        <v>25.191349029541001</v>
      </c>
      <c r="G359" s="914">
        <v>26.348068237304702</v>
      </c>
      <c r="H359" s="914">
        <v>26.6303806304932</v>
      </c>
      <c r="I359" s="914">
        <v>27.154542922973601</v>
      </c>
      <c r="J359" s="914">
        <v>28.002742767333999</v>
      </c>
      <c r="K359" s="914">
        <v>28.757371902465799</v>
      </c>
      <c r="L359" s="914">
        <v>29.780685424804702</v>
      </c>
      <c r="M359" s="914">
        <v>30.870384216308601</v>
      </c>
      <c r="N359" s="914">
        <v>32.039138793945298</v>
      </c>
      <c r="O359" s="914">
        <v>33.131908416747997</v>
      </c>
      <c r="P359" s="914">
        <v>34.493354797363303</v>
      </c>
      <c r="Q359" s="914">
        <v>35.847507476806598</v>
      </c>
      <c r="R359" s="914">
        <v>37.095943450927699</v>
      </c>
      <c r="S359" s="914">
        <v>37.945499420166001</v>
      </c>
      <c r="T359" s="914">
        <v>38.854724884033203</v>
      </c>
      <c r="U359" s="914">
        <v>39.667263031005902</v>
      </c>
      <c r="V359" s="914">
        <v>40.613765716552699</v>
      </c>
      <c r="W359" s="914">
        <v>41.989593505859403</v>
      </c>
      <c r="X359" s="914">
        <v>43.556324005127003</v>
      </c>
      <c r="Y359" s="914">
        <v>45.098350524902301</v>
      </c>
      <c r="Z359" s="914">
        <v>46.616588592529297</v>
      </c>
    </row>
    <row r="361" spans="1:70" x14ac:dyDescent="0.25">
      <c r="A361" s="912" t="s">
        <v>513</v>
      </c>
    </row>
    <row r="362" spans="1:70" x14ac:dyDescent="0.25">
      <c r="A362" s="912" t="s">
        <v>727</v>
      </c>
    </row>
    <row r="363" spans="1:70" x14ac:dyDescent="0.25">
      <c r="A363" s="912" t="s">
        <v>473</v>
      </c>
      <c r="B363" s="914">
        <v>225.03859096661196</v>
      </c>
      <c r="C363" s="914">
        <v>238.40081787109398</v>
      </c>
      <c r="D363" s="914">
        <v>255.49913625772319</v>
      </c>
      <c r="E363" s="914">
        <v>230.9929746666815</v>
      </c>
      <c r="F363" s="914">
        <v>223.41247611699868</v>
      </c>
      <c r="G363" s="914">
        <v>235.2892736225177</v>
      </c>
      <c r="H363" s="914">
        <v>241.6920712265439</v>
      </c>
      <c r="I363" s="914">
        <v>246.56659612211084</v>
      </c>
      <c r="J363" s="914">
        <v>255.55094332875294</v>
      </c>
      <c r="K363" s="914">
        <v>264.57905396662414</v>
      </c>
      <c r="L363" s="914">
        <v>275.89920726734971</v>
      </c>
      <c r="M363" s="914">
        <v>287.49516661999758</v>
      </c>
      <c r="N363" s="914">
        <v>300.32909110683801</v>
      </c>
      <c r="O363" s="914">
        <v>313.11554742582229</v>
      </c>
      <c r="P363" s="914">
        <v>328.18192619930682</v>
      </c>
      <c r="Q363" s="914">
        <v>341.8235015289352</v>
      </c>
      <c r="R363" s="914">
        <v>355.09694320426638</v>
      </c>
      <c r="S363" s="914">
        <v>365.44612056098629</v>
      </c>
      <c r="T363" s="914">
        <v>378.29315112389759</v>
      </c>
      <c r="U363" s="914">
        <v>388.37155634393389</v>
      </c>
      <c r="V363" s="914">
        <v>402.59953615177363</v>
      </c>
      <c r="W363" s="914">
        <v>419.77981120164446</v>
      </c>
      <c r="X363" s="914">
        <v>438.87123825530841</v>
      </c>
      <c r="Y363" s="914">
        <v>455.24534715742953</v>
      </c>
      <c r="Z363" s="914">
        <v>473.03338245571979</v>
      </c>
    </row>
    <row r="364" spans="1:70" x14ac:dyDescent="0.25">
      <c r="A364" s="912" t="s">
        <v>480</v>
      </c>
      <c r="B364" s="914">
        <v>165.81601818957134</v>
      </c>
      <c r="C364" s="914">
        <v>172.89260864257801</v>
      </c>
      <c r="D364" s="914">
        <v>187.38257557629601</v>
      </c>
      <c r="E364" s="914">
        <v>169.14737359110225</v>
      </c>
      <c r="F364" s="914">
        <v>163.07263216137929</v>
      </c>
      <c r="G364" s="914">
        <v>172.91593328178766</v>
      </c>
      <c r="H364" s="914">
        <v>176.9297785804325</v>
      </c>
      <c r="I364" s="914">
        <v>182.88131988639063</v>
      </c>
      <c r="J364" s="914">
        <v>191.23749630338142</v>
      </c>
      <c r="K364" s="914">
        <v>199.89645601118545</v>
      </c>
      <c r="L364" s="914">
        <v>210.36479941888081</v>
      </c>
      <c r="M364" s="914">
        <v>221.36240217535854</v>
      </c>
      <c r="N364" s="914">
        <v>233.19080564556924</v>
      </c>
      <c r="O364" s="914">
        <v>244.70314616363081</v>
      </c>
      <c r="P364" s="914">
        <v>258.1051490216438</v>
      </c>
      <c r="Q364" s="914">
        <v>271.26123343313407</v>
      </c>
      <c r="R364" s="914">
        <v>283.50995205362011</v>
      </c>
      <c r="S364" s="914">
        <v>292.88584879534454</v>
      </c>
      <c r="T364" s="914">
        <v>303.70259464185926</v>
      </c>
      <c r="U364" s="914">
        <v>313.58347456242666</v>
      </c>
      <c r="V364" s="914">
        <v>325.89089746765683</v>
      </c>
      <c r="W364" s="914">
        <v>341.11550736031069</v>
      </c>
      <c r="X364" s="914">
        <v>358.21009848865214</v>
      </c>
      <c r="Y364" s="914">
        <v>374.9131546581271</v>
      </c>
      <c r="Z364" s="914">
        <v>392.1016075075479</v>
      </c>
    </row>
    <row r="365" spans="1:70" ht="13" thickBot="1" x14ac:dyDescent="0.3">
      <c r="A365" s="912" t="s">
        <v>515</v>
      </c>
      <c r="B365" s="914">
        <v>210.41252056252281</v>
      </c>
      <c r="C365" s="914">
        <v>226.88609313964801</v>
      </c>
      <c r="D365" s="914">
        <v>254.13497179068762</v>
      </c>
      <c r="E365" s="914">
        <v>187.2100922767749</v>
      </c>
      <c r="F365" s="914">
        <v>157.4270874391178</v>
      </c>
      <c r="G365" s="914">
        <v>180.83829470805441</v>
      </c>
      <c r="H365" s="914">
        <v>198.41655822177904</v>
      </c>
      <c r="I365" s="914">
        <v>216.64201952030527</v>
      </c>
      <c r="J365" s="914">
        <v>228.79975664936245</v>
      </c>
      <c r="K365" s="914">
        <v>241.15463361452254</v>
      </c>
      <c r="L365" s="914">
        <v>252.64480203410886</v>
      </c>
      <c r="M365" s="914">
        <v>265.1637238738445</v>
      </c>
      <c r="N365" s="914">
        <v>278.29776899368039</v>
      </c>
      <c r="O365" s="914">
        <v>289.61773721654419</v>
      </c>
      <c r="P365" s="914">
        <v>303.56832242347855</v>
      </c>
      <c r="Q365" s="914">
        <v>314.41390898844122</v>
      </c>
      <c r="R365" s="914">
        <v>323.63277263436424</v>
      </c>
      <c r="S365" s="914">
        <v>331.42426143912343</v>
      </c>
      <c r="T365" s="914">
        <v>339.57307272400601</v>
      </c>
      <c r="U365" s="914">
        <v>343.93727888891527</v>
      </c>
      <c r="V365" s="914">
        <v>351.82746805051073</v>
      </c>
      <c r="W365" s="914">
        <v>360.73339056833169</v>
      </c>
      <c r="X365" s="914">
        <v>371.92375563686846</v>
      </c>
      <c r="Y365" s="914">
        <v>381.22301587849751</v>
      </c>
      <c r="Z365" s="914">
        <v>389.10731115707301</v>
      </c>
    </row>
    <row r="366" spans="1:70" ht="13" thickBot="1" x14ac:dyDescent="0.3">
      <c r="A366" s="912" t="s">
        <v>487</v>
      </c>
      <c r="B366" s="914">
        <v>549.81888270324475</v>
      </c>
      <c r="C366" s="914">
        <v>596.84759521484398</v>
      </c>
      <c r="D366" s="914">
        <v>708.90187629235277</v>
      </c>
      <c r="E366" s="914">
        <v>406.38667462869051</v>
      </c>
      <c r="F366" s="914">
        <v>447.16295305198071</v>
      </c>
      <c r="G366" s="914">
        <v>542.65678113398656</v>
      </c>
      <c r="H366" s="914">
        <v>604.00010341071868</v>
      </c>
      <c r="I366" s="914">
        <v>661.06483901631009</v>
      </c>
      <c r="J366" s="914">
        <v>714.35686387994281</v>
      </c>
      <c r="K366" s="914">
        <v>764.16924059162022</v>
      </c>
      <c r="L366" s="914">
        <v>805.13331786340132</v>
      </c>
      <c r="M366" s="914">
        <v>850.39970498506295</v>
      </c>
      <c r="N366" s="914">
        <v>892.06783074940802</v>
      </c>
      <c r="O366" s="914">
        <v>929.55049698437085</v>
      </c>
      <c r="P366" s="914">
        <v>964.20679928883487</v>
      </c>
      <c r="Q366" s="914">
        <v>990.06920191633094</v>
      </c>
      <c r="R366" s="914">
        <v>1016.1557534719609</v>
      </c>
      <c r="S366" s="914">
        <v>1054.8326731961108</v>
      </c>
      <c r="T366" s="914">
        <v>1091.2729592511287</v>
      </c>
      <c r="U366" s="914">
        <v>1118.0349113947391</v>
      </c>
      <c r="V366" s="914">
        <v>1161.085260138974</v>
      </c>
      <c r="W366" s="914">
        <v>1181.9301954596156</v>
      </c>
      <c r="X366" s="914">
        <v>1232.4560893451367</v>
      </c>
      <c r="Y366" s="914">
        <v>1290.1595195386233</v>
      </c>
      <c r="Z366" s="914">
        <v>1322.0136898683704</v>
      </c>
      <c r="AA366" s="283">
        <f>Z536+($AI$366-$Y$536)/10</f>
        <v>5.5334229650972304</v>
      </c>
      <c r="AB366" s="283">
        <f t="shared" ref="AB366:AH366" si="27">AA366+($AI$366-$Y$536)/10</f>
        <v>5.5639341150042458</v>
      </c>
      <c r="AC366" s="283">
        <f t="shared" si="27"/>
        <v>5.5944452649112613</v>
      </c>
      <c r="AD366" s="283">
        <f t="shared" si="27"/>
        <v>5.6249564148182767</v>
      </c>
      <c r="AE366" s="283">
        <f t="shared" si="27"/>
        <v>5.6554675647252921</v>
      </c>
      <c r="AF366" s="283">
        <f t="shared" si="27"/>
        <v>5.6859787146323075</v>
      </c>
      <c r="AG366" s="283">
        <f t="shared" si="27"/>
        <v>5.716489864539323</v>
      </c>
      <c r="AH366" s="283">
        <f t="shared" si="27"/>
        <v>5.7470010144463384</v>
      </c>
      <c r="AI366" s="284">
        <f>T536*$E$742</f>
        <v>5.7775121643533494</v>
      </c>
      <c r="AJ366" s="283">
        <f>AI366+($AX$366-$AI$366)/15</f>
        <v>5.8429093568498098</v>
      </c>
      <c r="AK366" s="283">
        <f t="shared" ref="AK366:AW366" si="28">AJ366+($AX$366-$AI$366)/15</f>
        <v>5.9083065493462703</v>
      </c>
      <c r="AL366" s="283">
        <f t="shared" si="28"/>
        <v>5.9737037418427308</v>
      </c>
      <c r="AM366" s="283">
        <f t="shared" si="28"/>
        <v>6.0391009343391913</v>
      </c>
      <c r="AN366" s="283">
        <f t="shared" si="28"/>
        <v>6.1044981268356517</v>
      </c>
      <c r="AO366" s="283">
        <f t="shared" si="28"/>
        <v>6.1698953193321122</v>
      </c>
      <c r="AP366" s="283">
        <f t="shared" si="28"/>
        <v>6.2352925118285727</v>
      </c>
      <c r="AQ366" s="283">
        <f t="shared" si="28"/>
        <v>6.3006897043250332</v>
      </c>
      <c r="AR366" s="283">
        <f t="shared" si="28"/>
        <v>6.3660868968214936</v>
      </c>
      <c r="AS366" s="283">
        <f t="shared" si="28"/>
        <v>6.4314840893179541</v>
      </c>
      <c r="AT366" s="283">
        <f t="shared" si="28"/>
        <v>6.4968812818144146</v>
      </c>
      <c r="AU366" s="283">
        <f t="shared" si="28"/>
        <v>6.5622784743108751</v>
      </c>
      <c r="AV366" s="283">
        <f t="shared" si="28"/>
        <v>6.6276756668073356</v>
      </c>
      <c r="AW366" s="283">
        <f t="shared" si="28"/>
        <v>6.693072859303796</v>
      </c>
      <c r="AX366" s="284">
        <f>AI366*$B$742</f>
        <v>6.7584700518002592</v>
      </c>
      <c r="AY366" s="283">
        <f>AX366+($BM$366-$AX$366)/15</f>
        <v>6.8253907547799981</v>
      </c>
      <c r="AZ366" s="283">
        <f t="shared" ref="AZ366:BL366" si="29">AY366+($BM$366-$AX$366)/15</f>
        <v>6.8923114577597371</v>
      </c>
      <c r="BA366" s="283">
        <f t="shared" si="29"/>
        <v>6.959232160739476</v>
      </c>
      <c r="BB366" s="283">
        <f t="shared" si="29"/>
        <v>7.026152863719215</v>
      </c>
      <c r="BC366" s="283">
        <f t="shared" si="29"/>
        <v>7.0930735666989539</v>
      </c>
      <c r="BD366" s="283">
        <f t="shared" si="29"/>
        <v>7.1599942696786929</v>
      </c>
      <c r="BE366" s="283">
        <f t="shared" si="29"/>
        <v>7.2269149726584319</v>
      </c>
      <c r="BF366" s="283">
        <f t="shared" si="29"/>
        <v>7.2938356756381708</v>
      </c>
      <c r="BG366" s="283">
        <f t="shared" si="29"/>
        <v>7.3607563786179098</v>
      </c>
      <c r="BH366" s="283">
        <f t="shared" si="29"/>
        <v>7.4276770815976487</v>
      </c>
      <c r="BI366" s="283">
        <f t="shared" si="29"/>
        <v>7.4945977845773877</v>
      </c>
      <c r="BJ366" s="283">
        <f t="shared" si="29"/>
        <v>7.5615184875571266</v>
      </c>
      <c r="BK366" s="283">
        <f t="shared" si="29"/>
        <v>7.6284391905368656</v>
      </c>
      <c r="BL366" s="283">
        <f t="shared" si="29"/>
        <v>7.6953598935166045</v>
      </c>
      <c r="BM366" s="284">
        <f>AX366*$C$742</f>
        <v>7.7622805964963462</v>
      </c>
      <c r="BN366" s="283">
        <f>BM366+($BR$366-$BM$366)/5</f>
        <v>7.8391407838260445</v>
      </c>
      <c r="BO366" s="283">
        <f>BN366+($BR$366-$BM$366)/5</f>
        <v>7.9160009711557429</v>
      </c>
      <c r="BP366" s="283">
        <f>BO366+($BR$366-$BM$366)/5</f>
        <v>7.9928611584854412</v>
      </c>
      <c r="BQ366" s="283">
        <f>BP366+($BR$366-$BM$366)/5</f>
        <v>8.0697213458151396</v>
      </c>
      <c r="BR366" s="284">
        <f>BM366*$D$742</f>
        <v>8.1465815331448379</v>
      </c>
    </row>
    <row r="367" spans="1:70" x14ac:dyDescent="0.25">
      <c r="A367" s="912" t="s">
        <v>516</v>
      </c>
      <c r="B367" s="914">
        <v>1151.0859678463546</v>
      </c>
      <c r="C367" s="914">
        <v>1235.02709960938</v>
      </c>
      <c r="D367" s="914">
        <v>1405.9186066996403</v>
      </c>
      <c r="E367" s="914">
        <v>993.73713091111074</v>
      </c>
      <c r="F367" s="914">
        <v>991.07514876947641</v>
      </c>
      <c r="G367" s="914">
        <v>1131.7003147881212</v>
      </c>
      <c r="H367" s="914">
        <v>1221.038560105055</v>
      </c>
      <c r="I367" s="914">
        <v>1307.1547250090439</v>
      </c>
      <c r="J367" s="914">
        <v>1389.9450601614428</v>
      </c>
      <c r="K367" s="914">
        <v>1469.7993497059265</v>
      </c>
      <c r="L367" s="914">
        <v>1544.0421618496678</v>
      </c>
      <c r="M367" s="914">
        <v>1624.4209976542634</v>
      </c>
      <c r="N367" s="914">
        <v>1703.8854780296228</v>
      </c>
      <c r="O367" s="914">
        <v>1776.9868521708881</v>
      </c>
      <c r="P367" s="914">
        <v>1854.0622550605767</v>
      </c>
      <c r="Q367" s="914">
        <v>1917.5679054742993</v>
      </c>
      <c r="R367" s="914">
        <v>1978.3954213642144</v>
      </c>
      <c r="S367" s="914">
        <v>2044.5889248527621</v>
      </c>
      <c r="T367" s="914">
        <v>2112.8417777408945</v>
      </c>
      <c r="U367" s="914">
        <v>2163.9271994062915</v>
      </c>
      <c r="V367" s="914">
        <v>2241.4031618089139</v>
      </c>
      <c r="W367" s="914">
        <v>2303.558949985179</v>
      </c>
      <c r="X367" s="914">
        <v>2401.4612280803153</v>
      </c>
      <c r="Y367" s="914">
        <v>2501.5410135735665</v>
      </c>
      <c r="Z367" s="914">
        <v>2576.2560875804752</v>
      </c>
    </row>
    <row r="368" spans="1:70" ht="13" thickBot="1" x14ac:dyDescent="0.3">
      <c r="A368" s="912" t="s">
        <v>629</v>
      </c>
      <c r="B368" s="914">
        <v>3.1288517293273019E-2</v>
      </c>
      <c r="C368" s="914">
        <v>4.0145620703697205E-2</v>
      </c>
      <c r="D368" s="914">
        <v>3.8515830891447944E-2</v>
      </c>
      <c r="E368" s="914">
        <v>2.6303627333810531E-2</v>
      </c>
      <c r="F368" s="914">
        <v>5.6047443014104255E-2</v>
      </c>
      <c r="G368" s="914">
        <v>7.1119337023784479E-2</v>
      </c>
      <c r="H368" s="914">
        <v>8.8428224145552056E-2</v>
      </c>
      <c r="I368" s="914">
        <v>0.10266115711707489</v>
      </c>
      <c r="J368" s="914">
        <v>0.12491143634290662</v>
      </c>
      <c r="K368" s="914">
        <v>2.2293869286864165</v>
      </c>
      <c r="L368" s="914">
        <v>5.6123954184121017</v>
      </c>
      <c r="M368" s="914">
        <v>7.9566359351664051</v>
      </c>
      <c r="N368" s="914">
        <v>12.724991751969894</v>
      </c>
      <c r="O368" s="914">
        <v>19.495647700796784</v>
      </c>
      <c r="P368" s="914">
        <v>28.06371652814466</v>
      </c>
      <c r="Q368" s="914">
        <v>33.841758141316177</v>
      </c>
      <c r="R368" s="914">
        <v>47.452021910622882</v>
      </c>
      <c r="S368" s="914">
        <v>48.667640008057987</v>
      </c>
      <c r="T368" s="914">
        <v>47.767774332439714</v>
      </c>
      <c r="U368" s="914">
        <v>50.842459413568172</v>
      </c>
      <c r="V368" s="914">
        <v>54.12672288853372</v>
      </c>
      <c r="W368" s="914">
        <v>67.349033728123644</v>
      </c>
      <c r="X368" s="914">
        <v>72.870357898145016</v>
      </c>
      <c r="Y368" s="914">
        <v>82.472655922369356</v>
      </c>
      <c r="Z368" s="914">
        <v>85.74303480046683</v>
      </c>
    </row>
    <row r="369" spans="1:70" ht="13" thickBot="1" x14ac:dyDescent="0.3">
      <c r="A369" s="912" t="s">
        <v>518</v>
      </c>
      <c r="B369" s="914">
        <v>1151.1172301979784</v>
      </c>
      <c r="C369" s="914">
        <v>1235.06726074219</v>
      </c>
      <c r="D369" s="914">
        <v>1405.957155546361</v>
      </c>
      <c r="E369" s="914">
        <v>993.76346133595302</v>
      </c>
      <c r="F369" s="914">
        <v>991.13120249830877</v>
      </c>
      <c r="G369" s="914">
        <v>1131.7714475332546</v>
      </c>
      <c r="H369" s="914">
        <v>1221.1269368042056</v>
      </c>
      <c r="I369" s="914">
        <v>1307.2573637523753</v>
      </c>
      <c r="J369" s="914">
        <v>1390.0699789505047</v>
      </c>
      <c r="K369" s="914">
        <v>1472.0286986549243</v>
      </c>
      <c r="L369" s="914">
        <v>1549.6545225531884</v>
      </c>
      <c r="M369" s="914">
        <v>1632.3776685401217</v>
      </c>
      <c r="N369" s="914">
        <v>1716.6105344121597</v>
      </c>
      <c r="O369" s="914">
        <v>1796.4824632434897</v>
      </c>
      <c r="P369" s="914">
        <v>1882.1259667447755</v>
      </c>
      <c r="Q369" s="914">
        <v>1951.4096785174786</v>
      </c>
      <c r="R369" s="914">
        <v>2025.8475094892897</v>
      </c>
      <c r="S369" s="914">
        <v>2093.2565961526161</v>
      </c>
      <c r="T369" s="914">
        <v>2160.609578738799</v>
      </c>
      <c r="U369" s="914">
        <v>2214.7697023873047</v>
      </c>
      <c r="V369" s="914">
        <v>2295.5298624598372</v>
      </c>
      <c r="W369" s="914">
        <v>2370.9079156203875</v>
      </c>
      <c r="X369" s="914">
        <v>2474.3315685955818</v>
      </c>
      <c r="Y369" s="914">
        <v>2584.0136458368329</v>
      </c>
      <c r="Z369" s="914">
        <v>2661.9990499371279</v>
      </c>
      <c r="AA369" s="285">
        <f>Z539+($AI$369-$Y$539)/10</f>
        <v>15.611683809514826</v>
      </c>
      <c r="AB369" s="285">
        <f t="shared" ref="AB369:AH369" si="30">AA369+($AI$369-$Y$539)/10</f>
        <v>15.541748469704389</v>
      </c>
      <c r="AC369" s="285">
        <f t="shared" si="30"/>
        <v>15.471813129893953</v>
      </c>
      <c r="AD369" s="285">
        <f t="shared" si="30"/>
        <v>15.401877790083516</v>
      </c>
      <c r="AE369" s="285">
        <f t="shared" si="30"/>
        <v>15.331942450273079</v>
      </c>
      <c r="AF369" s="285">
        <f t="shared" si="30"/>
        <v>15.262007110462642</v>
      </c>
      <c r="AG369" s="285">
        <f t="shared" si="30"/>
        <v>15.192071770652205</v>
      </c>
      <c r="AH369" s="285">
        <f t="shared" si="30"/>
        <v>15.122136430841769</v>
      </c>
      <c r="AI369" s="286">
        <f>T539*$E$745</f>
        <v>15.052201091031337</v>
      </c>
      <c r="AJ369" s="285">
        <f>AI369+($AX$369-$AI$369)/15</f>
        <v>15.046283758755285</v>
      </c>
      <c r="AK369" s="285">
        <f t="shared" ref="AK369:AW369" si="31">AJ369+($AX$369-$AI$369)/15</f>
        <v>15.040366426479233</v>
      </c>
      <c r="AL369" s="285">
        <f t="shared" si="31"/>
        <v>15.034449094203181</v>
      </c>
      <c r="AM369" s="285">
        <f t="shared" si="31"/>
        <v>15.028531761927129</v>
      </c>
      <c r="AN369" s="285">
        <f t="shared" si="31"/>
        <v>15.022614429651076</v>
      </c>
      <c r="AO369" s="285">
        <f t="shared" si="31"/>
        <v>15.016697097375024</v>
      </c>
      <c r="AP369" s="285">
        <f t="shared" si="31"/>
        <v>15.010779765098972</v>
      </c>
      <c r="AQ369" s="285">
        <f t="shared" si="31"/>
        <v>15.00486243282292</v>
      </c>
      <c r="AR369" s="285">
        <f t="shared" si="31"/>
        <v>14.998945100546868</v>
      </c>
      <c r="AS369" s="285">
        <f t="shared" si="31"/>
        <v>14.993027768270816</v>
      </c>
      <c r="AT369" s="285">
        <f t="shared" si="31"/>
        <v>14.987110435994763</v>
      </c>
      <c r="AU369" s="285">
        <f t="shared" si="31"/>
        <v>14.981193103718711</v>
      </c>
      <c r="AV369" s="285">
        <f t="shared" si="31"/>
        <v>14.975275771442659</v>
      </c>
      <c r="AW369" s="285">
        <f t="shared" si="31"/>
        <v>14.969358439166607</v>
      </c>
      <c r="AX369" s="286">
        <f>AI369*$B$745</f>
        <v>14.963441106890555</v>
      </c>
      <c r="AY369" s="285">
        <f>AX369+($BM$369-$AX$369)/15</f>
        <v>14.972946595029557</v>
      </c>
      <c r="AZ369" s="285">
        <f t="shared" ref="AZ369:BL369" si="32">AY369+($BM$369-$AX$369)/15</f>
        <v>14.982452083168559</v>
      </c>
      <c r="BA369" s="285">
        <f t="shared" si="32"/>
        <v>14.991957571307561</v>
      </c>
      <c r="BB369" s="285">
        <f t="shared" si="32"/>
        <v>15.001463059446563</v>
      </c>
      <c r="BC369" s="285">
        <f t="shared" si="32"/>
        <v>15.010968547585565</v>
      </c>
      <c r="BD369" s="285">
        <f t="shared" si="32"/>
        <v>15.020474035724567</v>
      </c>
      <c r="BE369" s="285">
        <f t="shared" si="32"/>
        <v>15.029979523863569</v>
      </c>
      <c r="BF369" s="285">
        <f t="shared" si="32"/>
        <v>15.03948501200257</v>
      </c>
      <c r="BG369" s="285">
        <f t="shared" si="32"/>
        <v>15.048990500141572</v>
      </c>
      <c r="BH369" s="285">
        <f t="shared" si="32"/>
        <v>15.058495988280574</v>
      </c>
      <c r="BI369" s="285">
        <f t="shared" si="32"/>
        <v>15.068001476419576</v>
      </c>
      <c r="BJ369" s="285">
        <f t="shared" si="32"/>
        <v>15.077506964558578</v>
      </c>
      <c r="BK369" s="285">
        <f t="shared" si="32"/>
        <v>15.08701245269758</v>
      </c>
      <c r="BL369" s="285">
        <f t="shared" si="32"/>
        <v>15.096517940836582</v>
      </c>
      <c r="BM369" s="286">
        <f>AX369*$C$745</f>
        <v>15.106023428975591</v>
      </c>
      <c r="BN369" s="285">
        <f>BM369+($BR$369-$BM$369)/5</f>
        <v>15.115619492174282</v>
      </c>
      <c r="BO369" s="285">
        <f>BN369+($BR$369-$BM$369)/5</f>
        <v>15.125215555372973</v>
      </c>
      <c r="BP369" s="285">
        <f>BO369+($BR$369-$BM$369)/5</f>
        <v>15.134811618571664</v>
      </c>
      <c r="BQ369" s="285">
        <f>BP369+($BR$369-$BM$369)/5</f>
        <v>15.144407681770355</v>
      </c>
      <c r="BR369" s="286">
        <f>BM369*$D$745</f>
        <v>15.154003744969049</v>
      </c>
    </row>
    <row r="373" spans="1:70" ht="13" thickBot="1" x14ac:dyDescent="0.3">
      <c r="A373" s="912" t="s">
        <v>630</v>
      </c>
    </row>
    <row r="374" spans="1:70" ht="13" thickBot="1" x14ac:dyDescent="0.3">
      <c r="A374" s="912" t="s">
        <v>631</v>
      </c>
      <c r="AA374" s="287">
        <f>Z544+($AI$374-$Y$544)/10</f>
        <v>11.584123362673006</v>
      </c>
      <c r="AB374" s="287">
        <f t="shared" ref="AB374:AH374" si="33">AA374+($AI$374-$Y$544)/10</f>
        <v>11.952852829654059</v>
      </c>
      <c r="AC374" s="287">
        <f t="shared" si="33"/>
        <v>12.321582296635112</v>
      </c>
      <c r="AD374" s="287">
        <f t="shared" si="33"/>
        <v>12.690311763616165</v>
      </c>
      <c r="AE374" s="287">
        <f t="shared" si="33"/>
        <v>13.059041230597218</v>
      </c>
      <c r="AF374" s="287">
        <f t="shared" si="33"/>
        <v>13.427770697578271</v>
      </c>
      <c r="AG374" s="287">
        <f t="shared" si="33"/>
        <v>13.796500164559324</v>
      </c>
      <c r="AH374" s="287">
        <f t="shared" si="33"/>
        <v>14.165229631540377</v>
      </c>
      <c r="AI374" s="288">
        <f>T544*$E$744</f>
        <v>14.533959098521429</v>
      </c>
      <c r="AJ374" s="287">
        <f>AI374+($AX$374-$AI$374)/15</f>
        <v>14.687791105011014</v>
      </c>
      <c r="AK374" s="287">
        <f t="shared" ref="AK374:AW374" si="34">AJ374+($AX$374-$AI$374)/15</f>
        <v>14.841623111500599</v>
      </c>
      <c r="AL374" s="287">
        <f t="shared" si="34"/>
        <v>14.995455117990184</v>
      </c>
      <c r="AM374" s="287">
        <f t="shared" si="34"/>
        <v>15.14928712447977</v>
      </c>
      <c r="AN374" s="287">
        <f t="shared" si="34"/>
        <v>15.303119130969355</v>
      </c>
      <c r="AO374" s="287">
        <f t="shared" si="34"/>
        <v>15.45695113745894</v>
      </c>
      <c r="AP374" s="287">
        <f t="shared" si="34"/>
        <v>15.610783143948526</v>
      </c>
      <c r="AQ374" s="287">
        <f t="shared" si="34"/>
        <v>15.764615150438111</v>
      </c>
      <c r="AR374" s="287">
        <f t="shared" si="34"/>
        <v>15.918447156927696</v>
      </c>
      <c r="AS374" s="287">
        <f t="shared" si="34"/>
        <v>16.072279163417281</v>
      </c>
      <c r="AT374" s="287">
        <f t="shared" si="34"/>
        <v>16.226111169906865</v>
      </c>
      <c r="AU374" s="287">
        <f t="shared" si="34"/>
        <v>16.379943176396448</v>
      </c>
      <c r="AV374" s="287">
        <f t="shared" si="34"/>
        <v>16.533775182886032</v>
      </c>
      <c r="AW374" s="287">
        <f t="shared" si="34"/>
        <v>16.687607189375615</v>
      </c>
      <c r="AX374" s="288">
        <f>AI374*$B$744</f>
        <v>16.841439195865195</v>
      </c>
      <c r="AY374" s="287">
        <f>AX374+($BM$374-$AX$374)/15</f>
        <v>16.937333989857837</v>
      </c>
      <c r="AZ374" s="287">
        <f t="shared" ref="AZ374:BL374" si="35">AY374+($BM$374-$AX$374)/15</f>
        <v>17.033228783850479</v>
      </c>
      <c r="BA374" s="287">
        <f t="shared" si="35"/>
        <v>17.129123577843121</v>
      </c>
      <c r="BB374" s="287">
        <f t="shared" si="35"/>
        <v>17.225018371835763</v>
      </c>
      <c r="BC374" s="287">
        <f t="shared" si="35"/>
        <v>17.320913165828404</v>
      </c>
      <c r="BD374" s="287">
        <f t="shared" si="35"/>
        <v>17.416807959821046</v>
      </c>
      <c r="BE374" s="287">
        <f t="shared" si="35"/>
        <v>17.512702753813688</v>
      </c>
      <c r="BF374" s="287">
        <f t="shared" si="35"/>
        <v>17.60859754780633</v>
      </c>
      <c r="BG374" s="287">
        <f t="shared" si="35"/>
        <v>17.704492341798971</v>
      </c>
      <c r="BH374" s="287">
        <f t="shared" si="35"/>
        <v>17.800387135791613</v>
      </c>
      <c r="BI374" s="287">
        <f t="shared" si="35"/>
        <v>17.896281929784255</v>
      </c>
      <c r="BJ374" s="287">
        <f t="shared" si="35"/>
        <v>17.992176723776897</v>
      </c>
      <c r="BK374" s="287">
        <f t="shared" si="35"/>
        <v>18.088071517769539</v>
      </c>
      <c r="BL374" s="287">
        <f t="shared" si="35"/>
        <v>18.18396631176218</v>
      </c>
      <c r="BM374" s="288">
        <f>AX374*$C$744</f>
        <v>18.27986110575484</v>
      </c>
      <c r="BN374" s="287">
        <f>BM374+($BR$374-$BM$374)/5</f>
        <v>18.383946243287554</v>
      </c>
      <c r="BO374" s="287">
        <f>BN374+($BR$374-$BM$374)/5</f>
        <v>18.488031380820267</v>
      </c>
      <c r="BP374" s="287">
        <f>BO374+($BR$374-$BM$374)/5</f>
        <v>18.592116518352981</v>
      </c>
      <c r="BQ374" s="287">
        <f>BP374+($BR$374-$BM$374)/5</f>
        <v>18.696201655885694</v>
      </c>
      <c r="BR374" s="288">
        <f>BM374*$D$744</f>
        <v>18.800286793418415</v>
      </c>
    </row>
    <row r="375" spans="1:70" ht="13" thickBot="1" x14ac:dyDescent="0.3">
      <c r="A375" s="912" t="s">
        <v>632</v>
      </c>
    </row>
    <row r="376" spans="1:70" ht="13" thickBot="1" x14ac:dyDescent="0.3">
      <c r="A376" s="912" t="s">
        <v>728</v>
      </c>
      <c r="AA376" s="287">
        <f>Z546+($AI$376-$Y$546)/10</f>
        <v>13.665763245709009</v>
      </c>
      <c r="AB376" s="287">
        <f t="shared" ref="AB376:AH376" si="36">AA376+($AI$376-$Y$546)/10</f>
        <v>14.091688195895063</v>
      </c>
      <c r="AC376" s="287">
        <f t="shared" si="36"/>
        <v>14.517613146081118</v>
      </c>
      <c r="AD376" s="287">
        <f t="shared" si="36"/>
        <v>14.943538096267172</v>
      </c>
      <c r="AE376" s="287">
        <f t="shared" si="36"/>
        <v>15.369463046453227</v>
      </c>
      <c r="AF376" s="287">
        <f t="shared" si="36"/>
        <v>15.795387996639281</v>
      </c>
      <c r="AG376" s="287">
        <f t="shared" si="36"/>
        <v>16.221312946825336</v>
      </c>
      <c r="AH376" s="287">
        <f t="shared" si="36"/>
        <v>16.64723789701139</v>
      </c>
      <c r="AI376" s="288">
        <f>T546*$E$744</f>
        <v>17.073162847197445</v>
      </c>
      <c r="AJ376" s="287">
        <f>AI376+($AX$376-$AI$376)/15</f>
        <v>17.253870586919582</v>
      </c>
      <c r="AK376" s="287">
        <f t="shared" ref="AK376:AW376" si="37">AJ376+($AX$376-$AI$376)/15</f>
        <v>17.43457832664172</v>
      </c>
      <c r="AL376" s="287">
        <f t="shared" si="37"/>
        <v>17.615286066363858</v>
      </c>
      <c r="AM376" s="287">
        <f t="shared" si="37"/>
        <v>17.795993806085995</v>
      </c>
      <c r="AN376" s="287">
        <f t="shared" si="37"/>
        <v>17.976701545808133</v>
      </c>
      <c r="AO376" s="287">
        <f t="shared" si="37"/>
        <v>18.157409285530271</v>
      </c>
      <c r="AP376" s="287">
        <f t="shared" si="37"/>
        <v>18.338117025252409</v>
      </c>
      <c r="AQ376" s="287">
        <f t="shared" si="37"/>
        <v>18.518824764974546</v>
      </c>
      <c r="AR376" s="287">
        <f t="shared" si="37"/>
        <v>18.699532504696684</v>
      </c>
      <c r="AS376" s="287">
        <f t="shared" si="37"/>
        <v>18.880240244418822</v>
      </c>
      <c r="AT376" s="287">
        <f t="shared" si="37"/>
        <v>19.060947984140959</v>
      </c>
      <c r="AU376" s="287">
        <f t="shared" si="37"/>
        <v>19.241655723863097</v>
      </c>
      <c r="AV376" s="287">
        <f t="shared" si="37"/>
        <v>19.422363463585235</v>
      </c>
      <c r="AW376" s="287">
        <f t="shared" si="37"/>
        <v>19.603071203307373</v>
      </c>
      <c r="AX376" s="288">
        <f>AI376*$B$744</f>
        <v>19.783778943029514</v>
      </c>
      <c r="AY376" s="287">
        <f>AX376+($BM$376-$AX$376)/15</f>
        <v>19.896427356509733</v>
      </c>
      <c r="AZ376" s="287">
        <f t="shared" ref="AZ376:BL376" si="38">AY376+($BM$376-$AX$376)/15</f>
        <v>20.009075769989952</v>
      </c>
      <c r="BA376" s="287">
        <f t="shared" si="38"/>
        <v>20.121724183470171</v>
      </c>
      <c r="BB376" s="287">
        <f t="shared" si="38"/>
        <v>20.23437259695039</v>
      </c>
      <c r="BC376" s="287">
        <f t="shared" si="38"/>
        <v>20.347021010430609</v>
      </c>
      <c r="BD376" s="287">
        <f t="shared" si="38"/>
        <v>20.459669423910828</v>
      </c>
      <c r="BE376" s="287">
        <f t="shared" si="38"/>
        <v>20.572317837391047</v>
      </c>
      <c r="BF376" s="287">
        <f t="shared" si="38"/>
        <v>20.684966250871266</v>
      </c>
      <c r="BG376" s="287">
        <f t="shared" si="38"/>
        <v>20.797614664351485</v>
      </c>
      <c r="BH376" s="287">
        <f t="shared" si="38"/>
        <v>20.910263077831704</v>
      </c>
      <c r="BI376" s="287">
        <f t="shared" si="38"/>
        <v>21.022911491311923</v>
      </c>
      <c r="BJ376" s="287">
        <f t="shared" si="38"/>
        <v>21.135559904792142</v>
      </c>
      <c r="BK376" s="287">
        <f t="shared" si="38"/>
        <v>21.248208318272361</v>
      </c>
      <c r="BL376" s="287">
        <f t="shared" si="38"/>
        <v>21.36085673175258</v>
      </c>
      <c r="BM376" s="288">
        <f>AX376*$C$744</f>
        <v>21.47350514523281</v>
      </c>
      <c r="BN376" s="287">
        <f>BM376+($BR$376-$BM$376)/5</f>
        <v>21.595774823509927</v>
      </c>
      <c r="BO376" s="287">
        <f>BN376+($BR$376-$BM$376)/5</f>
        <v>21.718044501787045</v>
      </c>
      <c r="BP376" s="287">
        <f>BO376+($BR$376-$BM$376)/5</f>
        <v>21.840314180064162</v>
      </c>
      <c r="BQ376" s="287">
        <f>BP376+($BR$376-$BM$376)/5</f>
        <v>21.962583858341279</v>
      </c>
      <c r="BR376" s="288">
        <f>BM376*$D$744</f>
        <v>22.084853536618393</v>
      </c>
    </row>
    <row r="377" spans="1:70" x14ac:dyDescent="0.25">
      <c r="A377" s="912" t="s">
        <v>729</v>
      </c>
    </row>
    <row r="378" spans="1:70" x14ac:dyDescent="0.25">
      <c r="A378" s="912" t="s">
        <v>649</v>
      </c>
    </row>
    <row r="379" spans="1:70" ht="13" thickBot="1" x14ac:dyDescent="0.3">
      <c r="A379" s="912" t="s">
        <v>650</v>
      </c>
    </row>
    <row r="380" spans="1:70" ht="13" thickBot="1" x14ac:dyDescent="0.3">
      <c r="A380" s="912" t="s">
        <v>651</v>
      </c>
      <c r="AA380" s="289">
        <f>Z550+($AI$380-$Y$550)/10</f>
        <v>17.944433063730909</v>
      </c>
      <c r="AB380" s="289">
        <f t="shared" ref="AB380:AH380" si="39">AA380+($AI$380-$Y$550)/10</f>
        <v>17.852387205459664</v>
      </c>
      <c r="AC380" s="289">
        <f t="shared" si="39"/>
        <v>17.760341347188419</v>
      </c>
      <c r="AD380" s="289">
        <f t="shared" si="39"/>
        <v>17.668295488917174</v>
      </c>
      <c r="AE380" s="289">
        <f t="shared" si="39"/>
        <v>17.576249630645929</v>
      </c>
      <c r="AF380" s="289">
        <f t="shared" si="39"/>
        <v>17.484203772374684</v>
      </c>
      <c r="AG380" s="289">
        <f t="shared" si="39"/>
        <v>17.392157914103439</v>
      </c>
      <c r="AH380" s="289">
        <f t="shared" si="39"/>
        <v>17.300112055832194</v>
      </c>
      <c r="AI380" s="290">
        <f>T550*$E$747</f>
        <v>17.208066197560942</v>
      </c>
      <c r="AJ380" s="289">
        <f>AI380+($AX$380-$AI$380)/15</f>
        <v>17.219509839491277</v>
      </c>
      <c r="AK380" s="289">
        <f t="shared" ref="AK380:AW380" si="40">AJ380+($AX$380-$AI$380)/15</f>
        <v>17.230953481421611</v>
      </c>
      <c r="AL380" s="289">
        <f t="shared" si="40"/>
        <v>17.242397123351946</v>
      </c>
      <c r="AM380" s="289">
        <f t="shared" si="40"/>
        <v>17.253840765282281</v>
      </c>
      <c r="AN380" s="289">
        <f t="shared" si="40"/>
        <v>17.265284407212615</v>
      </c>
      <c r="AO380" s="289">
        <f t="shared" si="40"/>
        <v>17.27672804914295</v>
      </c>
      <c r="AP380" s="289">
        <f t="shared" si="40"/>
        <v>17.288171691073284</v>
      </c>
      <c r="AQ380" s="289">
        <f t="shared" si="40"/>
        <v>17.299615333003619</v>
      </c>
      <c r="AR380" s="289">
        <f t="shared" si="40"/>
        <v>17.311058974933953</v>
      </c>
      <c r="AS380" s="289">
        <f t="shared" si="40"/>
        <v>17.322502616864288</v>
      </c>
      <c r="AT380" s="289">
        <f t="shared" si="40"/>
        <v>17.333946258794622</v>
      </c>
      <c r="AU380" s="289">
        <f t="shared" si="40"/>
        <v>17.345389900724957</v>
      </c>
      <c r="AV380" s="289">
        <f t="shared" si="40"/>
        <v>17.356833542655291</v>
      </c>
      <c r="AW380" s="289">
        <f t="shared" si="40"/>
        <v>17.368277184585626</v>
      </c>
      <c r="AX380" s="290">
        <f>AI380*$B$747</f>
        <v>17.379720826515971</v>
      </c>
      <c r="AY380" s="289">
        <f>AX380+($BM$380-$AX$380)/15</f>
        <v>17.385626979648983</v>
      </c>
      <c r="AZ380" s="289">
        <f t="shared" ref="AZ380:BL380" si="41">AY380+($BM$380-$AX$380)/15</f>
        <v>17.391533132781994</v>
      </c>
      <c r="BA380" s="289">
        <f t="shared" si="41"/>
        <v>17.397439285915006</v>
      </c>
      <c r="BB380" s="289">
        <f t="shared" si="41"/>
        <v>17.403345439048017</v>
      </c>
      <c r="BC380" s="289">
        <f t="shared" si="41"/>
        <v>17.409251592181029</v>
      </c>
      <c r="BD380" s="289">
        <f t="shared" si="41"/>
        <v>17.41515774531404</v>
      </c>
      <c r="BE380" s="289">
        <f t="shared" si="41"/>
        <v>17.421063898447052</v>
      </c>
      <c r="BF380" s="289">
        <f t="shared" si="41"/>
        <v>17.426970051580064</v>
      </c>
      <c r="BG380" s="289">
        <f t="shared" si="41"/>
        <v>17.432876204713075</v>
      </c>
      <c r="BH380" s="289">
        <f t="shared" si="41"/>
        <v>17.438782357846087</v>
      </c>
      <c r="BI380" s="289">
        <f t="shared" si="41"/>
        <v>17.444688510979098</v>
      </c>
      <c r="BJ380" s="289">
        <f t="shared" si="41"/>
        <v>17.45059466411211</v>
      </c>
      <c r="BK380" s="289">
        <f t="shared" si="41"/>
        <v>17.456500817245121</v>
      </c>
      <c r="BL380" s="289">
        <f t="shared" si="41"/>
        <v>17.462406970378133</v>
      </c>
      <c r="BM380" s="290">
        <f>AX380*$C$747</f>
        <v>17.468313123511169</v>
      </c>
      <c r="BN380" s="289">
        <f>BM380+($BR$380-$BM$380)/5</f>
        <v>17.474249382977746</v>
      </c>
      <c r="BO380" s="289">
        <f>BN380+($BR$380-$BM$380)/5</f>
        <v>17.480185642444322</v>
      </c>
      <c r="BP380" s="289">
        <f>BO380+($BR$380-$BM$380)/5</f>
        <v>17.486121901910899</v>
      </c>
      <c r="BQ380" s="289">
        <f>BP380+($BR$380-$BM$380)/5</f>
        <v>17.492058161377475</v>
      </c>
      <c r="BR380" s="290">
        <f>BM380*$D$747</f>
        <v>17.497994420844059</v>
      </c>
    </row>
    <row r="381" spans="1:70" x14ac:dyDescent="0.25">
      <c r="A381" s="912" t="s">
        <v>652</v>
      </c>
    </row>
    <row r="382" spans="1:70" x14ac:dyDescent="0.25">
      <c r="A382" s="912" t="s">
        <v>653</v>
      </c>
    </row>
    <row r="383" spans="1:70" x14ac:dyDescent="0.25">
      <c r="A383" s="912" t="s">
        <v>654</v>
      </c>
    </row>
    <row r="384" spans="1:70" x14ac:dyDescent="0.25">
      <c r="A384" s="912" t="s">
        <v>545</v>
      </c>
    </row>
    <row r="385" spans="1:70" x14ac:dyDescent="0.25">
      <c r="A385" s="912" t="s">
        <v>730</v>
      </c>
    </row>
    <row r="386" spans="1:70" x14ac:dyDescent="0.25">
      <c r="A386" s="912" t="s">
        <v>731</v>
      </c>
    </row>
    <row r="387" spans="1:70" x14ac:dyDescent="0.25">
      <c r="A387" s="912" t="s">
        <v>732</v>
      </c>
    </row>
    <row r="388" spans="1:70" x14ac:dyDescent="0.25">
      <c r="A388" s="912" t="s">
        <v>733</v>
      </c>
    </row>
    <row r="389" spans="1:70" x14ac:dyDescent="0.25">
      <c r="A389" s="912" t="s">
        <v>734</v>
      </c>
    </row>
    <row r="390" spans="1:70" x14ac:dyDescent="0.25">
      <c r="A390" s="912" t="s">
        <v>735</v>
      </c>
    </row>
    <row r="391" spans="1:70" ht="13" thickBot="1" x14ac:dyDescent="0.3">
      <c r="A391" s="912" t="s">
        <v>736</v>
      </c>
    </row>
    <row r="392" spans="1:70" ht="13" thickBot="1" x14ac:dyDescent="0.3">
      <c r="A392" s="912" t="s">
        <v>737</v>
      </c>
      <c r="AA392" s="283">
        <f>Z562+($AI$392-$Y$562)/10</f>
        <v>5.5024940130181221</v>
      </c>
      <c r="AB392" s="283">
        <f t="shared" ref="AB392:AH392" si="42">AA392+($AI$392-$Y$562)/10</f>
        <v>5.5327298577229831</v>
      </c>
      <c r="AC392" s="283">
        <f t="shared" si="42"/>
        <v>5.5629657024278441</v>
      </c>
      <c r="AD392" s="283">
        <f t="shared" si="42"/>
        <v>5.593201547132705</v>
      </c>
      <c r="AE392" s="283">
        <f t="shared" si="42"/>
        <v>5.623437391837566</v>
      </c>
      <c r="AF392" s="283">
        <f t="shared" si="42"/>
        <v>5.6536732365424269</v>
      </c>
      <c r="AG392" s="283">
        <f t="shared" si="42"/>
        <v>5.6839090812472879</v>
      </c>
      <c r="AH392" s="283">
        <f t="shared" si="42"/>
        <v>5.7141449259521488</v>
      </c>
      <c r="AI392" s="284">
        <f>T562*$E$742</f>
        <v>5.7443807706570116</v>
      </c>
      <c r="AJ392" s="283">
        <f>AI392+($AX$392-$AI$392)/15</f>
        <v>5.809402940121136</v>
      </c>
      <c r="AK392" s="283">
        <f t="shared" ref="AK392:AW392" si="43">AJ392+($AX$392-$AI$392)/15</f>
        <v>5.8744251095852604</v>
      </c>
      <c r="AL392" s="283">
        <f t="shared" si="43"/>
        <v>5.9394472790493849</v>
      </c>
      <c r="AM392" s="283">
        <f t="shared" si="43"/>
        <v>6.0044694485135093</v>
      </c>
      <c r="AN392" s="283">
        <f t="shared" si="43"/>
        <v>6.0694916179776337</v>
      </c>
      <c r="AO392" s="283">
        <f t="shared" si="43"/>
        <v>6.1345137874417581</v>
      </c>
      <c r="AP392" s="283">
        <f t="shared" si="43"/>
        <v>6.1995359569058825</v>
      </c>
      <c r="AQ392" s="283">
        <f t="shared" si="43"/>
        <v>6.264558126370007</v>
      </c>
      <c r="AR392" s="283">
        <f t="shared" si="43"/>
        <v>6.3295802958341314</v>
      </c>
      <c r="AS392" s="283">
        <f t="shared" si="43"/>
        <v>6.3946024652982558</v>
      </c>
      <c r="AT392" s="283">
        <f t="shared" si="43"/>
        <v>6.4596246347623802</v>
      </c>
      <c r="AU392" s="283">
        <f t="shared" si="43"/>
        <v>6.5246468042265047</v>
      </c>
      <c r="AV392" s="283">
        <f t="shared" si="43"/>
        <v>6.5896689736906291</v>
      </c>
      <c r="AW392" s="283">
        <f t="shared" si="43"/>
        <v>6.6546911431547535</v>
      </c>
      <c r="AX392" s="284">
        <f>AI392*$B$742</f>
        <v>6.7197133126188779</v>
      </c>
      <c r="AY392" s="283">
        <f>AX392+($BM$392-$AX$392)/15</f>
        <v>6.7862502559294402</v>
      </c>
      <c r="AZ392" s="283">
        <f t="shared" ref="AZ392:BL392" si="44">AY392+($BM$392-$AX$392)/15</f>
        <v>6.8527871992400025</v>
      </c>
      <c r="BA392" s="283">
        <f t="shared" si="44"/>
        <v>6.9193241425505647</v>
      </c>
      <c r="BB392" s="283">
        <f t="shared" si="44"/>
        <v>6.985861085861127</v>
      </c>
      <c r="BC392" s="283">
        <f t="shared" si="44"/>
        <v>7.0523980291716892</v>
      </c>
      <c r="BD392" s="283">
        <f t="shared" si="44"/>
        <v>7.1189349724822515</v>
      </c>
      <c r="BE392" s="283">
        <f t="shared" si="44"/>
        <v>7.1854719157928137</v>
      </c>
      <c r="BF392" s="283">
        <f t="shared" si="44"/>
        <v>7.252008859103376</v>
      </c>
      <c r="BG392" s="283">
        <f t="shared" si="44"/>
        <v>7.3185458024139383</v>
      </c>
      <c r="BH392" s="283">
        <f t="shared" si="44"/>
        <v>7.3850827457245005</v>
      </c>
      <c r="BI392" s="283">
        <f t="shared" si="44"/>
        <v>7.4516196890350628</v>
      </c>
      <c r="BJ392" s="283">
        <f t="shared" si="44"/>
        <v>7.518156632345625</v>
      </c>
      <c r="BK392" s="283">
        <f t="shared" si="44"/>
        <v>7.5846935756561873</v>
      </c>
      <c r="BL392" s="283">
        <f t="shared" si="44"/>
        <v>7.6512305189667495</v>
      </c>
      <c r="BM392" s="284">
        <f>AX392*$C$742</f>
        <v>7.7177674622773127</v>
      </c>
      <c r="BN392" s="283">
        <f>BM392+($BR$392-$BM$392)/5</f>
        <v>7.7941868915344088</v>
      </c>
      <c r="BO392" s="283">
        <f>BN392+($BR$392-$BM$392)/5</f>
        <v>7.8706063207915049</v>
      </c>
      <c r="BP392" s="283">
        <f>BO392+($BR$392-$BM$392)/5</f>
        <v>7.947025750048601</v>
      </c>
      <c r="BQ392" s="283">
        <f>BP392+($BR$392-$BM$392)/5</f>
        <v>8.023445179305698</v>
      </c>
      <c r="BR392" s="284">
        <f>BM392*$D$742</f>
        <v>8.099864608562795</v>
      </c>
    </row>
    <row r="393" spans="1:70" ht="13" thickBot="1" x14ac:dyDescent="0.3">
      <c r="A393" s="912" t="s">
        <v>738</v>
      </c>
      <c r="AA393" s="291">
        <f>Z563+($AI$393-$Y$563)/10</f>
        <v>1.3116492415795387</v>
      </c>
      <c r="AB393" s="291">
        <f t="shared" ref="AB393:AH393" si="45">AA393+($AI$393-$Y$563)/10</f>
        <v>1.314474997718583</v>
      </c>
      <c r="AC393" s="291">
        <f t="shared" si="45"/>
        <v>1.3173007538576273</v>
      </c>
      <c r="AD393" s="291">
        <f t="shared" si="45"/>
        <v>1.3201265099966717</v>
      </c>
      <c r="AE393" s="291">
        <f t="shared" si="45"/>
        <v>1.322952266135716</v>
      </c>
      <c r="AF393" s="291">
        <f t="shared" si="45"/>
        <v>1.3257780222747604</v>
      </c>
      <c r="AG393" s="291">
        <f t="shared" si="45"/>
        <v>1.3286037784138047</v>
      </c>
      <c r="AH393" s="291">
        <f t="shared" si="45"/>
        <v>1.3314295345528491</v>
      </c>
      <c r="AI393" s="292">
        <f>T563*$E$740</f>
        <v>1.3342552906918941</v>
      </c>
      <c r="AJ393" s="291">
        <f>AI393+($AX$393-$AI$393)/15</f>
        <v>1.3381671025139799</v>
      </c>
      <c r="AK393" s="291">
        <f t="shared" ref="AK393:AW393" si="46">AJ393+($AX$393-$AI$393)/15</f>
        <v>1.3420789143360656</v>
      </c>
      <c r="AL393" s="291">
        <f t="shared" si="46"/>
        <v>1.3459907261581514</v>
      </c>
      <c r="AM393" s="291">
        <f t="shared" si="46"/>
        <v>1.3499025379802372</v>
      </c>
      <c r="AN393" s="291">
        <f t="shared" si="46"/>
        <v>1.353814349802323</v>
      </c>
      <c r="AO393" s="291">
        <f t="shared" si="46"/>
        <v>1.3577261616244087</v>
      </c>
      <c r="AP393" s="291">
        <f t="shared" si="46"/>
        <v>1.3616379734464945</v>
      </c>
      <c r="AQ393" s="291">
        <f t="shared" si="46"/>
        <v>1.3655497852685803</v>
      </c>
      <c r="AR393" s="291">
        <f t="shared" si="46"/>
        <v>1.3694615970906661</v>
      </c>
      <c r="AS393" s="291">
        <f t="shared" si="46"/>
        <v>1.3733734089127518</v>
      </c>
      <c r="AT393" s="291">
        <f t="shared" si="46"/>
        <v>1.3772852207348376</v>
      </c>
      <c r="AU393" s="291">
        <f t="shared" si="46"/>
        <v>1.3811970325569234</v>
      </c>
      <c r="AV393" s="291">
        <f t="shared" si="46"/>
        <v>1.3851088443790092</v>
      </c>
      <c r="AW393" s="291">
        <f t="shared" si="46"/>
        <v>1.3890206562010949</v>
      </c>
      <c r="AX393" s="292">
        <f>AI393*$B$740</f>
        <v>1.3929324680231794</v>
      </c>
      <c r="AY393" s="291">
        <f>AX393+($BM$393-$AX$393)/15</f>
        <v>1.3955742685410359</v>
      </c>
      <c r="AZ393" s="291">
        <f t="shared" ref="AZ393:BL393" si="47">AY393+($BM$393-$AX$393)/15</f>
        <v>1.3982160690588925</v>
      </c>
      <c r="BA393" s="291">
        <f t="shared" si="47"/>
        <v>1.4008578695767491</v>
      </c>
      <c r="BB393" s="291">
        <f t="shared" si="47"/>
        <v>1.4034996700946056</v>
      </c>
      <c r="BC393" s="291">
        <f t="shared" si="47"/>
        <v>1.4061414706124622</v>
      </c>
      <c r="BD393" s="291">
        <f t="shared" si="47"/>
        <v>1.4087832711303188</v>
      </c>
      <c r="BE393" s="291">
        <f t="shared" si="47"/>
        <v>1.4114250716481753</v>
      </c>
      <c r="BF393" s="291">
        <f t="shared" si="47"/>
        <v>1.4140668721660319</v>
      </c>
      <c r="BG393" s="291">
        <f t="shared" si="47"/>
        <v>1.4167086726838884</v>
      </c>
      <c r="BH393" s="291">
        <f t="shared" si="47"/>
        <v>1.419350473201745</v>
      </c>
      <c r="BI393" s="291">
        <f t="shared" si="47"/>
        <v>1.4219922737196016</v>
      </c>
      <c r="BJ393" s="291">
        <f t="shared" si="47"/>
        <v>1.4246340742374581</v>
      </c>
      <c r="BK393" s="291">
        <f t="shared" si="47"/>
        <v>1.4272758747553147</v>
      </c>
      <c r="BL393" s="291">
        <f t="shared" si="47"/>
        <v>1.4299176752731713</v>
      </c>
      <c r="BM393" s="292">
        <f>AX393*$C$740</f>
        <v>1.4325594757910274</v>
      </c>
      <c r="BN393" s="291">
        <f>BM393+($BR$393-$BM$393)/5</f>
        <v>1.4352764318903966</v>
      </c>
      <c r="BO393" s="291">
        <f>BN393+($BR$393-$BM$393)/5</f>
        <v>1.4379933879897657</v>
      </c>
      <c r="BP393" s="291">
        <f>BO393+($BR$393-$BM$393)/5</f>
        <v>1.4407103440891349</v>
      </c>
      <c r="BQ393" s="291">
        <f>BP393+($BR$393-$BM$393)/5</f>
        <v>1.4434273001885041</v>
      </c>
      <c r="BR393" s="292">
        <f>BM393*$D$740</f>
        <v>1.4461442562878735</v>
      </c>
    </row>
    <row r="394" spans="1:70" x14ac:dyDescent="0.25">
      <c r="A394" s="912" t="s">
        <v>739</v>
      </c>
    </row>
    <row r="395" spans="1:70" x14ac:dyDescent="0.25">
      <c r="A395" s="912" t="s">
        <v>740</v>
      </c>
    </row>
    <row r="396" spans="1:70" x14ac:dyDescent="0.25">
      <c r="A396" s="912" t="s">
        <v>741</v>
      </c>
    </row>
    <row r="397" spans="1:70" x14ac:dyDescent="0.25">
      <c r="A397" s="912" t="s">
        <v>742</v>
      </c>
    </row>
    <row r="403" spans="1:26" x14ac:dyDescent="0.25">
      <c r="A403" s="306" t="s">
        <v>863</v>
      </c>
      <c r="B403" s="306"/>
      <c r="C403" s="306"/>
      <c r="D403" s="306"/>
      <c r="E403" s="306"/>
      <c r="F403" s="306"/>
      <c r="G403" s="306"/>
      <c r="H403" s="306"/>
      <c r="I403" s="306"/>
      <c r="J403" s="306"/>
      <c r="K403" s="306"/>
      <c r="L403" s="306"/>
      <c r="M403" s="306"/>
      <c r="N403" s="306"/>
      <c r="O403" s="306"/>
      <c r="P403" s="306"/>
      <c r="Q403" s="306"/>
      <c r="R403" s="306"/>
      <c r="S403" s="306"/>
      <c r="T403" s="306"/>
      <c r="U403" s="306"/>
      <c r="V403" s="306"/>
      <c r="W403" s="306"/>
      <c r="X403" s="306"/>
      <c r="Y403" s="306"/>
      <c r="Z403" s="306"/>
    </row>
    <row r="404" spans="1:26" x14ac:dyDescent="0.25">
      <c r="A404" s="306" t="s">
        <v>601</v>
      </c>
      <c r="B404" s="306"/>
      <c r="C404" s="306"/>
      <c r="D404" s="306"/>
      <c r="E404" s="306"/>
      <c r="F404" s="306"/>
      <c r="G404" s="306"/>
      <c r="H404" s="306"/>
      <c r="I404" s="306"/>
      <c r="J404" s="306"/>
      <c r="K404" s="306"/>
      <c r="L404" s="306"/>
      <c r="M404" s="306"/>
      <c r="N404" s="306"/>
      <c r="O404" s="306"/>
      <c r="P404" s="306"/>
      <c r="Q404" s="306"/>
      <c r="R404" s="306"/>
      <c r="S404" s="306"/>
      <c r="T404" s="306"/>
      <c r="U404" s="306"/>
      <c r="V404" s="306"/>
      <c r="W404" s="306"/>
      <c r="X404" s="306"/>
      <c r="Y404" s="306"/>
      <c r="Z404" s="306"/>
    </row>
    <row r="405" spans="1:26" x14ac:dyDescent="0.25">
      <c r="A405" s="306" t="s">
        <v>602</v>
      </c>
      <c r="B405" s="306"/>
      <c r="C405" s="306"/>
      <c r="D405" s="306"/>
      <c r="E405" s="306"/>
      <c r="F405" s="306"/>
      <c r="G405" s="306"/>
      <c r="H405" s="306"/>
      <c r="I405" s="306"/>
      <c r="J405" s="306"/>
      <c r="K405" s="306"/>
      <c r="L405" s="306"/>
      <c r="M405" s="306"/>
      <c r="N405" s="306"/>
      <c r="O405" s="306"/>
      <c r="P405" s="306"/>
      <c r="Q405" s="306"/>
      <c r="R405" s="306"/>
      <c r="S405" s="306"/>
      <c r="T405" s="306"/>
      <c r="U405" s="306"/>
      <c r="V405" s="306"/>
      <c r="W405" s="306"/>
      <c r="X405" s="306"/>
      <c r="Y405" s="306"/>
      <c r="Z405" s="306"/>
    </row>
    <row r="406" spans="1:26" x14ac:dyDescent="0.25">
      <c r="A406" s="306"/>
      <c r="B406" s="306"/>
      <c r="C406" s="306"/>
      <c r="D406" s="306"/>
      <c r="E406" s="306"/>
      <c r="F406" s="306"/>
      <c r="G406" s="306"/>
      <c r="H406" s="306"/>
      <c r="I406" s="306"/>
      <c r="J406" s="306"/>
      <c r="K406" s="306"/>
      <c r="L406" s="306"/>
      <c r="M406" s="306"/>
      <c r="N406" s="306"/>
      <c r="O406" s="306"/>
      <c r="P406" s="306"/>
      <c r="Q406" s="306"/>
      <c r="R406" s="306"/>
      <c r="S406" s="306"/>
      <c r="T406" s="306"/>
      <c r="U406" s="306"/>
      <c r="V406" s="306"/>
      <c r="W406" s="306"/>
      <c r="X406" s="306"/>
      <c r="Y406" s="306"/>
      <c r="Z406" s="306"/>
    </row>
    <row r="407" spans="1:26" x14ac:dyDescent="0.25">
      <c r="A407" s="306" t="s">
        <v>447</v>
      </c>
      <c r="B407" s="306"/>
      <c r="C407" s="306"/>
      <c r="D407" s="306"/>
      <c r="E407" s="306"/>
      <c r="F407" s="306"/>
      <c r="G407" s="306"/>
      <c r="H407" s="306"/>
      <c r="I407" s="306"/>
      <c r="J407" s="306"/>
      <c r="K407" s="306"/>
      <c r="L407" s="306"/>
      <c r="M407" s="306"/>
      <c r="N407" s="306"/>
      <c r="O407" s="306"/>
      <c r="P407" s="306"/>
      <c r="Q407" s="306"/>
      <c r="R407" s="306"/>
      <c r="S407" s="306"/>
      <c r="T407" s="306"/>
      <c r="U407" s="306"/>
      <c r="V407" s="306"/>
      <c r="W407" s="306"/>
      <c r="X407" s="306"/>
      <c r="Y407" s="306"/>
      <c r="Z407" s="306"/>
    </row>
    <row r="408" spans="1:26" x14ac:dyDescent="0.25">
      <c r="A408" s="306" t="s">
        <v>603</v>
      </c>
      <c r="B408" s="306"/>
      <c r="C408" s="306"/>
      <c r="D408" s="306"/>
      <c r="E408" s="306"/>
      <c r="F408" s="306"/>
      <c r="G408" s="306"/>
      <c r="H408" s="306"/>
      <c r="I408" s="306"/>
      <c r="J408" s="306"/>
      <c r="K408" s="306"/>
      <c r="L408" s="306"/>
      <c r="M408" s="306"/>
      <c r="N408" s="306"/>
      <c r="O408" s="306"/>
      <c r="P408" s="306"/>
      <c r="Q408" s="306"/>
      <c r="R408" s="306"/>
      <c r="S408" s="306"/>
      <c r="T408" s="306"/>
      <c r="U408" s="306"/>
      <c r="V408" s="306"/>
      <c r="W408" s="306"/>
      <c r="X408" s="306"/>
      <c r="Y408" s="306"/>
      <c r="Z408" s="306"/>
    </row>
    <row r="409" spans="1:26" x14ac:dyDescent="0.25">
      <c r="A409" s="306"/>
      <c r="B409" s="306"/>
      <c r="C409" s="306"/>
      <c r="D409" s="306"/>
      <c r="E409" s="306"/>
      <c r="F409" s="306"/>
      <c r="G409" s="306"/>
      <c r="H409" s="306"/>
      <c r="I409" s="306"/>
      <c r="J409" s="306"/>
      <c r="K409" s="306"/>
      <c r="L409" s="306"/>
      <c r="M409" s="306"/>
      <c r="N409" s="306"/>
      <c r="O409" s="306"/>
      <c r="P409" s="306"/>
      <c r="Q409" s="306"/>
      <c r="R409" s="306"/>
      <c r="S409" s="306"/>
      <c r="T409" s="306"/>
      <c r="U409" s="306"/>
      <c r="V409" s="306"/>
      <c r="W409" s="306"/>
      <c r="X409" s="306"/>
      <c r="Y409" s="306"/>
      <c r="Z409" s="306"/>
    </row>
    <row r="410" spans="1:26" x14ac:dyDescent="0.25">
      <c r="A410" s="306"/>
      <c r="B410" s="306"/>
      <c r="C410" s="306"/>
      <c r="D410" s="306"/>
      <c r="E410" s="306"/>
      <c r="F410" s="306"/>
      <c r="G410" s="306"/>
      <c r="H410" s="306"/>
      <c r="I410" s="306"/>
      <c r="J410" s="306"/>
      <c r="K410" s="306"/>
      <c r="L410" s="306"/>
      <c r="M410" s="306"/>
      <c r="N410" s="306"/>
      <c r="O410" s="306"/>
      <c r="P410" s="306"/>
      <c r="Q410" s="306"/>
      <c r="R410" s="306"/>
      <c r="S410" s="306"/>
      <c r="T410" s="306"/>
      <c r="U410" s="306"/>
      <c r="V410" s="306"/>
      <c r="W410" s="306"/>
      <c r="X410" s="306"/>
      <c r="Y410" s="306"/>
      <c r="Z410" s="306"/>
    </row>
    <row r="411" spans="1:26" x14ac:dyDescent="0.25">
      <c r="A411" s="306"/>
      <c r="B411" s="306"/>
      <c r="C411" s="306"/>
      <c r="D411" s="306"/>
      <c r="E411" s="306"/>
      <c r="F411" s="306"/>
      <c r="G411" s="306"/>
      <c r="H411" s="306"/>
      <c r="I411" s="306"/>
      <c r="J411" s="306"/>
      <c r="K411" s="306"/>
      <c r="L411" s="306"/>
      <c r="M411" s="306"/>
      <c r="N411" s="306"/>
      <c r="O411" s="306"/>
      <c r="P411" s="306"/>
      <c r="Q411" s="306"/>
      <c r="R411" s="306"/>
      <c r="S411" s="306"/>
      <c r="T411" s="306"/>
      <c r="U411" s="306"/>
      <c r="V411" s="306"/>
      <c r="W411" s="306"/>
      <c r="X411" s="306"/>
      <c r="Y411" s="306"/>
      <c r="Z411" s="306"/>
    </row>
    <row r="412" spans="1:26" x14ac:dyDescent="0.25">
      <c r="A412" s="306"/>
      <c r="B412" s="306"/>
      <c r="C412" s="306"/>
      <c r="D412" s="306" t="s">
        <v>451</v>
      </c>
      <c r="E412" s="306" t="s">
        <v>452</v>
      </c>
      <c r="F412" s="306" t="s">
        <v>453</v>
      </c>
      <c r="G412" s="306" t="s">
        <v>454</v>
      </c>
      <c r="H412" s="306" t="s">
        <v>455</v>
      </c>
      <c r="I412" s="306" t="s">
        <v>456</v>
      </c>
      <c r="J412" s="306" t="s">
        <v>457</v>
      </c>
      <c r="K412" s="306" t="s">
        <v>458</v>
      </c>
      <c r="L412" s="306" t="s">
        <v>459</v>
      </c>
      <c r="M412" s="306" t="s">
        <v>460</v>
      </c>
      <c r="N412" s="306" t="s">
        <v>461</v>
      </c>
      <c r="O412" s="306" t="s">
        <v>462</v>
      </c>
      <c r="P412" s="306" t="s">
        <v>463</v>
      </c>
      <c r="Q412" s="306" t="s">
        <v>464</v>
      </c>
      <c r="R412" s="306" t="s">
        <v>465</v>
      </c>
      <c r="S412" s="306" t="s">
        <v>466</v>
      </c>
      <c r="T412" s="306" t="s">
        <v>467</v>
      </c>
      <c r="U412" s="306" t="s">
        <v>468</v>
      </c>
      <c r="V412" s="306" t="s">
        <v>469</v>
      </c>
      <c r="W412" s="306" t="s">
        <v>470</v>
      </c>
      <c r="X412" s="306" t="s">
        <v>471</v>
      </c>
      <c r="Y412" s="306" t="s">
        <v>472</v>
      </c>
      <c r="Z412" s="306" t="s">
        <v>604</v>
      </c>
    </row>
    <row r="413" spans="1:26" x14ac:dyDescent="0.25">
      <c r="A413" s="306"/>
      <c r="B413" s="306"/>
      <c r="C413" s="306"/>
      <c r="D413" s="306"/>
      <c r="E413" s="306"/>
      <c r="F413" s="306"/>
      <c r="G413" s="306"/>
      <c r="H413" s="306"/>
      <c r="I413" s="306"/>
      <c r="J413" s="306"/>
      <c r="K413" s="306"/>
      <c r="L413" s="306"/>
      <c r="M413" s="306"/>
      <c r="N413" s="306"/>
      <c r="O413" s="306"/>
      <c r="P413" s="306"/>
      <c r="Q413" s="306"/>
      <c r="R413" s="306"/>
      <c r="S413" s="306"/>
      <c r="T413" s="306"/>
      <c r="U413" s="306"/>
      <c r="V413" s="306"/>
      <c r="W413" s="306"/>
      <c r="X413" s="306"/>
      <c r="Y413" s="306"/>
      <c r="Z413" s="306"/>
    </row>
    <row r="414" spans="1:26" x14ac:dyDescent="0.25">
      <c r="A414" s="306"/>
      <c r="B414" s="306"/>
      <c r="C414" s="306"/>
      <c r="D414" s="306"/>
      <c r="E414" s="306"/>
      <c r="F414" s="306"/>
      <c r="G414" s="306"/>
      <c r="H414" s="306"/>
      <c r="I414" s="306"/>
      <c r="J414" s="306"/>
      <c r="K414" s="306"/>
      <c r="L414" s="306"/>
      <c r="M414" s="306"/>
      <c r="N414" s="306"/>
      <c r="O414" s="306"/>
      <c r="P414" s="306"/>
      <c r="Q414" s="306"/>
      <c r="R414" s="306"/>
      <c r="S414" s="306"/>
      <c r="T414" s="306"/>
      <c r="U414" s="306"/>
      <c r="V414" s="306"/>
      <c r="W414" s="306"/>
      <c r="X414" s="306"/>
      <c r="Y414" s="306"/>
      <c r="Z414" s="306"/>
    </row>
    <row r="415" spans="1:26" x14ac:dyDescent="0.25">
      <c r="A415" s="306" t="s">
        <v>473</v>
      </c>
      <c r="B415" s="306"/>
      <c r="C415" s="306"/>
      <c r="D415" s="306"/>
      <c r="E415" s="306"/>
      <c r="F415" s="306"/>
      <c r="G415" s="306"/>
      <c r="H415" s="306"/>
      <c r="I415" s="306"/>
      <c r="J415" s="306"/>
      <c r="K415" s="306"/>
      <c r="L415" s="306"/>
      <c r="M415" s="306"/>
      <c r="N415" s="306"/>
      <c r="O415" s="306"/>
      <c r="P415" s="306"/>
      <c r="Q415" s="306"/>
      <c r="R415" s="306"/>
      <c r="S415" s="306"/>
      <c r="T415" s="306"/>
      <c r="U415" s="306"/>
      <c r="V415" s="306"/>
      <c r="W415" s="306"/>
      <c r="X415" s="306"/>
      <c r="Y415" s="306"/>
      <c r="Z415" s="306"/>
    </row>
    <row r="416" spans="1:26" x14ac:dyDescent="0.25">
      <c r="A416" s="306" t="s">
        <v>609</v>
      </c>
      <c r="B416" s="306"/>
      <c r="C416" s="306"/>
      <c r="D416" s="306">
        <v>18.210411071777301</v>
      </c>
      <c r="E416" s="306">
        <v>19.293371200561499</v>
      </c>
      <c r="F416" s="306">
        <v>21.158409118652301</v>
      </c>
      <c r="G416" s="306">
        <v>24.5404376983643</v>
      </c>
      <c r="H416" s="306">
        <v>24.494813919067401</v>
      </c>
      <c r="I416" s="306">
        <v>23.9600429534912</v>
      </c>
      <c r="J416" s="306">
        <v>23.672391891479499</v>
      </c>
      <c r="K416" s="306">
        <v>23.2634162902832</v>
      </c>
      <c r="L416" s="306">
        <v>23.106723785400401</v>
      </c>
      <c r="M416" s="306">
        <v>22.905719757080099</v>
      </c>
      <c r="N416" s="306">
        <v>22.942964553833001</v>
      </c>
      <c r="O416" s="306">
        <v>22.881586074829102</v>
      </c>
      <c r="P416" s="306">
        <v>22.979688644409201</v>
      </c>
      <c r="Q416" s="306">
        <v>23.190465927123999</v>
      </c>
      <c r="R416" s="306">
        <v>23.129106521606399</v>
      </c>
      <c r="S416" s="306">
        <v>23.088548660278299</v>
      </c>
      <c r="T416" s="306">
        <v>23.183416366577099</v>
      </c>
      <c r="U416" s="306">
        <v>23.1546516418457</v>
      </c>
      <c r="V416" s="306">
        <v>23.285535812377901</v>
      </c>
      <c r="W416" s="306">
        <v>23.420475006103501</v>
      </c>
      <c r="X416" s="306">
        <v>23.540468215942401</v>
      </c>
      <c r="Y416" s="306">
        <v>23.532218933105501</v>
      </c>
      <c r="Z416" s="306">
        <v>23.562456130981399</v>
      </c>
    </row>
    <row r="417" spans="1:26" x14ac:dyDescent="0.25">
      <c r="A417" s="306" t="s">
        <v>610</v>
      </c>
      <c r="B417" s="306"/>
      <c r="C417" s="306"/>
      <c r="D417" s="306">
        <v>12.893347740173301</v>
      </c>
      <c r="E417" s="306">
        <v>14.727064132690399</v>
      </c>
      <c r="F417" s="306">
        <v>16.906724929809599</v>
      </c>
      <c r="G417" s="306">
        <v>17.4485054016113</v>
      </c>
      <c r="H417" s="306">
        <v>16.910488128662099</v>
      </c>
      <c r="I417" s="306">
        <v>15.8367977142334</v>
      </c>
      <c r="J417" s="306">
        <v>14.87486743927</v>
      </c>
      <c r="K417" s="306">
        <v>14.031831741333001</v>
      </c>
      <c r="L417" s="306">
        <v>13.359474182128899</v>
      </c>
      <c r="M417" s="306">
        <v>12.596385955810501</v>
      </c>
      <c r="N417" s="306">
        <v>12.5241403579712</v>
      </c>
      <c r="O417" s="306">
        <v>12.595507621765099</v>
      </c>
      <c r="P417" s="306">
        <v>12.630928039550801</v>
      </c>
      <c r="Q417" s="306">
        <v>12.738121032714799</v>
      </c>
      <c r="R417" s="306">
        <v>12.8303670883179</v>
      </c>
      <c r="S417" s="306">
        <v>13.052293777465801</v>
      </c>
      <c r="T417" s="306">
        <v>13.1472158432007</v>
      </c>
      <c r="U417" s="306">
        <v>13.2630777359009</v>
      </c>
      <c r="V417" s="306">
        <v>13.422198295593301</v>
      </c>
      <c r="W417" s="306">
        <v>13.360619544982899</v>
      </c>
      <c r="X417" s="306">
        <v>13.513841629028301</v>
      </c>
      <c r="Y417" s="306">
        <v>13.560380935668899</v>
      </c>
      <c r="Z417" s="306">
        <v>13.627392768859901</v>
      </c>
    </row>
    <row r="418" spans="1:26" x14ac:dyDescent="0.25">
      <c r="A418" s="306" t="s">
        <v>510</v>
      </c>
      <c r="B418" s="306"/>
      <c r="C418" s="306"/>
      <c r="D418" s="306">
        <v>10.721179008483899</v>
      </c>
      <c r="E418" s="306">
        <v>12.4281768798828</v>
      </c>
      <c r="F418" s="306">
        <v>13.040691375732401</v>
      </c>
      <c r="G418" s="306">
        <v>11.8341617584229</v>
      </c>
      <c r="H418" s="306">
        <v>11.7410221099854</v>
      </c>
      <c r="I418" s="306">
        <v>11.2507781982422</v>
      </c>
      <c r="J418" s="306">
        <v>10.9759874343872</v>
      </c>
      <c r="K418" s="306">
        <v>10.5919141769409</v>
      </c>
      <c r="L418" s="306">
        <v>10.441241264343301</v>
      </c>
      <c r="M418" s="306">
        <v>10.249824523925801</v>
      </c>
      <c r="N418" s="306">
        <v>10.2927255630493</v>
      </c>
      <c r="O418" s="306">
        <v>10.2421607971191</v>
      </c>
      <c r="P418" s="306">
        <v>10.3305416107178</v>
      </c>
      <c r="Q418" s="306">
        <v>10.557685852050801</v>
      </c>
      <c r="R418" s="306">
        <v>10.4870929718018</v>
      </c>
      <c r="S418" s="306">
        <v>10.439262390136699</v>
      </c>
      <c r="T418" s="306">
        <v>10.539955139160201</v>
      </c>
      <c r="U418" s="306">
        <v>10.5361185073853</v>
      </c>
      <c r="V418" s="306">
        <v>10.6743927001953</v>
      </c>
      <c r="W418" s="306">
        <v>10.830116271972701</v>
      </c>
      <c r="X418" s="306">
        <v>10.948052406311</v>
      </c>
      <c r="Y418" s="306">
        <v>10.9735927581787</v>
      </c>
      <c r="Z418" s="306">
        <v>11.0174913406372</v>
      </c>
    </row>
    <row r="419" spans="1:26" x14ac:dyDescent="0.25">
      <c r="A419" s="306" t="s">
        <v>479</v>
      </c>
      <c r="B419" s="306"/>
      <c r="C419" s="306"/>
      <c r="D419" s="306">
        <v>27.0989685058594</v>
      </c>
      <c r="E419" s="306">
        <v>27.587884902954102</v>
      </c>
      <c r="F419" s="306">
        <v>27.636594772338899</v>
      </c>
      <c r="G419" s="306">
        <v>27.492031097412099</v>
      </c>
      <c r="H419" s="306">
        <v>27.368114471435501</v>
      </c>
      <c r="I419" s="306">
        <v>27.154861450195298</v>
      </c>
      <c r="J419" s="306">
        <v>26.912786483764599</v>
      </c>
      <c r="K419" s="306">
        <v>26.5094184875488</v>
      </c>
      <c r="L419" s="306">
        <v>26.281187057495099</v>
      </c>
      <c r="M419" s="306">
        <v>26.172458648681602</v>
      </c>
      <c r="N419" s="306">
        <v>26.036540985107401</v>
      </c>
      <c r="O419" s="306">
        <v>25.993564605712901</v>
      </c>
      <c r="P419" s="306">
        <v>26.085290908813501</v>
      </c>
      <c r="Q419" s="306">
        <v>26.304872512817401</v>
      </c>
      <c r="R419" s="306">
        <v>26.445003509521499</v>
      </c>
      <c r="S419" s="306">
        <v>26.355556488037099</v>
      </c>
      <c r="T419" s="306">
        <v>26.368726730346701</v>
      </c>
      <c r="U419" s="306">
        <v>26.419284820556602</v>
      </c>
      <c r="V419" s="306">
        <v>26.420993804931602</v>
      </c>
      <c r="W419" s="306">
        <v>26.4647102355957</v>
      </c>
      <c r="X419" s="306">
        <v>26.5621242523193</v>
      </c>
      <c r="Y419" s="306">
        <v>26.608213424682599</v>
      </c>
      <c r="Z419" s="306">
        <v>26.564920425415</v>
      </c>
    </row>
    <row r="420" spans="1:26" x14ac:dyDescent="0.25">
      <c r="A420" s="306" t="s">
        <v>480</v>
      </c>
      <c r="B420" s="306"/>
      <c r="C420" s="306"/>
      <c r="D420" s="306"/>
      <c r="E420" s="306"/>
      <c r="F420" s="306"/>
      <c r="G420" s="306"/>
      <c r="H420" s="306"/>
      <c r="I420" s="306"/>
      <c r="J420" s="306"/>
      <c r="K420" s="306"/>
      <c r="L420" s="306"/>
      <c r="M420" s="306"/>
      <c r="N420" s="306"/>
      <c r="O420" s="306"/>
      <c r="P420" s="306"/>
      <c r="Q420" s="306"/>
      <c r="R420" s="306"/>
      <c r="S420" s="306"/>
      <c r="T420" s="306"/>
      <c r="U420" s="306"/>
      <c r="V420" s="306"/>
      <c r="W420" s="306"/>
      <c r="X420" s="306"/>
      <c r="Y420" s="306"/>
      <c r="Z420" s="306"/>
    </row>
    <row r="421" spans="1:26" x14ac:dyDescent="0.25">
      <c r="A421" s="306" t="s">
        <v>610</v>
      </c>
      <c r="B421" s="306"/>
      <c r="C421" s="306"/>
      <c r="D421" s="306">
        <v>10.4802904129028</v>
      </c>
      <c r="E421" s="306">
        <v>12.6793832778931</v>
      </c>
      <c r="F421" s="306">
        <v>14.632154464721699</v>
      </c>
      <c r="G421" s="306">
        <v>15.3235988616943</v>
      </c>
      <c r="H421" s="306">
        <v>14.4384679794312</v>
      </c>
      <c r="I421" s="306">
        <v>13.4501142501831</v>
      </c>
      <c r="J421" s="306">
        <v>12.7189273834229</v>
      </c>
      <c r="K421" s="306">
        <v>11.9810342788696</v>
      </c>
      <c r="L421" s="306">
        <v>11.338329315185501</v>
      </c>
      <c r="M421" s="306">
        <v>10.8460388183594</v>
      </c>
      <c r="N421" s="306">
        <v>10.667523384094199</v>
      </c>
      <c r="O421" s="306">
        <v>10.728004455566399</v>
      </c>
      <c r="P421" s="306">
        <v>10.8701782226563</v>
      </c>
      <c r="Q421" s="306">
        <v>10.9251909255981</v>
      </c>
      <c r="R421" s="306">
        <v>11.0219278335571</v>
      </c>
      <c r="S421" s="306">
        <v>11.292310714721699</v>
      </c>
      <c r="T421" s="306">
        <v>11.349814414978001</v>
      </c>
      <c r="U421" s="306">
        <v>11.461010932922401</v>
      </c>
      <c r="V421" s="306">
        <v>11.6882877349854</v>
      </c>
      <c r="W421" s="306">
        <v>11.5126600265503</v>
      </c>
      <c r="X421" s="306">
        <v>11.6838274002075</v>
      </c>
      <c r="Y421" s="306">
        <v>11.8503408432007</v>
      </c>
      <c r="Z421" s="306">
        <v>11.857501029968301</v>
      </c>
    </row>
    <row r="422" spans="1:26" ht="51" customHeight="1" x14ac:dyDescent="0.25">
      <c r="A422" s="306" t="s">
        <v>611</v>
      </c>
      <c r="B422" s="306"/>
      <c r="C422" s="306"/>
      <c r="D422" s="306">
        <v>6.2490105628967303</v>
      </c>
      <c r="E422" s="306">
        <v>8.4144115447997994</v>
      </c>
      <c r="F422" s="306">
        <v>10.1003465652466</v>
      </c>
      <c r="G422" s="306">
        <v>7.8816242218017596</v>
      </c>
      <c r="H422" s="306">
        <v>7.7979149818420401</v>
      </c>
      <c r="I422" s="306">
        <v>7.67907810211182</v>
      </c>
      <c r="J422" s="306">
        <v>7.5374598503112802</v>
      </c>
      <c r="K422" s="306">
        <v>7.0601482391357404</v>
      </c>
      <c r="L422" s="306">
        <v>6.9191079139709499</v>
      </c>
      <c r="M422" s="306">
        <v>5.9906802177429199</v>
      </c>
      <c r="N422" s="306">
        <v>6.31249952316284</v>
      </c>
      <c r="O422" s="306">
        <v>6.4941840171814</v>
      </c>
      <c r="P422" s="306">
        <v>6.4476203918456996</v>
      </c>
      <c r="Q422" s="306">
        <v>6.5857205390930202</v>
      </c>
      <c r="R422" s="306">
        <v>6.7015118598937997</v>
      </c>
      <c r="S422" s="306">
        <v>6.98899221420288</v>
      </c>
      <c r="T422" s="306">
        <v>7.0690569877624503</v>
      </c>
      <c r="U422" s="306">
        <v>7.2425847053527797</v>
      </c>
      <c r="V422" s="306">
        <v>7.4012169837951696</v>
      </c>
      <c r="W422" s="306">
        <v>7.2363023757934597</v>
      </c>
      <c r="X422" s="306">
        <v>7.3775544166564897</v>
      </c>
      <c r="Y422" s="306">
        <v>7.1704416275024396</v>
      </c>
      <c r="Z422" s="306">
        <v>7.2997760772705096</v>
      </c>
    </row>
    <row r="423" spans="1:26" ht="30.75" customHeight="1" x14ac:dyDescent="0.25">
      <c r="A423" s="308" t="s">
        <v>510</v>
      </c>
      <c r="B423" s="308"/>
      <c r="C423" s="308"/>
      <c r="D423" s="306">
        <v>9.4024562835693395</v>
      </c>
      <c r="E423" s="306">
        <v>11.2028198242188</v>
      </c>
      <c r="F423" s="306">
        <v>11.3786783218384</v>
      </c>
      <c r="G423" s="306">
        <v>10.2688541412354</v>
      </c>
      <c r="H423" s="306">
        <v>10.157588958740201</v>
      </c>
      <c r="I423" s="306">
        <v>9.6297473907470703</v>
      </c>
      <c r="J423" s="306">
        <v>9.3356885910034197</v>
      </c>
      <c r="K423" s="306">
        <v>8.9214458465576207</v>
      </c>
      <c r="L423" s="306">
        <v>8.7509040832519496</v>
      </c>
      <c r="M423" s="306">
        <v>8.5351839065551793</v>
      </c>
      <c r="N423" s="306">
        <v>8.5524559020996094</v>
      </c>
      <c r="O423" s="306">
        <v>8.47686672210693</v>
      </c>
      <c r="P423" s="306">
        <v>8.5459880828857404</v>
      </c>
      <c r="Q423" s="306">
        <v>8.7391986846923793</v>
      </c>
      <c r="R423" s="306">
        <v>8.6564092636108398</v>
      </c>
      <c r="S423" s="306">
        <v>8.5963792800903303</v>
      </c>
      <c r="T423" s="306">
        <v>8.6742591857910192</v>
      </c>
      <c r="U423" s="306">
        <v>8.6351099014282209</v>
      </c>
      <c r="V423" s="306">
        <v>8.7470979690551793</v>
      </c>
      <c r="W423" s="306">
        <v>8.8685941696166992</v>
      </c>
      <c r="X423" s="306">
        <v>8.9716949462890607</v>
      </c>
      <c r="Y423" s="306">
        <v>8.9597854614257795</v>
      </c>
      <c r="Z423" s="306">
        <v>8.9777603149414098</v>
      </c>
    </row>
    <row r="424" spans="1:26" x14ac:dyDescent="0.25">
      <c r="A424" s="307" t="s">
        <v>479</v>
      </c>
      <c r="B424" s="307"/>
      <c r="C424" s="307"/>
      <c r="D424" s="306">
        <v>24.591539382934599</v>
      </c>
      <c r="E424" s="306">
        <v>25.251781463623001</v>
      </c>
      <c r="F424" s="306">
        <v>25.738388061523398</v>
      </c>
      <c r="G424" s="306">
        <v>25.3376979827881</v>
      </c>
      <c r="H424" s="306">
        <v>25.268539428710898</v>
      </c>
      <c r="I424" s="306">
        <v>24.918291091918899</v>
      </c>
      <c r="J424" s="306">
        <v>24.500482559204102</v>
      </c>
      <c r="K424" s="306">
        <v>23.8594665527344</v>
      </c>
      <c r="L424" s="306">
        <v>23.593626022338899</v>
      </c>
      <c r="M424" s="306">
        <v>23.443479537963899</v>
      </c>
      <c r="N424" s="306">
        <v>23.311824798583999</v>
      </c>
      <c r="O424" s="306">
        <v>23.328050613403299</v>
      </c>
      <c r="P424" s="306">
        <v>23.4844055175781</v>
      </c>
      <c r="Q424" s="306">
        <v>23.749778747558601</v>
      </c>
      <c r="R424" s="306">
        <v>23.944339752197301</v>
      </c>
      <c r="S424" s="306">
        <v>23.889307022094702</v>
      </c>
      <c r="T424" s="306">
        <v>23.952335357666001</v>
      </c>
      <c r="U424" s="306">
        <v>24.000473022460898</v>
      </c>
      <c r="V424" s="306">
        <v>24.006351470947301</v>
      </c>
      <c r="W424" s="306">
        <v>24.077814102172901</v>
      </c>
      <c r="X424" s="306">
        <v>24.1955890655518</v>
      </c>
      <c r="Y424" s="306">
        <v>24.23095703125</v>
      </c>
      <c r="Z424" s="306">
        <v>24.1812038421631</v>
      </c>
    </row>
    <row r="425" spans="1:26" x14ac:dyDescent="0.25">
      <c r="A425" s="306" t="s">
        <v>612</v>
      </c>
      <c r="B425" s="306"/>
      <c r="C425" s="306"/>
      <c r="D425" s="306"/>
      <c r="E425" s="306"/>
      <c r="F425" s="306"/>
      <c r="G425" s="306"/>
      <c r="H425" s="306"/>
      <c r="I425" s="306"/>
      <c r="J425" s="306"/>
      <c r="K425" s="306"/>
      <c r="L425" s="306"/>
      <c r="M425" s="306"/>
      <c r="N425" s="306"/>
      <c r="O425" s="306"/>
      <c r="P425" s="306"/>
      <c r="Q425" s="306"/>
      <c r="R425" s="306"/>
      <c r="S425" s="306"/>
      <c r="T425" s="306"/>
      <c r="U425" s="306"/>
      <c r="V425" s="306"/>
      <c r="W425" s="306"/>
      <c r="X425" s="306"/>
      <c r="Y425" s="306"/>
      <c r="Z425" s="306"/>
    </row>
    <row r="426" spans="1:26" x14ac:dyDescent="0.25">
      <c r="A426" s="306" t="s">
        <v>609</v>
      </c>
      <c r="B426" s="306"/>
      <c r="C426" s="306"/>
      <c r="D426" s="306">
        <v>11.1755380630493</v>
      </c>
      <c r="E426" s="306">
        <v>16.959981918335</v>
      </c>
      <c r="F426" s="306">
        <v>18.9578742980957</v>
      </c>
      <c r="G426" s="306">
        <v>17.513134002685501</v>
      </c>
      <c r="H426" s="306">
        <v>17.389408111572301</v>
      </c>
      <c r="I426" s="306">
        <v>16.750247955322301</v>
      </c>
      <c r="J426" s="306">
        <v>16.423851013183601</v>
      </c>
      <c r="K426" s="306">
        <v>15.943309783935501</v>
      </c>
      <c r="L426" s="306">
        <v>15.769355773925801</v>
      </c>
      <c r="M426" s="306">
        <v>15.620997428894</v>
      </c>
      <c r="N426" s="306">
        <v>15.627494812011699</v>
      </c>
      <c r="O426" s="306">
        <v>15.565483093261699</v>
      </c>
      <c r="P426" s="306">
        <v>15.6823263168335</v>
      </c>
      <c r="Q426" s="306">
        <v>15.8655786514282</v>
      </c>
      <c r="R426" s="306">
        <v>15.8662757873535</v>
      </c>
      <c r="S426" s="306">
        <v>15.8647546768188</v>
      </c>
      <c r="T426" s="306">
        <v>15.9073581695557</v>
      </c>
      <c r="U426" s="306">
        <v>15.883088111877401</v>
      </c>
      <c r="V426" s="306">
        <v>15.994482994079601</v>
      </c>
      <c r="W426" s="306">
        <v>16.1067924499512</v>
      </c>
      <c r="X426" s="306">
        <v>16.2546577453613</v>
      </c>
      <c r="Y426" s="306">
        <v>16.219263076782202</v>
      </c>
      <c r="Z426" s="306">
        <v>16.2301216125488</v>
      </c>
    </row>
    <row r="427" spans="1:26" x14ac:dyDescent="0.25">
      <c r="A427" s="306" t="s">
        <v>610</v>
      </c>
      <c r="B427" s="306"/>
      <c r="C427" s="306"/>
      <c r="D427" s="306">
        <v>10.9898891448975</v>
      </c>
      <c r="E427" s="306">
        <v>13.0814533233643</v>
      </c>
      <c r="F427" s="306">
        <v>15.1407413482666</v>
      </c>
      <c r="G427" s="306">
        <v>15.435567855835</v>
      </c>
      <c r="H427" s="306">
        <v>14.2919836044312</v>
      </c>
      <c r="I427" s="306">
        <v>13.4232997894287</v>
      </c>
      <c r="J427" s="306">
        <v>12.948052406311</v>
      </c>
      <c r="K427" s="306">
        <v>12.4780015945435</v>
      </c>
      <c r="L427" s="306">
        <v>11.882830619811999</v>
      </c>
      <c r="M427" s="306">
        <v>11.641848564147899</v>
      </c>
      <c r="N427" s="306">
        <v>11.349123954772899</v>
      </c>
      <c r="O427" s="306">
        <v>11.401933670043899</v>
      </c>
      <c r="P427" s="306">
        <v>11.6324548721313</v>
      </c>
      <c r="Q427" s="306">
        <v>11.632493019104</v>
      </c>
      <c r="R427" s="306">
        <v>11.737724304199199</v>
      </c>
      <c r="S427" s="306">
        <v>12.060711860656699</v>
      </c>
      <c r="T427" s="306">
        <v>12.0405569076538</v>
      </c>
      <c r="U427" s="306">
        <v>12.1396341323853</v>
      </c>
      <c r="V427" s="306">
        <v>12.421196937561</v>
      </c>
      <c r="W427" s="306">
        <v>12.169375419616699</v>
      </c>
      <c r="X427" s="306">
        <v>12.3622283935547</v>
      </c>
      <c r="Y427" s="306">
        <v>12.619636535644499</v>
      </c>
      <c r="Z427" s="306">
        <v>12.5786838531494</v>
      </c>
    </row>
    <row r="428" spans="1:26" x14ac:dyDescent="0.25">
      <c r="A428" s="306" t="s">
        <v>611</v>
      </c>
      <c r="B428" s="306"/>
      <c r="C428" s="306"/>
      <c r="D428" s="306">
        <v>5.7738895416259801</v>
      </c>
      <c r="E428" s="306">
        <v>7.7708010673522896</v>
      </c>
      <c r="F428" s="306">
        <v>9.3422021865844709</v>
      </c>
      <c r="G428" s="306">
        <v>9.8767166137695295</v>
      </c>
      <c r="H428" s="306">
        <v>10.084191322326699</v>
      </c>
      <c r="I428" s="306">
        <v>9.7906637191772496</v>
      </c>
      <c r="J428" s="306">
        <v>9.5023155212402308</v>
      </c>
      <c r="K428" s="306">
        <v>8.7792091369628906</v>
      </c>
      <c r="L428" s="306">
        <v>8.4676847457885707</v>
      </c>
      <c r="M428" s="306">
        <v>8.0373468399047905</v>
      </c>
      <c r="N428" s="306">
        <v>7.9767365455627397</v>
      </c>
      <c r="O428" s="306">
        <v>8.2131023406982404</v>
      </c>
      <c r="P428" s="306">
        <v>8.4110374450683594</v>
      </c>
      <c r="Q428" s="306">
        <v>8.5568304061889595</v>
      </c>
      <c r="R428" s="306">
        <v>8.6100654602050799</v>
      </c>
      <c r="S428" s="306">
        <v>8.8084278106689506</v>
      </c>
      <c r="T428" s="306">
        <v>8.9135255813598597</v>
      </c>
      <c r="U428" s="306">
        <v>9.0664196014404297</v>
      </c>
      <c r="V428" s="306">
        <v>9.2084608078002894</v>
      </c>
      <c r="W428" s="306">
        <v>9.1494617462158203</v>
      </c>
      <c r="X428" s="306">
        <v>9.2910699844360405</v>
      </c>
      <c r="Y428" s="306">
        <v>9.2583961486816406</v>
      </c>
      <c r="Z428" s="306">
        <v>9.38494873046875</v>
      </c>
    </row>
    <row r="429" spans="1:26" x14ac:dyDescent="0.25">
      <c r="A429" s="308" t="s">
        <v>613</v>
      </c>
      <c r="B429" s="308"/>
      <c r="C429" s="308"/>
      <c r="D429" s="306">
        <v>6.4688553810119602</v>
      </c>
      <c r="E429" s="306">
        <v>8.1627740859985405</v>
      </c>
      <c r="F429" s="306">
        <v>7.4494204521179199</v>
      </c>
      <c r="G429" s="306">
        <v>7.3632249832153303</v>
      </c>
      <c r="H429" s="306">
        <v>7.2901554107665998</v>
      </c>
      <c r="I429" s="306">
        <v>6.7422003746032697</v>
      </c>
      <c r="J429" s="306">
        <v>6.4267692565918004</v>
      </c>
      <c r="K429" s="306">
        <v>6.0213589668273899</v>
      </c>
      <c r="L429" s="306">
        <v>5.8671450614929199</v>
      </c>
      <c r="M429" s="306">
        <v>5.6813068389892596</v>
      </c>
      <c r="N429" s="306">
        <v>5.6900143623352104</v>
      </c>
      <c r="O429" s="306">
        <v>5.6504640579223597</v>
      </c>
      <c r="P429" s="306">
        <v>5.7415480613708496</v>
      </c>
      <c r="Q429" s="306">
        <v>5.91982173919678</v>
      </c>
      <c r="R429" s="306">
        <v>5.8755149841308603</v>
      </c>
      <c r="S429" s="306">
        <v>5.8359832763671902</v>
      </c>
      <c r="T429" s="306">
        <v>5.9000439643859899</v>
      </c>
      <c r="U429" s="306">
        <v>5.8858833312988299</v>
      </c>
      <c r="V429" s="306">
        <v>6.0041050910949698</v>
      </c>
      <c r="W429" s="306">
        <v>6.1238050460815403</v>
      </c>
      <c r="X429" s="306">
        <v>6.2412667274475098</v>
      </c>
      <c r="Y429" s="306">
        <v>6.2102909088134801</v>
      </c>
      <c r="Z429" s="306">
        <v>6.2538614273071298</v>
      </c>
    </row>
    <row r="430" spans="1:26" x14ac:dyDescent="0.25">
      <c r="A430" s="306" t="s">
        <v>614</v>
      </c>
      <c r="B430" s="306"/>
      <c r="C430" s="306"/>
      <c r="D430" s="306">
        <v>2.3078472614288299</v>
      </c>
      <c r="E430" s="306">
        <v>3.0599997043609601</v>
      </c>
      <c r="F430" s="306">
        <v>3.2548489570617698</v>
      </c>
      <c r="G430" s="306">
        <v>3.2975256443023699</v>
      </c>
      <c r="H430" s="306">
        <v>3.2872827053070099</v>
      </c>
      <c r="I430" s="306">
        <v>3.1889374256134002</v>
      </c>
      <c r="J430" s="306">
        <v>3.0940959453582799</v>
      </c>
      <c r="K430" s="306">
        <v>2.9914577007293701</v>
      </c>
      <c r="L430" s="306">
        <v>2.8927016258239702</v>
      </c>
      <c r="M430" s="306">
        <v>2.78926348686218</v>
      </c>
      <c r="N430" s="306">
        <v>2.7408642768859899</v>
      </c>
      <c r="O430" s="306">
        <v>2.7166485786438002</v>
      </c>
      <c r="P430" s="306">
        <v>2.7061200141906698</v>
      </c>
      <c r="Q430" s="306">
        <v>2.7063503265380899</v>
      </c>
      <c r="R430" s="306">
        <v>2.7045123577117902</v>
      </c>
      <c r="S430" s="306">
        <v>2.68979120254517</v>
      </c>
      <c r="T430" s="306">
        <v>2.7072892189025901</v>
      </c>
      <c r="U430" s="306">
        <v>2.71812868118286</v>
      </c>
      <c r="V430" s="306">
        <v>2.7191135883331299</v>
      </c>
      <c r="W430" s="306">
        <v>2.7064330577850302</v>
      </c>
      <c r="X430" s="306">
        <v>2.68589544296265</v>
      </c>
      <c r="Y430" s="306">
        <v>2.69574999809265</v>
      </c>
      <c r="Z430" s="306">
        <v>2.7049932479858398</v>
      </c>
    </row>
    <row r="431" spans="1:26" x14ac:dyDescent="0.25">
      <c r="A431" s="306" t="s">
        <v>615</v>
      </c>
      <c r="B431" s="306"/>
      <c r="C431" s="306"/>
      <c r="D431" s="306">
        <v>1.80300605297089</v>
      </c>
      <c r="E431" s="306">
        <v>2.1500017642974898</v>
      </c>
      <c r="F431" s="306">
        <v>2.2005796432495099</v>
      </c>
      <c r="G431" s="306">
        <v>2.2392640113830602</v>
      </c>
      <c r="H431" s="306">
        <v>2.2450914382934601</v>
      </c>
      <c r="I431" s="306">
        <v>2.2358458042144802</v>
      </c>
      <c r="J431" s="306">
        <v>2.2614977359771702</v>
      </c>
      <c r="K431" s="306">
        <v>2.2480733394622798</v>
      </c>
      <c r="L431" s="306">
        <v>2.2308864593505899</v>
      </c>
      <c r="M431" s="306">
        <v>2.2124359607696502</v>
      </c>
      <c r="N431" s="306">
        <v>2.2059276103973402</v>
      </c>
      <c r="O431" s="306">
        <v>2.1967613697052002</v>
      </c>
      <c r="P431" s="306">
        <v>2.18912577629089</v>
      </c>
      <c r="Q431" s="306">
        <v>2.1856777667999299</v>
      </c>
      <c r="R431" s="306">
        <v>2.1763286590576199</v>
      </c>
      <c r="S431" s="306">
        <v>2.1755278110504199</v>
      </c>
      <c r="T431" s="306">
        <v>2.18182468414307</v>
      </c>
      <c r="U431" s="306">
        <v>2.19542455673218</v>
      </c>
      <c r="V431" s="306">
        <v>2.2050869464874299</v>
      </c>
      <c r="W431" s="306">
        <v>2.2089655399322501</v>
      </c>
      <c r="X431" s="306">
        <v>2.2187693119049099</v>
      </c>
      <c r="Y431" s="306">
        <v>2.2309319972991899</v>
      </c>
      <c r="Z431" s="306">
        <v>2.2423520088195801</v>
      </c>
    </row>
    <row r="432" spans="1:26" x14ac:dyDescent="0.25">
      <c r="A432" s="306" t="s">
        <v>616</v>
      </c>
      <c r="B432" s="306"/>
      <c r="C432" s="306"/>
      <c r="D432" s="306" t="s">
        <v>1082</v>
      </c>
      <c r="E432" s="306" t="s">
        <v>1082</v>
      </c>
      <c r="F432" s="306" t="s">
        <v>1082</v>
      </c>
      <c r="G432" s="306" t="s">
        <v>1082</v>
      </c>
      <c r="H432" s="306" t="s">
        <v>1082</v>
      </c>
      <c r="I432" s="306" t="s">
        <v>1082</v>
      </c>
      <c r="J432" s="306" t="s">
        <v>1082</v>
      </c>
      <c r="K432" s="306">
        <v>0.88956671953201305</v>
      </c>
      <c r="L432" s="306">
        <v>0.881245017051697</v>
      </c>
      <c r="M432" s="306">
        <v>0.88442194461822499</v>
      </c>
      <c r="N432" s="306">
        <v>0.89085346460342396</v>
      </c>
      <c r="O432" s="306">
        <v>0.88840740919113204</v>
      </c>
      <c r="P432" s="306">
        <v>0.89322775602340698</v>
      </c>
      <c r="Q432" s="306">
        <v>0.90440875291824296</v>
      </c>
      <c r="R432" s="306">
        <v>0.91453087329864502</v>
      </c>
      <c r="S432" s="306">
        <v>0.95469778776168801</v>
      </c>
      <c r="T432" s="306">
        <v>0.96978461742401101</v>
      </c>
      <c r="U432" s="306">
        <v>1.01334369182587</v>
      </c>
      <c r="V432" s="306">
        <v>1.02781510353088</v>
      </c>
      <c r="W432" s="306">
        <v>1.0294380187988299</v>
      </c>
      <c r="X432" s="306">
        <v>1.1219843626022299</v>
      </c>
      <c r="Y432" s="306">
        <v>1.2297383546829199</v>
      </c>
      <c r="Z432" s="306">
        <v>1.26935982704163</v>
      </c>
    </row>
    <row r="433" spans="1:26" x14ac:dyDescent="0.25">
      <c r="A433" s="307" t="s">
        <v>479</v>
      </c>
      <c r="B433" s="307"/>
      <c r="C433" s="307"/>
      <c r="D433" s="306">
        <v>15.8847751617432</v>
      </c>
      <c r="E433" s="306">
        <v>16.691057205200199</v>
      </c>
      <c r="F433" s="306">
        <v>18.258220672607401</v>
      </c>
      <c r="G433" s="306">
        <v>18.768579483032202</v>
      </c>
      <c r="H433" s="306">
        <v>18.8538303375244</v>
      </c>
      <c r="I433" s="306">
        <v>18.518165588378899</v>
      </c>
      <c r="J433" s="306">
        <v>18.014034271240199</v>
      </c>
      <c r="K433" s="306">
        <v>17.2542610168457</v>
      </c>
      <c r="L433" s="306">
        <v>16.790317535400401</v>
      </c>
      <c r="M433" s="306">
        <v>16.590124130248999</v>
      </c>
      <c r="N433" s="306">
        <v>16.466903686523398</v>
      </c>
      <c r="O433" s="306">
        <v>16.461626052856399</v>
      </c>
      <c r="P433" s="306">
        <v>16.6055717468262</v>
      </c>
      <c r="Q433" s="306">
        <v>16.851476669311499</v>
      </c>
      <c r="R433" s="306">
        <v>17.021175384521499</v>
      </c>
      <c r="S433" s="306">
        <v>17.000881195068398</v>
      </c>
      <c r="T433" s="306">
        <v>17.070917129516602</v>
      </c>
      <c r="U433" s="306">
        <v>17.1260585784912</v>
      </c>
      <c r="V433" s="306">
        <v>17.140884399414102</v>
      </c>
      <c r="W433" s="306">
        <v>17.206485748291001</v>
      </c>
      <c r="X433" s="306">
        <v>17.3262729644775</v>
      </c>
      <c r="Y433" s="306">
        <v>17.353824615478501</v>
      </c>
      <c r="Z433" s="306">
        <v>17.310489654541001</v>
      </c>
    </row>
    <row r="434" spans="1:26" x14ac:dyDescent="0.25">
      <c r="A434" s="306" t="s">
        <v>487</v>
      </c>
      <c r="B434" s="306"/>
      <c r="C434" s="306"/>
      <c r="D434" s="306"/>
      <c r="E434" s="306"/>
      <c r="F434" s="306"/>
      <c r="G434" s="306"/>
      <c r="H434" s="306"/>
      <c r="I434" s="306"/>
      <c r="J434" s="306"/>
      <c r="K434" s="306"/>
      <c r="L434" s="306"/>
      <c r="M434" s="306"/>
      <c r="N434" s="306"/>
      <c r="O434" s="306"/>
      <c r="P434" s="306"/>
      <c r="Q434" s="306"/>
      <c r="R434" s="306"/>
      <c r="S434" s="306"/>
      <c r="T434" s="306"/>
      <c r="U434" s="306"/>
      <c r="V434" s="306"/>
      <c r="W434" s="306"/>
      <c r="X434" s="306"/>
      <c r="Y434" s="306"/>
      <c r="Z434" s="306"/>
    </row>
    <row r="435" spans="1:26" x14ac:dyDescent="0.25">
      <c r="A435" s="306" t="s">
        <v>617</v>
      </c>
      <c r="B435" s="306"/>
      <c r="C435" s="306"/>
      <c r="D435" s="306">
        <v>19.6766357421875</v>
      </c>
      <c r="E435" s="306">
        <v>23.9161167144775</v>
      </c>
      <c r="F435" s="306">
        <v>26.805564880371101</v>
      </c>
      <c r="G435" s="306">
        <v>22.710954666137699</v>
      </c>
      <c r="H435" s="306">
        <v>22.759067535400401</v>
      </c>
      <c r="I435" s="306">
        <v>22.268846511840799</v>
      </c>
      <c r="J435" s="306">
        <v>24.343835830688501</v>
      </c>
      <c r="K435" s="306">
        <v>23.932544708251999</v>
      </c>
      <c r="L435" s="306">
        <v>23.763250350952099</v>
      </c>
      <c r="M435" s="306">
        <v>23.536403656005898</v>
      </c>
      <c r="N435" s="306">
        <v>23.5618801116943</v>
      </c>
      <c r="O435" s="306">
        <v>23.4868278503418</v>
      </c>
      <c r="P435" s="306">
        <v>23.560710906982401</v>
      </c>
      <c r="Q435" s="306">
        <v>23.7542419433594</v>
      </c>
      <c r="R435" s="306">
        <v>23.654756546020501</v>
      </c>
      <c r="S435" s="306">
        <v>23.5774955749512</v>
      </c>
      <c r="T435" s="306">
        <v>23.664421081543001</v>
      </c>
      <c r="U435" s="306">
        <v>23.6253147125244</v>
      </c>
      <c r="V435" s="306">
        <v>23.741106033325199</v>
      </c>
      <c r="W435" s="306">
        <v>23.8700561523438</v>
      </c>
      <c r="X435" s="306">
        <v>23.973831176757798</v>
      </c>
      <c r="Y435" s="306">
        <v>23.953416824340799</v>
      </c>
      <c r="Z435" s="306">
        <v>23.9759330749512</v>
      </c>
    </row>
    <row r="436" spans="1:26" x14ac:dyDescent="0.25">
      <c r="A436" s="310" t="s">
        <v>618</v>
      </c>
      <c r="B436" s="310"/>
      <c r="C436" s="310"/>
      <c r="D436" s="306">
        <v>20.914932250976602</v>
      </c>
      <c r="E436" s="306">
        <v>23.101913452148398</v>
      </c>
      <c r="F436" s="306">
        <v>24.811454772949201</v>
      </c>
      <c r="G436" s="306">
        <v>27.774848937988299</v>
      </c>
      <c r="H436" s="306">
        <v>25.9952602386475</v>
      </c>
      <c r="I436" s="306">
        <v>24.2666110992432</v>
      </c>
      <c r="J436" s="306">
        <v>21.291254043579102</v>
      </c>
      <c r="K436" s="306">
        <v>20.525190353393601</v>
      </c>
      <c r="L436" s="306">
        <v>20.3361301422119</v>
      </c>
      <c r="M436" s="306">
        <v>20.197395324706999</v>
      </c>
      <c r="N436" s="306">
        <v>20.009881973266602</v>
      </c>
      <c r="O436" s="306">
        <v>20.093305587768601</v>
      </c>
      <c r="P436" s="306">
        <v>20.196292877197301</v>
      </c>
      <c r="Q436" s="306">
        <v>20.4327602386475</v>
      </c>
      <c r="R436" s="306">
        <v>20.4076957702637</v>
      </c>
      <c r="S436" s="306">
        <v>20.624263763427699</v>
      </c>
      <c r="T436" s="306">
        <v>20.610368728637699</v>
      </c>
      <c r="U436" s="306">
        <v>20.617734909057599</v>
      </c>
      <c r="V436" s="306">
        <v>21.067132949829102</v>
      </c>
      <c r="W436" s="306">
        <v>20.970218658447301</v>
      </c>
      <c r="X436" s="306">
        <v>20.962213516235401</v>
      </c>
      <c r="Y436" s="306">
        <v>21.257926940918001</v>
      </c>
      <c r="Z436" s="306">
        <v>21.098123550415</v>
      </c>
    </row>
    <row r="437" spans="1:26" x14ac:dyDescent="0.25">
      <c r="A437" s="309" t="s">
        <v>619</v>
      </c>
      <c r="B437" s="309"/>
      <c r="C437" s="309"/>
      <c r="D437" s="306">
        <v>15.721848487854</v>
      </c>
      <c r="E437" s="306">
        <v>18.644901275634801</v>
      </c>
      <c r="F437" s="306">
        <v>21.1534824371338</v>
      </c>
      <c r="G437" s="306">
        <v>20.964454650878899</v>
      </c>
      <c r="H437" s="306">
        <v>19.721015930175799</v>
      </c>
      <c r="I437" s="306">
        <v>18.6920680999756</v>
      </c>
      <c r="J437" s="306">
        <v>17.902309417724599</v>
      </c>
      <c r="K437" s="306">
        <v>17.232242584228501</v>
      </c>
      <c r="L437" s="306">
        <v>16.863773345947301</v>
      </c>
      <c r="M437" s="306">
        <v>16.565891265869102</v>
      </c>
      <c r="N437" s="306">
        <v>16.0857257843018</v>
      </c>
      <c r="O437" s="306">
        <v>16.063297271728501</v>
      </c>
      <c r="P437" s="306">
        <v>16.111997604370099</v>
      </c>
      <c r="Q437" s="306">
        <v>16.240406036376999</v>
      </c>
      <c r="R437" s="306">
        <v>16.3247375488281</v>
      </c>
      <c r="S437" s="306">
        <v>16.6728916168213</v>
      </c>
      <c r="T437" s="306">
        <v>16.6320400238037</v>
      </c>
      <c r="U437" s="306">
        <v>16.751285552978501</v>
      </c>
      <c r="V437" s="306">
        <v>17.051519393920898</v>
      </c>
      <c r="W437" s="306">
        <v>16.920253753662099</v>
      </c>
      <c r="X437" s="306">
        <v>17.1026096343994</v>
      </c>
      <c r="Y437" s="306">
        <v>17.3232307434082</v>
      </c>
      <c r="Z437" s="306">
        <v>17.144313812255898</v>
      </c>
    </row>
    <row r="438" spans="1:26" x14ac:dyDescent="0.25">
      <c r="A438" s="306" t="s">
        <v>620</v>
      </c>
      <c r="B438" s="306"/>
      <c r="C438" s="306"/>
      <c r="D438" s="306">
        <v>9.2184209823608398</v>
      </c>
      <c r="E438" s="306">
        <v>13.1439361572266</v>
      </c>
      <c r="F438" s="306">
        <v>14.9574270248413</v>
      </c>
      <c r="G438" s="306">
        <v>12.9907026290894</v>
      </c>
      <c r="H438" s="306">
        <v>11.722384452819799</v>
      </c>
      <c r="I438" s="306">
        <v>11.2624855041504</v>
      </c>
      <c r="J438" s="306">
        <v>10.9056959152222</v>
      </c>
      <c r="K438" s="306">
        <v>10.3720808029175</v>
      </c>
      <c r="L438" s="306">
        <v>10.059165954589799</v>
      </c>
      <c r="M438" s="306">
        <v>10.0335283279419</v>
      </c>
      <c r="N438" s="306">
        <v>9.8430700302124006</v>
      </c>
      <c r="O438" s="306">
        <v>9.8874025344848597</v>
      </c>
      <c r="P438" s="306">
        <v>10.0322532653809</v>
      </c>
      <c r="Q438" s="306">
        <v>10.087176322936999</v>
      </c>
      <c r="R438" s="306">
        <v>10.2108345031738</v>
      </c>
      <c r="S438" s="306">
        <v>10.523097038269</v>
      </c>
      <c r="T438" s="306">
        <v>10.506872177124</v>
      </c>
      <c r="U438" s="306">
        <v>10.5880041122437</v>
      </c>
      <c r="V438" s="306">
        <v>10.8930578231812</v>
      </c>
      <c r="W438" s="306">
        <v>10.788450241088899</v>
      </c>
      <c r="X438" s="306">
        <v>10.9106340408325</v>
      </c>
      <c r="Y438" s="306">
        <v>11.0979099273682</v>
      </c>
      <c r="Z438" s="306">
        <v>11.0487413406372</v>
      </c>
    </row>
    <row r="439" spans="1:26" x14ac:dyDescent="0.25">
      <c r="A439" s="309" t="s">
        <v>621</v>
      </c>
      <c r="B439" s="309"/>
      <c r="C439" s="309"/>
      <c r="D439" s="306">
        <v>13.583283424377401</v>
      </c>
      <c r="E439" s="306">
        <v>17.522464752197301</v>
      </c>
      <c r="F439" s="306">
        <v>19.7921543121338</v>
      </c>
      <c r="G439" s="306">
        <v>19.706336975097699</v>
      </c>
      <c r="H439" s="306">
        <v>18.211244583129901</v>
      </c>
      <c r="I439" s="306">
        <v>17.3085613250732</v>
      </c>
      <c r="J439" s="306">
        <v>16.8088684082031</v>
      </c>
      <c r="K439" s="306">
        <v>16.001249313354499</v>
      </c>
      <c r="L439" s="306">
        <v>15.3922462463379</v>
      </c>
      <c r="M439" s="306">
        <v>15.213009834289601</v>
      </c>
      <c r="N439" s="306">
        <v>14.822114944458001</v>
      </c>
      <c r="O439" s="306">
        <v>14.859941482543899</v>
      </c>
      <c r="P439" s="306">
        <v>15.1213598251343</v>
      </c>
      <c r="Q439" s="306">
        <v>15.075839042663601</v>
      </c>
      <c r="R439" s="306">
        <v>15.158118247985801</v>
      </c>
      <c r="S439" s="306">
        <v>15.4795846939087</v>
      </c>
      <c r="T439" s="306">
        <v>15.4157457351685</v>
      </c>
      <c r="U439" s="306">
        <v>15.4886207580566</v>
      </c>
      <c r="V439" s="306">
        <v>15.773143768310501</v>
      </c>
      <c r="W439" s="306">
        <v>15.4716739654541</v>
      </c>
      <c r="X439" s="306">
        <v>15.639728546142599</v>
      </c>
      <c r="Y439" s="306">
        <v>15.912574768066399</v>
      </c>
      <c r="Z439" s="306">
        <v>15.834021568298301</v>
      </c>
    </row>
    <row r="440" spans="1:26" x14ac:dyDescent="0.25">
      <c r="A440" s="306" t="s">
        <v>611</v>
      </c>
      <c r="B440" s="306"/>
      <c r="C440" s="306"/>
      <c r="D440" s="306">
        <v>4.8536195755004901</v>
      </c>
      <c r="E440" s="306">
        <v>5.5067763328552202</v>
      </c>
      <c r="F440" s="306">
        <v>7.1623473167419398</v>
      </c>
      <c r="G440" s="306">
        <v>8.8221101760864293</v>
      </c>
      <c r="H440" s="306">
        <v>9.0483112335205096</v>
      </c>
      <c r="I440" s="306">
        <v>8.6029233932495099</v>
      </c>
      <c r="J440" s="306">
        <v>8.0481967926025408</v>
      </c>
      <c r="K440" s="306">
        <v>7.6902847290039098</v>
      </c>
      <c r="L440" s="306">
        <v>7.3429737091064498</v>
      </c>
      <c r="M440" s="306">
        <v>7.1018238067626998</v>
      </c>
      <c r="N440" s="306">
        <v>6.97245073318481</v>
      </c>
      <c r="O440" s="306">
        <v>7.0413579940795898</v>
      </c>
      <c r="P440" s="306">
        <v>7.0324416160583496</v>
      </c>
      <c r="Q440" s="306">
        <v>7.12284135818481</v>
      </c>
      <c r="R440" s="306">
        <v>7.14320993423462</v>
      </c>
      <c r="S440" s="306">
        <v>7.1685328483581499</v>
      </c>
      <c r="T440" s="306">
        <v>7.3589744567871103</v>
      </c>
      <c r="U440" s="306">
        <v>7.4886426925659197</v>
      </c>
      <c r="V440" s="306">
        <v>7.6476154327392596</v>
      </c>
      <c r="W440" s="306">
        <v>7.6766633987426802</v>
      </c>
      <c r="X440" s="306">
        <v>7.8515577316284197</v>
      </c>
      <c r="Y440" s="306">
        <v>7.8973522186279297</v>
      </c>
      <c r="Z440" s="306">
        <v>8.0370302200317401</v>
      </c>
    </row>
    <row r="441" spans="1:26" x14ac:dyDescent="0.25">
      <c r="A441" s="306" t="s">
        <v>622</v>
      </c>
      <c r="B441" s="306"/>
      <c r="C441" s="306"/>
      <c r="D441" s="306">
        <v>11.913727760314901</v>
      </c>
      <c r="E441" s="306">
        <v>14.761161804199199</v>
      </c>
      <c r="F441" s="306">
        <v>11.981869697570801</v>
      </c>
      <c r="G441" s="306">
        <v>12.283256530761699</v>
      </c>
      <c r="H441" s="306">
        <v>12.1389265060425</v>
      </c>
      <c r="I441" s="306">
        <v>12.3170175552368</v>
      </c>
      <c r="J441" s="306">
        <v>13.965456008911101</v>
      </c>
      <c r="K441" s="306">
        <v>13.507596015930201</v>
      </c>
      <c r="L441" s="306">
        <v>13.291357994079601</v>
      </c>
      <c r="M441" s="306">
        <v>13.0437335968018</v>
      </c>
      <c r="N441" s="306">
        <v>12.940827369689901</v>
      </c>
      <c r="O441" s="306">
        <v>12.861621856689499</v>
      </c>
      <c r="P441" s="306">
        <v>12.894752502441399</v>
      </c>
      <c r="Q441" s="306">
        <v>13.0291633605957</v>
      </c>
      <c r="R441" s="306">
        <v>12.9489841461182</v>
      </c>
      <c r="S441" s="306">
        <v>12.946153640747101</v>
      </c>
      <c r="T441" s="306">
        <v>12.9756631851196</v>
      </c>
      <c r="U441" s="306">
        <v>12.953050613403301</v>
      </c>
      <c r="V441" s="306">
        <v>13.079764366149901</v>
      </c>
      <c r="W441" s="306">
        <v>13.110743522644</v>
      </c>
      <c r="X441" s="306">
        <v>13.198463439941399</v>
      </c>
      <c r="Y441" s="306">
        <v>13.2244005203247</v>
      </c>
      <c r="Z441" s="306">
        <v>13.175202369689901</v>
      </c>
    </row>
    <row r="442" spans="1:26" x14ac:dyDescent="0.25">
      <c r="A442" s="306" t="s">
        <v>479</v>
      </c>
      <c r="B442" s="306"/>
      <c r="C442" s="306"/>
      <c r="D442" s="306">
        <v>26.1035976409912</v>
      </c>
      <c r="E442" s="306">
        <v>25.216188430786101</v>
      </c>
      <c r="F442" s="306">
        <v>26.121034622192401</v>
      </c>
      <c r="G442" s="306">
        <v>25.629154205322301</v>
      </c>
      <c r="H442" s="306">
        <v>25.7473449707031</v>
      </c>
      <c r="I442" s="306">
        <v>25.392839431762699</v>
      </c>
      <c r="J442" s="306">
        <v>24.861566543579102</v>
      </c>
      <c r="K442" s="306">
        <v>24.317947387695298</v>
      </c>
      <c r="L442" s="306">
        <v>24.125808715820298</v>
      </c>
      <c r="M442" s="306">
        <v>23.980707168579102</v>
      </c>
      <c r="N442" s="306">
        <v>23.787378311157202</v>
      </c>
      <c r="O442" s="306">
        <v>23.809650421142599</v>
      </c>
      <c r="P442" s="306">
        <v>23.876377105712901</v>
      </c>
      <c r="Q442" s="306">
        <v>24.074831008911101</v>
      </c>
      <c r="R442" s="306">
        <v>24.262081146240199</v>
      </c>
      <c r="S442" s="306">
        <v>24.183790206909201</v>
      </c>
      <c r="T442" s="306">
        <v>24.2170009613037</v>
      </c>
      <c r="U442" s="306">
        <v>24.245899200439499</v>
      </c>
      <c r="V442" s="306">
        <v>24.2234077453613</v>
      </c>
      <c r="W442" s="306">
        <v>24.307447433471701</v>
      </c>
      <c r="X442" s="306">
        <v>24.4279899597168</v>
      </c>
      <c r="Y442" s="306">
        <v>24.465734481811499</v>
      </c>
      <c r="Z442" s="306">
        <v>24.386825561523398</v>
      </c>
    </row>
    <row r="443" spans="1:26" x14ac:dyDescent="0.25">
      <c r="A443" s="306" t="s">
        <v>623</v>
      </c>
      <c r="B443" s="306"/>
      <c r="C443" s="306"/>
      <c r="D443" s="306"/>
      <c r="E443" s="306"/>
      <c r="F443" s="306"/>
      <c r="G443" s="306"/>
      <c r="H443" s="306"/>
      <c r="I443" s="306"/>
      <c r="J443" s="306"/>
      <c r="K443" s="306"/>
      <c r="L443" s="306"/>
      <c r="M443" s="306"/>
      <c r="N443" s="306"/>
      <c r="O443" s="306"/>
      <c r="P443" s="306"/>
      <c r="Q443" s="306"/>
      <c r="R443" s="306"/>
      <c r="S443" s="306"/>
      <c r="T443" s="306"/>
      <c r="U443" s="306"/>
      <c r="V443" s="306"/>
      <c r="W443" s="306"/>
      <c r="X443" s="306"/>
      <c r="Y443" s="306"/>
      <c r="Z443" s="306"/>
    </row>
    <row r="444" spans="1:26" x14ac:dyDescent="0.25">
      <c r="A444" s="306" t="s">
        <v>610</v>
      </c>
      <c r="B444" s="306"/>
      <c r="C444" s="306"/>
      <c r="D444" s="306">
        <v>9.5153579711914098</v>
      </c>
      <c r="E444" s="306">
        <v>11.3847246170044</v>
      </c>
      <c r="F444" s="306">
        <v>13.235827445983899</v>
      </c>
      <c r="G444" s="306">
        <v>14.263434410095201</v>
      </c>
      <c r="H444" s="306">
        <v>13.7692108154297</v>
      </c>
      <c r="I444" s="306">
        <v>12.704180717468301</v>
      </c>
      <c r="J444" s="306">
        <v>11.7051839828491</v>
      </c>
      <c r="K444" s="306">
        <v>10.7794647216797</v>
      </c>
      <c r="L444" s="306">
        <v>10.0299482345581</v>
      </c>
      <c r="M444" s="306">
        <v>9.2896862030029297</v>
      </c>
      <c r="N444" s="306">
        <v>9.1972703933715803</v>
      </c>
      <c r="O444" s="306">
        <v>9.2599020004272496</v>
      </c>
      <c r="P444" s="306">
        <v>9.2775526046752894</v>
      </c>
      <c r="Q444" s="306">
        <v>9.4403448104858398</v>
      </c>
      <c r="R444" s="306">
        <v>9.5352287292480504</v>
      </c>
      <c r="S444" s="306">
        <v>9.7515039443969709</v>
      </c>
      <c r="T444" s="306">
        <v>9.8428487777709996</v>
      </c>
      <c r="U444" s="306">
        <v>9.9595317840576207</v>
      </c>
      <c r="V444" s="306">
        <v>10.1106100082397</v>
      </c>
      <c r="W444" s="306">
        <v>10.0771369934082</v>
      </c>
      <c r="X444" s="306">
        <v>10.217479705810501</v>
      </c>
      <c r="Y444" s="306">
        <v>10.254093170166</v>
      </c>
      <c r="Z444" s="306">
        <v>10.318883895874</v>
      </c>
    </row>
    <row r="445" spans="1:26" x14ac:dyDescent="0.25">
      <c r="A445" s="306" t="s">
        <v>611</v>
      </c>
      <c r="B445" s="306"/>
      <c r="C445" s="306"/>
      <c r="D445" s="306">
        <v>4.9909768104553196</v>
      </c>
      <c r="E445" s="306">
        <v>6.9611043930053702</v>
      </c>
      <c r="F445" s="306">
        <v>7.8457942008972203</v>
      </c>
      <c r="G445" s="306">
        <v>7.1943798065185502</v>
      </c>
      <c r="H445" s="306">
        <v>7.2948379516601598</v>
      </c>
      <c r="I445" s="306">
        <v>6.9926204681396502</v>
      </c>
      <c r="J445" s="306">
        <v>6.5808119773864702</v>
      </c>
      <c r="K445" s="306">
        <v>6.2065305709838903</v>
      </c>
      <c r="L445" s="306">
        <v>5.9029440879821804</v>
      </c>
      <c r="M445" s="306">
        <v>5.45705270767212</v>
      </c>
      <c r="N445" s="306">
        <v>5.4534096717834499</v>
      </c>
      <c r="O445" s="306">
        <v>5.5995068550109899</v>
      </c>
      <c r="P445" s="306">
        <v>5.6287369728088397</v>
      </c>
      <c r="Q445" s="306">
        <v>5.7370648384094203</v>
      </c>
      <c r="R445" s="306">
        <v>5.8140759468078604</v>
      </c>
      <c r="S445" s="306">
        <v>6.0071105957031303</v>
      </c>
      <c r="T445" s="306">
        <v>6.0822205543518102</v>
      </c>
      <c r="U445" s="306">
        <v>6.22955322265625</v>
      </c>
      <c r="V445" s="306">
        <v>6.4186983108520499</v>
      </c>
      <c r="W445" s="306">
        <v>6.3188004493713397</v>
      </c>
      <c r="X445" s="306">
        <v>6.5342454910278303</v>
      </c>
      <c r="Y445" s="306">
        <v>6.5804891586303702</v>
      </c>
      <c r="Z445" s="306">
        <v>6.6370191574096697</v>
      </c>
    </row>
    <row r="446" spans="1:26" x14ac:dyDescent="0.25">
      <c r="A446" s="308" t="s">
        <v>510</v>
      </c>
      <c r="B446" s="308"/>
      <c r="C446" s="308"/>
      <c r="D446" s="306">
        <v>6.1140975952148402</v>
      </c>
      <c r="E446" s="306">
        <v>8.1813249588012695</v>
      </c>
      <c r="F446" s="306">
        <v>6.9707522392272896</v>
      </c>
      <c r="G446" s="306">
        <v>7.1151452064514196</v>
      </c>
      <c r="H446" s="306">
        <v>7.0668158531189</v>
      </c>
      <c r="I446" s="306">
        <v>6.5265731811523402</v>
      </c>
      <c r="J446" s="306">
        <v>6.2202811241149902</v>
      </c>
      <c r="K446" s="306">
        <v>5.8298497200012198</v>
      </c>
      <c r="L446" s="306">
        <v>5.6925516128540004</v>
      </c>
      <c r="M446" s="306">
        <v>5.4995698928832999</v>
      </c>
      <c r="N446" s="306">
        <v>5.54103326797485</v>
      </c>
      <c r="O446" s="306">
        <v>5.5007095336914098</v>
      </c>
      <c r="P446" s="306">
        <v>5.59739446640015</v>
      </c>
      <c r="Q446" s="306">
        <v>5.7880721092224103</v>
      </c>
      <c r="R446" s="306">
        <v>5.7225790023803702</v>
      </c>
      <c r="S446" s="306">
        <v>5.6709170341491699</v>
      </c>
      <c r="T446" s="306">
        <v>5.7639327049255398</v>
      </c>
      <c r="U446" s="306">
        <v>5.72597312927246</v>
      </c>
      <c r="V446" s="306">
        <v>5.8378243446350098</v>
      </c>
      <c r="W446" s="306">
        <v>5.9462161064147896</v>
      </c>
      <c r="X446" s="306">
        <v>6.05735063552856</v>
      </c>
      <c r="Y446" s="306">
        <v>6.0477237701415998</v>
      </c>
      <c r="Z446" s="306">
        <v>6.0664491653442401</v>
      </c>
    </row>
    <row r="447" spans="1:26" x14ac:dyDescent="0.25">
      <c r="A447" s="311" t="s">
        <v>624</v>
      </c>
      <c r="B447" s="311"/>
      <c r="C447" s="311"/>
      <c r="D447" s="306">
        <v>1.4011929035186801</v>
      </c>
      <c r="E447" s="306">
        <v>1.5299999713897701</v>
      </c>
      <c r="F447" s="306">
        <v>1.6714243888855</v>
      </c>
      <c r="G447" s="306">
        <v>1.69177293777466</v>
      </c>
      <c r="H447" s="306">
        <v>1.70398998260498</v>
      </c>
      <c r="I447" s="306">
        <v>1.7000321149826001</v>
      </c>
      <c r="J447" s="306">
        <v>1.7052028179168699</v>
      </c>
      <c r="K447" s="306">
        <v>1.66678094863892</v>
      </c>
      <c r="L447" s="306">
        <v>1.63700723648071</v>
      </c>
      <c r="M447" s="306">
        <v>1.6199716329574601</v>
      </c>
      <c r="N447" s="306">
        <v>1.61296951770782</v>
      </c>
      <c r="O447" s="306">
        <v>1.59987056255341</v>
      </c>
      <c r="P447" s="306">
        <v>1.59190189838409</v>
      </c>
      <c r="Q447" s="306">
        <v>1.5892090797424301</v>
      </c>
      <c r="R447" s="306">
        <v>1.57604885101318</v>
      </c>
      <c r="S447" s="306">
        <v>1.5779995918273899</v>
      </c>
      <c r="T447" s="306">
        <v>1.5809644460678101</v>
      </c>
      <c r="U447" s="306">
        <v>1.5890377759933501</v>
      </c>
      <c r="V447" s="306">
        <v>1.59825491905212</v>
      </c>
      <c r="W447" s="306">
        <v>1.6020262241363501</v>
      </c>
      <c r="X447" s="306">
        <v>1.6148724555969201</v>
      </c>
      <c r="Y447" s="306">
        <v>1.62832856178284</v>
      </c>
      <c r="Z447" s="306">
        <v>1.63934326171875</v>
      </c>
    </row>
    <row r="448" spans="1:26" x14ac:dyDescent="0.25">
      <c r="A448" s="306" t="s">
        <v>625</v>
      </c>
      <c r="B448" s="306"/>
      <c r="C448" s="306"/>
      <c r="D448" s="306"/>
      <c r="E448" s="306"/>
      <c r="F448" s="306"/>
      <c r="G448" s="306"/>
      <c r="H448" s="306"/>
      <c r="I448" s="306"/>
      <c r="J448" s="306"/>
      <c r="K448" s="306"/>
      <c r="L448" s="306"/>
      <c r="M448" s="306"/>
      <c r="N448" s="306"/>
      <c r="O448" s="306"/>
      <c r="P448" s="306"/>
      <c r="Q448" s="306"/>
      <c r="R448" s="306"/>
      <c r="S448" s="306"/>
      <c r="T448" s="306"/>
      <c r="U448" s="306"/>
      <c r="V448" s="306"/>
      <c r="W448" s="306"/>
      <c r="X448" s="306"/>
      <c r="Y448" s="306"/>
      <c r="Z448" s="306"/>
    </row>
    <row r="449" spans="1:70" x14ac:dyDescent="0.25">
      <c r="A449" s="306" t="s">
        <v>609</v>
      </c>
      <c r="B449" s="306"/>
      <c r="C449" s="306"/>
      <c r="D449" s="306">
        <v>12.6906900405884</v>
      </c>
      <c r="E449" s="306">
        <v>17.482444763183601</v>
      </c>
      <c r="F449" s="306">
        <v>19.464084625244102</v>
      </c>
      <c r="G449" s="306">
        <v>18.995626449585</v>
      </c>
      <c r="H449" s="306">
        <v>18.880571365356399</v>
      </c>
      <c r="I449" s="306">
        <v>18.286575317382798</v>
      </c>
      <c r="J449" s="306">
        <v>18.020065307617202</v>
      </c>
      <c r="K449" s="306">
        <v>17.571559906005898</v>
      </c>
      <c r="L449" s="306">
        <v>17.417589187622099</v>
      </c>
      <c r="M449" s="306">
        <v>17.2678737640381</v>
      </c>
      <c r="N449" s="306">
        <v>17.291303634643601</v>
      </c>
      <c r="O449" s="306">
        <v>17.241743087768601</v>
      </c>
      <c r="P449" s="306">
        <v>17.364793777465799</v>
      </c>
      <c r="Q449" s="306">
        <v>17.562221527099599</v>
      </c>
      <c r="R449" s="306">
        <v>17.562810897827099</v>
      </c>
      <c r="S449" s="306">
        <v>17.558799743652301</v>
      </c>
      <c r="T449" s="306">
        <v>17.620630264282202</v>
      </c>
      <c r="U449" s="306">
        <v>17.599321365356399</v>
      </c>
      <c r="V449" s="306">
        <v>17.721448898315401</v>
      </c>
      <c r="W449" s="306">
        <v>17.8418064117432</v>
      </c>
      <c r="X449" s="306">
        <v>17.9907836914063</v>
      </c>
      <c r="Y449" s="306">
        <v>17.9618225097656</v>
      </c>
      <c r="Z449" s="306">
        <v>17.988685607910199</v>
      </c>
    </row>
    <row r="450" spans="1:70" x14ac:dyDescent="0.25">
      <c r="A450" s="306" t="s">
        <v>618</v>
      </c>
      <c r="B450" s="306"/>
      <c r="C450" s="306"/>
      <c r="D450" s="306">
        <v>20.914932250976602</v>
      </c>
      <c r="E450" s="306">
        <v>23.101913452148398</v>
      </c>
      <c r="F450" s="306">
        <v>24.811454772949201</v>
      </c>
      <c r="G450" s="306">
        <v>27.774848937988299</v>
      </c>
      <c r="H450" s="306">
        <v>25.9952602386475</v>
      </c>
      <c r="I450" s="306">
        <v>24.2666110992432</v>
      </c>
      <c r="J450" s="306">
        <v>21.291254043579102</v>
      </c>
      <c r="K450" s="306">
        <v>20.525190353393601</v>
      </c>
      <c r="L450" s="306">
        <v>20.3361301422119</v>
      </c>
      <c r="M450" s="306">
        <v>20.197395324706999</v>
      </c>
      <c r="N450" s="306">
        <v>20.009881973266602</v>
      </c>
      <c r="O450" s="306">
        <v>20.093305587768601</v>
      </c>
      <c r="P450" s="306">
        <v>20.196292877197301</v>
      </c>
      <c r="Q450" s="306">
        <v>20.4327602386475</v>
      </c>
      <c r="R450" s="306">
        <v>20.4076957702637</v>
      </c>
      <c r="S450" s="306">
        <v>20.624263763427699</v>
      </c>
      <c r="T450" s="306">
        <v>20.610368728637699</v>
      </c>
      <c r="U450" s="306">
        <v>20.617734909057599</v>
      </c>
      <c r="V450" s="306">
        <v>21.067132949829102</v>
      </c>
      <c r="W450" s="306">
        <v>20.970218658447301</v>
      </c>
      <c r="X450" s="306">
        <v>20.962213516235401</v>
      </c>
      <c r="Y450" s="306">
        <v>21.257926940918001</v>
      </c>
      <c r="Z450" s="306">
        <v>21.098123550415</v>
      </c>
    </row>
    <row r="451" spans="1:70" x14ac:dyDescent="0.25">
      <c r="A451" s="306" t="s">
        <v>619</v>
      </c>
      <c r="B451" s="306"/>
      <c r="C451" s="306"/>
      <c r="D451" s="306">
        <v>15.706001281738301</v>
      </c>
      <c r="E451" s="306">
        <v>18.602125167846701</v>
      </c>
      <c r="F451" s="306">
        <v>21.1080112457275</v>
      </c>
      <c r="G451" s="306">
        <v>20.962741851806602</v>
      </c>
      <c r="H451" s="306">
        <v>19.720066070556602</v>
      </c>
      <c r="I451" s="306">
        <v>18.690637588501001</v>
      </c>
      <c r="J451" s="306">
        <v>17.900485992431602</v>
      </c>
      <c r="K451" s="306">
        <v>17.230388641357401</v>
      </c>
      <c r="L451" s="306">
        <v>16.861814498901399</v>
      </c>
      <c r="M451" s="306">
        <v>16.564214706420898</v>
      </c>
      <c r="N451" s="306">
        <v>16.0839519500732</v>
      </c>
      <c r="O451" s="306">
        <v>16.0615749359131</v>
      </c>
      <c r="P451" s="306">
        <v>16.110080718994102</v>
      </c>
      <c r="Q451" s="306">
        <v>16.238643646240199</v>
      </c>
      <c r="R451" s="306">
        <v>16.322971343994102</v>
      </c>
      <c r="S451" s="306">
        <v>16.671089172363299</v>
      </c>
      <c r="T451" s="306">
        <v>16.630247116088899</v>
      </c>
      <c r="U451" s="306">
        <v>16.7495441436768</v>
      </c>
      <c r="V451" s="306">
        <v>17.049686431884801</v>
      </c>
      <c r="W451" s="306">
        <v>16.918500900268601</v>
      </c>
      <c r="X451" s="306">
        <v>17.100944519043001</v>
      </c>
      <c r="Y451" s="306">
        <v>17.321361541748001</v>
      </c>
      <c r="Z451" s="306">
        <v>17.142530441284201</v>
      </c>
    </row>
    <row r="452" spans="1:70" x14ac:dyDescent="0.25">
      <c r="A452" s="306" t="s">
        <v>626</v>
      </c>
      <c r="B452" s="306"/>
      <c r="C452" s="306"/>
      <c r="D452" s="306">
        <v>9.2184209823608398</v>
      </c>
      <c r="E452" s="306">
        <v>13.1439361572266</v>
      </c>
      <c r="F452" s="306">
        <v>14.9574270248413</v>
      </c>
      <c r="G452" s="306">
        <v>12.9907026290894</v>
      </c>
      <c r="H452" s="306">
        <v>11.722384452819799</v>
      </c>
      <c r="I452" s="306">
        <v>11.2624855041504</v>
      </c>
      <c r="J452" s="306">
        <v>10.9056959152222</v>
      </c>
      <c r="K452" s="306">
        <v>10.3720808029175</v>
      </c>
      <c r="L452" s="306">
        <v>10.059165954589799</v>
      </c>
      <c r="M452" s="306">
        <v>10.0335283279419</v>
      </c>
      <c r="N452" s="306">
        <v>9.8430700302124006</v>
      </c>
      <c r="O452" s="306">
        <v>9.8874025344848597</v>
      </c>
      <c r="P452" s="306">
        <v>10.0322532653809</v>
      </c>
      <c r="Q452" s="306">
        <v>10.087176322936999</v>
      </c>
      <c r="R452" s="306">
        <v>10.2108345031738</v>
      </c>
      <c r="S452" s="306">
        <v>10.523097038269</v>
      </c>
      <c r="T452" s="306">
        <v>10.506872177124</v>
      </c>
      <c r="U452" s="306">
        <v>10.5880041122437</v>
      </c>
      <c r="V452" s="306">
        <v>10.8930578231812</v>
      </c>
      <c r="W452" s="306">
        <v>10.788450241088899</v>
      </c>
      <c r="X452" s="306">
        <v>10.9106340408325</v>
      </c>
      <c r="Y452" s="306">
        <v>11.0979099273682</v>
      </c>
      <c r="Z452" s="306">
        <v>11.0487413406372</v>
      </c>
    </row>
    <row r="453" spans="1:70" x14ac:dyDescent="0.25">
      <c r="A453" s="306" t="s">
        <v>610</v>
      </c>
      <c r="B453" s="306"/>
      <c r="C453" s="306"/>
      <c r="D453" s="306">
        <v>12.9106340408325</v>
      </c>
      <c r="E453" s="306">
        <v>16.217037200927699</v>
      </c>
      <c r="F453" s="306">
        <v>18.421550750732401</v>
      </c>
      <c r="G453" s="306">
        <v>18.437913894653299</v>
      </c>
      <c r="H453" s="306">
        <v>17.199058532714801</v>
      </c>
      <c r="I453" s="306">
        <v>16.296318054199201</v>
      </c>
      <c r="J453" s="306">
        <v>15.704516410827599</v>
      </c>
      <c r="K453" s="306">
        <v>14.921827316284199</v>
      </c>
      <c r="L453" s="306">
        <v>14.360170364379901</v>
      </c>
      <c r="M453" s="306">
        <v>14.182985305786101</v>
      </c>
      <c r="N453" s="306">
        <v>13.862556457519499</v>
      </c>
      <c r="O453" s="306">
        <v>13.915904045105</v>
      </c>
      <c r="P453" s="306">
        <v>14.153459548950201</v>
      </c>
      <c r="Q453" s="306">
        <v>14.1445617675781</v>
      </c>
      <c r="R453" s="306">
        <v>14.2399711608887</v>
      </c>
      <c r="S453" s="306">
        <v>14.558382987976101</v>
      </c>
      <c r="T453" s="306">
        <v>14.527869224548301</v>
      </c>
      <c r="U453" s="306">
        <v>14.6189737319946</v>
      </c>
      <c r="V453" s="306">
        <v>14.9021968841553</v>
      </c>
      <c r="W453" s="306">
        <v>14.6463842391968</v>
      </c>
      <c r="X453" s="306">
        <v>14.8252000808716</v>
      </c>
      <c r="Y453" s="306">
        <v>15.0819444656372</v>
      </c>
      <c r="Z453" s="306">
        <v>15.031323432922401</v>
      </c>
    </row>
    <row r="454" spans="1:70" x14ac:dyDescent="0.25">
      <c r="A454" s="306" t="s">
        <v>611</v>
      </c>
      <c r="B454" s="306"/>
      <c r="C454" s="306"/>
      <c r="D454" s="306">
        <v>5.0985417366027797</v>
      </c>
      <c r="E454" s="306">
        <v>6.5886197090148899</v>
      </c>
      <c r="F454" s="306">
        <v>7.9185199737548801</v>
      </c>
      <c r="G454" s="306">
        <v>8.2529850006103498</v>
      </c>
      <c r="H454" s="306">
        <v>8.4050197601318395</v>
      </c>
      <c r="I454" s="306">
        <v>8.0572872161865199</v>
      </c>
      <c r="J454" s="306">
        <v>7.6087560653686497</v>
      </c>
      <c r="K454" s="306">
        <v>7.1943945884704599</v>
      </c>
      <c r="L454" s="306">
        <v>6.8676166534423801</v>
      </c>
      <c r="M454" s="306">
        <v>6.4547815322876003</v>
      </c>
      <c r="N454" s="306">
        <v>6.4073238372802699</v>
      </c>
      <c r="O454" s="306">
        <v>6.54701900482178</v>
      </c>
      <c r="P454" s="306">
        <v>6.5695567131042498</v>
      </c>
      <c r="Q454" s="306">
        <v>6.6816062927246103</v>
      </c>
      <c r="R454" s="306">
        <v>6.7372307777404803</v>
      </c>
      <c r="S454" s="306">
        <v>6.86507225036621</v>
      </c>
      <c r="T454" s="306">
        <v>6.9956922531127903</v>
      </c>
      <c r="U454" s="306">
        <v>7.1396765708923304</v>
      </c>
      <c r="V454" s="306">
        <v>7.3088741302490199</v>
      </c>
      <c r="W454" s="306">
        <v>7.2670574188232404</v>
      </c>
      <c r="X454" s="306">
        <v>7.4510564804077104</v>
      </c>
      <c r="Y454" s="306">
        <v>7.4737396240234402</v>
      </c>
      <c r="Z454" s="306">
        <v>7.5808291435241699</v>
      </c>
    </row>
    <row r="455" spans="1:70" x14ac:dyDescent="0.25">
      <c r="A455" s="306" t="s">
        <v>510</v>
      </c>
      <c r="B455" s="306"/>
      <c r="C455" s="306"/>
      <c r="D455" s="306">
        <v>7.8259296417236301</v>
      </c>
      <c r="E455" s="306">
        <v>9.6487970352172905</v>
      </c>
      <c r="F455" s="306">
        <v>9.1377601623535192</v>
      </c>
      <c r="G455" s="306">
        <v>8.7611961364746094</v>
      </c>
      <c r="H455" s="306">
        <v>8.6626396179199201</v>
      </c>
      <c r="I455" s="306">
        <v>8.1270828247070295</v>
      </c>
      <c r="J455" s="306">
        <v>7.8336372375488299</v>
      </c>
      <c r="K455" s="306">
        <v>7.4448304176330602</v>
      </c>
      <c r="L455" s="306">
        <v>7.2887372970581099</v>
      </c>
      <c r="M455" s="306">
        <v>7.0927038192748997</v>
      </c>
      <c r="N455" s="306">
        <v>7.1150150299072301</v>
      </c>
      <c r="O455" s="306">
        <v>7.0641679763793901</v>
      </c>
      <c r="P455" s="306">
        <v>7.1520218849182102</v>
      </c>
      <c r="Q455" s="306">
        <v>7.3469972610473597</v>
      </c>
      <c r="R455" s="306">
        <v>7.2896466255187997</v>
      </c>
      <c r="S455" s="306">
        <v>7.2448530197143599</v>
      </c>
      <c r="T455" s="306">
        <v>7.3207983970642099</v>
      </c>
      <c r="U455" s="306">
        <v>7.3070926666259801</v>
      </c>
      <c r="V455" s="306">
        <v>7.4372458457946804</v>
      </c>
      <c r="W455" s="306">
        <v>7.5700182914733896</v>
      </c>
      <c r="X455" s="306">
        <v>7.6924967765808097</v>
      </c>
      <c r="Y455" s="306">
        <v>7.6794857978820801</v>
      </c>
      <c r="Z455" s="306">
        <v>7.7304539680481001</v>
      </c>
    </row>
    <row r="456" spans="1:70" x14ac:dyDescent="0.25">
      <c r="A456" s="306" t="s">
        <v>614</v>
      </c>
      <c r="B456" s="306"/>
      <c r="C456" s="306"/>
      <c r="D456" s="306">
        <v>2.3078472614288299</v>
      </c>
      <c r="E456" s="306">
        <v>3.0599997043609601</v>
      </c>
      <c r="F456" s="306">
        <v>3.2548489570617698</v>
      </c>
      <c r="G456" s="306">
        <v>3.2975256443023699</v>
      </c>
      <c r="H456" s="306">
        <v>3.2872827053070099</v>
      </c>
      <c r="I456" s="306">
        <v>3.1889374256134002</v>
      </c>
      <c r="J456" s="306">
        <v>3.0940959453582799</v>
      </c>
      <c r="K456" s="306">
        <v>2.9914577007293701</v>
      </c>
      <c r="L456" s="306">
        <v>2.8927016258239702</v>
      </c>
      <c r="M456" s="306">
        <v>2.78926348686218</v>
      </c>
      <c r="N456" s="306">
        <v>2.7408642768859899</v>
      </c>
      <c r="O456" s="306">
        <v>2.7166485786438002</v>
      </c>
      <c r="P456" s="306">
        <v>2.7061200141906698</v>
      </c>
      <c r="Q456" s="306">
        <v>2.7063503265380899</v>
      </c>
      <c r="R456" s="306">
        <v>2.7045123577117902</v>
      </c>
      <c r="S456" s="306">
        <v>2.68979120254517</v>
      </c>
      <c r="T456" s="306">
        <v>2.7072892189025901</v>
      </c>
      <c r="U456" s="306">
        <v>2.71812868118286</v>
      </c>
      <c r="V456" s="306">
        <v>2.7191135883331299</v>
      </c>
      <c r="W456" s="306">
        <v>2.7064330577850302</v>
      </c>
      <c r="X456" s="306">
        <v>2.68589544296265</v>
      </c>
      <c r="Y456" s="306">
        <v>2.69574999809265</v>
      </c>
      <c r="Z456" s="306">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6" t="s">
        <v>627</v>
      </c>
      <c r="B457" s="306"/>
      <c r="C457" s="306"/>
      <c r="D457" s="306">
        <v>1.43066883087158</v>
      </c>
      <c r="E457" s="306">
        <v>1.5706532001495399</v>
      </c>
      <c r="F457" s="306">
        <v>1.7059867382049601</v>
      </c>
      <c r="G457" s="306">
        <v>1.7268872261047401</v>
      </c>
      <c r="H457" s="306">
        <v>1.7392324209213299</v>
      </c>
      <c r="I457" s="306">
        <v>1.7345312833786</v>
      </c>
      <c r="J457" s="306">
        <v>1.7401528358459499</v>
      </c>
      <c r="K457" s="306">
        <v>1.7026997804641699</v>
      </c>
      <c r="L457" s="306">
        <v>1.67319643497467</v>
      </c>
      <c r="M457" s="306">
        <v>1.6556009054184</v>
      </c>
      <c r="N457" s="306">
        <v>1.6479283571243299</v>
      </c>
      <c r="O457" s="306">
        <v>1.63474309444427</v>
      </c>
      <c r="P457" s="306">
        <v>1.6263667345046999</v>
      </c>
      <c r="Q457" s="306">
        <v>1.6231272220611599</v>
      </c>
      <c r="R457" s="306">
        <v>1.60980331897736</v>
      </c>
      <c r="S457" s="306">
        <v>1.6111264228820801</v>
      </c>
      <c r="T457" s="306">
        <v>1.61373710632324</v>
      </c>
      <c r="U457" s="306">
        <v>1.6214674711227399</v>
      </c>
      <c r="V457" s="306">
        <v>1.6300570964813199</v>
      </c>
      <c r="W457" s="306">
        <v>1.6331868171691899</v>
      </c>
      <c r="X457" s="306">
        <v>1.6452817916870099</v>
      </c>
      <c r="Y457" s="306">
        <v>1.6581670045852701</v>
      </c>
      <c r="Z457" s="306">
        <v>1.6686607599258401</v>
      </c>
    </row>
    <row r="458" spans="1:70" x14ac:dyDescent="0.25">
      <c r="A458" s="306" t="s">
        <v>616</v>
      </c>
      <c r="B458" s="306"/>
      <c r="C458" s="306"/>
      <c r="D458" s="306" t="s">
        <v>1082</v>
      </c>
      <c r="E458" s="306" t="s">
        <v>1082</v>
      </c>
      <c r="F458" s="306" t="s">
        <v>1082</v>
      </c>
      <c r="G458" s="306" t="s">
        <v>1082</v>
      </c>
      <c r="H458" s="306" t="s">
        <v>1082</v>
      </c>
      <c r="I458" s="306" t="s">
        <v>1082</v>
      </c>
      <c r="J458" s="306" t="s">
        <v>1082</v>
      </c>
      <c r="K458" s="306">
        <v>0.88956671953201305</v>
      </c>
      <c r="L458" s="306">
        <v>0.881245017051697</v>
      </c>
      <c r="M458" s="306">
        <v>0.88442194461822499</v>
      </c>
      <c r="N458" s="306">
        <v>0.89085346460342396</v>
      </c>
      <c r="O458" s="306">
        <v>0.88840740919113204</v>
      </c>
      <c r="P458" s="306">
        <v>0.89322775602340698</v>
      </c>
      <c r="Q458" s="306">
        <v>0.90440875291824296</v>
      </c>
      <c r="R458" s="306">
        <v>0.91453087329864502</v>
      </c>
      <c r="S458" s="306">
        <v>0.95469778776168801</v>
      </c>
      <c r="T458" s="306">
        <v>0.96978461742401101</v>
      </c>
      <c r="U458" s="306">
        <v>1.01334369182587</v>
      </c>
      <c r="V458" s="306">
        <v>1.02781510353088</v>
      </c>
      <c r="W458" s="306">
        <v>1.0294380187988299</v>
      </c>
      <c r="X458" s="306">
        <v>1.1219843626022299</v>
      </c>
      <c r="Y458" s="306">
        <v>1.2297383546829199</v>
      </c>
      <c r="Z458" s="306">
        <v>1.26935982704163</v>
      </c>
    </row>
    <row r="459" spans="1:70" x14ac:dyDescent="0.25">
      <c r="A459" s="306" t="s">
        <v>479</v>
      </c>
      <c r="B459" s="306"/>
      <c r="C459" s="306"/>
      <c r="D459" s="306">
        <v>23.009492874145501</v>
      </c>
      <c r="E459" s="306">
        <v>23.734071731567401</v>
      </c>
      <c r="F459" s="306">
        <v>24.3845615386963</v>
      </c>
      <c r="G459" s="306">
        <v>24.318822860717798</v>
      </c>
      <c r="H459" s="306">
        <v>24.297929763793899</v>
      </c>
      <c r="I459" s="306">
        <v>24.022377014160199</v>
      </c>
      <c r="J459" s="306">
        <v>23.662025451660199</v>
      </c>
      <c r="K459" s="306">
        <v>23.093143463134801</v>
      </c>
      <c r="L459" s="306">
        <v>22.802413940429702</v>
      </c>
      <c r="M459" s="306">
        <v>22.663448333740199</v>
      </c>
      <c r="N459" s="306">
        <v>22.5459308624268</v>
      </c>
      <c r="O459" s="306">
        <v>22.5456428527832</v>
      </c>
      <c r="P459" s="306">
        <v>22.688844680786101</v>
      </c>
      <c r="Q459" s="306">
        <v>22.9480895996094</v>
      </c>
      <c r="R459" s="306">
        <v>23.136041641235401</v>
      </c>
      <c r="S459" s="306">
        <v>23.0899753570557</v>
      </c>
      <c r="T459" s="306">
        <v>23.154170989990199</v>
      </c>
      <c r="U459" s="306">
        <v>23.213594436645501</v>
      </c>
      <c r="V459" s="306">
        <v>23.230543136596701</v>
      </c>
      <c r="W459" s="306">
        <v>23.3047065734863</v>
      </c>
      <c r="X459" s="306">
        <v>23.429094314575199</v>
      </c>
      <c r="Y459" s="306">
        <v>23.4709377288818</v>
      </c>
      <c r="Z459" s="306">
        <v>23.433801651001001</v>
      </c>
    </row>
    <row r="460" spans="1:70" x14ac:dyDescent="0.25">
      <c r="A460" s="306" t="s">
        <v>513</v>
      </c>
      <c r="B460" s="306"/>
      <c r="C460" s="306"/>
      <c r="D460" s="306"/>
      <c r="E460" s="306"/>
      <c r="F460" s="306"/>
      <c r="G460" s="306"/>
      <c r="H460" s="306"/>
      <c r="I460" s="306"/>
      <c r="J460" s="306"/>
      <c r="K460" s="306"/>
      <c r="L460" s="306"/>
      <c r="M460" s="306"/>
      <c r="N460" s="306"/>
      <c r="O460" s="306"/>
      <c r="P460" s="306"/>
      <c r="Q460" s="306"/>
      <c r="R460" s="306"/>
      <c r="S460" s="306"/>
      <c r="T460" s="306"/>
      <c r="U460" s="306"/>
      <c r="V460" s="306"/>
      <c r="W460" s="306"/>
      <c r="X460" s="306"/>
      <c r="Y460" s="306"/>
      <c r="Z460" s="306"/>
    </row>
    <row r="461" spans="1:70" x14ac:dyDescent="0.25">
      <c r="A461" s="306" t="s">
        <v>628</v>
      </c>
      <c r="B461" s="306"/>
      <c r="C461" s="306"/>
      <c r="D461" s="306"/>
      <c r="E461" s="306"/>
      <c r="F461" s="306"/>
      <c r="G461" s="306"/>
      <c r="H461" s="306"/>
      <c r="I461" s="306"/>
      <c r="J461" s="306"/>
      <c r="K461" s="306"/>
      <c r="L461" s="306"/>
      <c r="M461" s="306"/>
      <c r="N461" s="306"/>
      <c r="O461" s="306"/>
      <c r="P461" s="306"/>
      <c r="Q461" s="306"/>
      <c r="R461" s="306"/>
      <c r="S461" s="306"/>
      <c r="T461" s="306"/>
      <c r="U461" s="306"/>
      <c r="V461" s="306"/>
      <c r="W461" s="306"/>
      <c r="X461" s="306"/>
      <c r="Y461" s="306"/>
      <c r="Z461" s="306"/>
    </row>
    <row r="462" spans="1:70" x14ac:dyDescent="0.25">
      <c r="A462" s="306" t="s">
        <v>473</v>
      </c>
      <c r="B462" s="306"/>
      <c r="C462" s="306"/>
      <c r="D462" s="306">
        <v>195.98880004882801</v>
      </c>
      <c r="E462" s="306">
        <v>215.13366699218801</v>
      </c>
      <c r="F462" s="306">
        <v>218.80557250976599</v>
      </c>
      <c r="G462" s="306">
        <v>221.29866027832</v>
      </c>
      <c r="H462" s="306">
        <v>223.50036621093801</v>
      </c>
      <c r="I462" s="306">
        <v>221.10458374023401</v>
      </c>
      <c r="J462" s="306">
        <v>220.438400268555</v>
      </c>
      <c r="K462" s="306">
        <v>218.08479309082</v>
      </c>
      <c r="L462" s="306">
        <v>218.45701599121099</v>
      </c>
      <c r="M462" s="306">
        <v>217.84970092773401</v>
      </c>
      <c r="N462" s="306">
        <v>219.40165710449199</v>
      </c>
      <c r="O462" s="306">
        <v>221.00289916992199</v>
      </c>
      <c r="P462" s="306">
        <v>224.59239196777301</v>
      </c>
      <c r="Q462" s="306">
        <v>228.53056335449199</v>
      </c>
      <c r="R462" s="306">
        <v>230.97148132324199</v>
      </c>
      <c r="S462" s="306">
        <v>232.57162475585901</v>
      </c>
      <c r="T462" s="306">
        <v>236.03457641601599</v>
      </c>
      <c r="U462" s="306">
        <v>237.58020019531301</v>
      </c>
      <c r="V462" s="306">
        <v>240.43632507324199</v>
      </c>
      <c r="W462" s="306">
        <v>243.39186096191401</v>
      </c>
      <c r="X462" s="306">
        <v>247.24427795410199</v>
      </c>
      <c r="Y462" s="306">
        <v>248.98767089843801</v>
      </c>
      <c r="Z462" s="306">
        <v>251.02548217773401</v>
      </c>
    </row>
    <row r="463" spans="1:70" x14ac:dyDescent="0.25">
      <c r="A463" s="306" t="s">
        <v>480</v>
      </c>
      <c r="B463" s="306"/>
      <c r="C463" s="306"/>
      <c r="D463" s="306">
        <v>141.77845764160199</v>
      </c>
      <c r="E463" s="306">
        <v>154.38449096679699</v>
      </c>
      <c r="F463" s="306">
        <v>157.84999084472699</v>
      </c>
      <c r="G463" s="306">
        <v>156.06527709960901</v>
      </c>
      <c r="H463" s="306">
        <v>159.312088012695</v>
      </c>
      <c r="I463" s="306">
        <v>158.53677368164099</v>
      </c>
      <c r="J463" s="306">
        <v>157.966796875</v>
      </c>
      <c r="K463" s="306">
        <v>156.350173950195</v>
      </c>
      <c r="L463" s="306">
        <v>157.31393432617199</v>
      </c>
      <c r="M463" s="306">
        <v>158.58882141113301</v>
      </c>
      <c r="N463" s="306">
        <v>160.74195861816401</v>
      </c>
      <c r="O463" s="306">
        <v>163.37489318847699</v>
      </c>
      <c r="P463" s="306">
        <v>167.20817565918</v>
      </c>
      <c r="Q463" s="306">
        <v>172.04411315918</v>
      </c>
      <c r="R463" s="306">
        <v>175.58262634277301</v>
      </c>
      <c r="S463" s="306">
        <v>178.093505859375</v>
      </c>
      <c r="T463" s="306">
        <v>181.73991394043</v>
      </c>
      <c r="U463" s="306">
        <v>185.01341247558599</v>
      </c>
      <c r="V463" s="306">
        <v>188.79048156738301</v>
      </c>
      <c r="W463" s="306">
        <v>192.86947631835901</v>
      </c>
      <c r="X463" s="306">
        <v>197.36026000976599</v>
      </c>
      <c r="Y463" s="306">
        <v>201.10684204101599</v>
      </c>
      <c r="Z463" s="306">
        <v>204.49230957031301</v>
      </c>
    </row>
    <row r="464" spans="1:70" x14ac:dyDescent="0.25">
      <c r="A464" s="306" t="s">
        <v>515</v>
      </c>
      <c r="B464" s="306"/>
      <c r="C464" s="306"/>
      <c r="D464" s="306">
        <v>184.22943115234401</v>
      </c>
      <c r="E464" s="306">
        <v>196.07313537597699</v>
      </c>
      <c r="F464" s="306">
        <v>205.39855957031301</v>
      </c>
      <c r="G464" s="306">
        <v>217.87611389160199</v>
      </c>
      <c r="H464" s="306">
        <v>214.14784240722699</v>
      </c>
      <c r="I464" s="306">
        <v>207.11370849609401</v>
      </c>
      <c r="J464" s="306">
        <v>200.48422241210901</v>
      </c>
      <c r="K464" s="306">
        <v>191.81477355957</v>
      </c>
      <c r="L464" s="306">
        <v>187.29217529296901</v>
      </c>
      <c r="M464" s="306">
        <v>184.91578674316401</v>
      </c>
      <c r="N464" s="306">
        <v>184.25204467773401</v>
      </c>
      <c r="O464" s="306">
        <v>184.11447143554699</v>
      </c>
      <c r="P464" s="306">
        <v>186.80691528320301</v>
      </c>
      <c r="Q464" s="306">
        <v>189.66255187988301</v>
      </c>
      <c r="R464" s="306">
        <v>190.49990844726599</v>
      </c>
      <c r="S464" s="306">
        <v>192.03105163574199</v>
      </c>
      <c r="T464" s="306">
        <v>194.88296508789099</v>
      </c>
      <c r="U464" s="306">
        <v>196.87213134765599</v>
      </c>
      <c r="V464" s="306">
        <v>200.07191467285199</v>
      </c>
      <c r="W464" s="306">
        <v>202.13279724121099</v>
      </c>
      <c r="X464" s="306">
        <v>205.48814392089801</v>
      </c>
      <c r="Y464" s="306">
        <v>206.97822570800801</v>
      </c>
      <c r="Z464" s="306">
        <v>209.30905151367199</v>
      </c>
    </row>
    <row r="465" spans="1:70" x14ac:dyDescent="0.25">
      <c r="A465" s="306" t="s">
        <v>487</v>
      </c>
      <c r="B465" s="306"/>
      <c r="C465" s="306"/>
      <c r="D465" s="306">
        <v>385.00112915039102</v>
      </c>
      <c r="E465" s="306">
        <v>474.66281127929699</v>
      </c>
      <c r="F465" s="306">
        <v>545.7236328125</v>
      </c>
      <c r="G465" s="306">
        <v>538.79211425781295</v>
      </c>
      <c r="H465" s="306">
        <v>508.11019897460898</v>
      </c>
      <c r="I465" s="306">
        <v>488.44781494140602</v>
      </c>
      <c r="J465" s="306">
        <v>476.37777709960898</v>
      </c>
      <c r="K465" s="306">
        <v>463.41403198242199</v>
      </c>
      <c r="L465" s="306">
        <v>458.16046142578102</v>
      </c>
      <c r="M465" s="306">
        <v>458.57275390625</v>
      </c>
      <c r="N465" s="306">
        <v>452.78533935546898</v>
      </c>
      <c r="O465" s="306">
        <v>459.41848754882801</v>
      </c>
      <c r="P465" s="306">
        <v>469.74392700195301</v>
      </c>
      <c r="Q465" s="306">
        <v>478.67190551757801</v>
      </c>
      <c r="R465" s="306">
        <v>487.87078857421898</v>
      </c>
      <c r="S465" s="306">
        <v>505.29348754882801</v>
      </c>
      <c r="T465" s="306">
        <v>511.07485961914102</v>
      </c>
      <c r="U465" s="306">
        <v>521.646240234375</v>
      </c>
      <c r="V465" s="306">
        <v>538.77532958984398</v>
      </c>
      <c r="W465" s="306">
        <v>540.642822265625</v>
      </c>
      <c r="X465" s="306">
        <v>554.21173095703102</v>
      </c>
      <c r="Y465" s="306">
        <v>570.280029296875</v>
      </c>
      <c r="Z465" s="306">
        <v>574.30035400390602</v>
      </c>
    </row>
    <row r="466" spans="1:70" x14ac:dyDescent="0.25">
      <c r="A466" s="306" t="s">
        <v>516</v>
      </c>
      <c r="B466" s="306"/>
      <c r="C466" s="306"/>
      <c r="D466" s="306">
        <v>906.997802734375</v>
      </c>
      <c r="E466" s="306">
        <v>1040.25415039063</v>
      </c>
      <c r="F466" s="306">
        <v>1127.77770996094</v>
      </c>
      <c r="G466" s="306">
        <v>1134.0322265625</v>
      </c>
      <c r="H466" s="306">
        <v>1105.07055664063</v>
      </c>
      <c r="I466" s="306">
        <v>1075.20288085938</v>
      </c>
      <c r="J466" s="306">
        <v>1055.26721191406</v>
      </c>
      <c r="K466" s="306">
        <v>1029.66381835938</v>
      </c>
      <c r="L466" s="306">
        <v>1021.22357177734</v>
      </c>
      <c r="M466" s="306">
        <v>1019.92706298828</v>
      </c>
      <c r="N466" s="306">
        <v>1017.18103027344</v>
      </c>
      <c r="O466" s="306">
        <v>1027.91076660156</v>
      </c>
      <c r="P466" s="306">
        <v>1048.35144042969</v>
      </c>
      <c r="Q466" s="306">
        <v>1068.9091796875</v>
      </c>
      <c r="R466" s="306">
        <v>1084.9248046875</v>
      </c>
      <c r="S466" s="306">
        <v>1107.98962402344</v>
      </c>
      <c r="T466" s="306">
        <v>1123.73229980469</v>
      </c>
      <c r="U466" s="306">
        <v>1141.11193847656</v>
      </c>
      <c r="V466" s="306">
        <v>1168.07409667969</v>
      </c>
      <c r="W466" s="306">
        <v>1179.03698730469</v>
      </c>
      <c r="X466" s="306">
        <v>1204.30444335938</v>
      </c>
      <c r="Y466" s="306">
        <v>1227.35278320313</v>
      </c>
      <c r="Z466" s="306">
        <v>1239.12719726563</v>
      </c>
    </row>
    <row r="467" spans="1:70" x14ac:dyDescent="0.25">
      <c r="A467" s="306" t="s">
        <v>629</v>
      </c>
      <c r="B467" s="306"/>
      <c r="C467" s="306"/>
      <c r="D467" s="306">
        <v>2.27928571403027E-2</v>
      </c>
      <c r="E467" s="306">
        <v>3.3822253346443197E-2</v>
      </c>
      <c r="F467" s="306">
        <v>4.68330308794975E-2</v>
      </c>
      <c r="G467" s="306">
        <v>4.2311083525419201E-2</v>
      </c>
      <c r="H467" s="306">
        <v>4.6379543840885197E-2</v>
      </c>
      <c r="I467" s="306">
        <v>5.0339180976152399E-2</v>
      </c>
      <c r="J467" s="306">
        <v>6.3796535134315505E-2</v>
      </c>
      <c r="K467" s="306">
        <v>7.1353547275066403E-2</v>
      </c>
      <c r="L467" s="306">
        <v>7.5695373117923695E-2</v>
      </c>
      <c r="M467" s="306">
        <v>8.06071981787682E-2</v>
      </c>
      <c r="N467" s="306">
        <v>8.2480475306510898E-2</v>
      </c>
      <c r="O467" s="306">
        <v>8.9031867682933793E-2</v>
      </c>
      <c r="P467" s="306">
        <v>9.6231654286384596E-2</v>
      </c>
      <c r="Q467" s="306">
        <v>0.10344713926315301</v>
      </c>
      <c r="R467" s="306">
        <v>0.112680315971375</v>
      </c>
      <c r="S467" s="306">
        <v>0.13150542974471999</v>
      </c>
      <c r="T467" s="306">
        <v>0.15408998727798501</v>
      </c>
      <c r="U467" s="306">
        <v>0.18660007417201999</v>
      </c>
      <c r="V467" s="306">
        <v>0.21707823872566201</v>
      </c>
      <c r="W467" s="306">
        <v>0.243339464068413</v>
      </c>
      <c r="X467" s="306">
        <v>0.28575915098190302</v>
      </c>
      <c r="Y467" s="306">
        <v>0.31987324357032798</v>
      </c>
      <c r="Z467" s="306">
        <v>0.34808513522148099</v>
      </c>
    </row>
    <row r="468" spans="1:70" x14ac:dyDescent="0.25">
      <c r="A468" s="306" t="s">
        <v>518</v>
      </c>
      <c r="B468" s="306"/>
      <c r="C468" s="306"/>
      <c r="D468" s="306">
        <v>907.02056884765602</v>
      </c>
      <c r="E468" s="306">
        <v>1040.28796386719</v>
      </c>
      <c r="F468" s="306">
        <v>1127.82458496094</v>
      </c>
      <c r="G468" s="306">
        <v>1134.07458496094</v>
      </c>
      <c r="H468" s="306">
        <v>1105.11694335938</v>
      </c>
      <c r="I468" s="306">
        <v>1075.25317382813</v>
      </c>
      <c r="J468" s="306">
        <v>1055.3310546875</v>
      </c>
      <c r="K468" s="306">
        <v>1029.73522949219</v>
      </c>
      <c r="L468" s="306">
        <v>1021.29925537109</v>
      </c>
      <c r="M468" s="306">
        <v>1020.00769042969</v>
      </c>
      <c r="N468" s="306">
        <v>1017.26348876953</v>
      </c>
      <c r="O468" s="306">
        <v>1027.99975585938</v>
      </c>
      <c r="P468" s="306">
        <v>1048.44763183594</v>
      </c>
      <c r="Q468" s="306">
        <v>1069.01257324219</v>
      </c>
      <c r="R468" s="306">
        <v>1085.03747558594</v>
      </c>
      <c r="S468" s="306">
        <v>1108.12109375</v>
      </c>
      <c r="T468" s="306">
        <v>1123.88635253906</v>
      </c>
      <c r="U468" s="306">
        <v>1141.29858398438</v>
      </c>
      <c r="V468" s="306">
        <v>1168.29113769531</v>
      </c>
      <c r="W468" s="306">
        <v>1179.2802734375</v>
      </c>
      <c r="X468" s="306">
        <v>1204.59020996094</v>
      </c>
      <c r="Y468" s="306">
        <v>1227.67260742188</v>
      </c>
      <c r="Z468" s="306">
        <v>1239.47534179688</v>
      </c>
    </row>
    <row r="469" spans="1:70" x14ac:dyDescent="0.25">
      <c r="A469" s="293" t="s">
        <v>1081</v>
      </c>
      <c r="B469" s="253" t="s">
        <v>593</v>
      </c>
      <c r="C469" s="306"/>
      <c r="D469" s="306"/>
      <c r="E469" s="306"/>
      <c r="F469" s="306"/>
      <c r="G469" s="306"/>
      <c r="H469" s="306"/>
      <c r="I469" s="306"/>
      <c r="J469" s="306"/>
      <c r="K469" s="306"/>
      <c r="L469" s="306"/>
      <c r="M469" s="306"/>
      <c r="N469" s="306"/>
      <c r="O469" s="306"/>
      <c r="P469" s="306"/>
      <c r="Q469" s="306"/>
      <c r="R469" s="306"/>
      <c r="S469" s="306"/>
      <c r="T469" s="306"/>
      <c r="U469" s="306"/>
      <c r="V469" s="306"/>
      <c r="W469" s="306"/>
      <c r="X469" s="306"/>
      <c r="Y469" s="306"/>
      <c r="Z469" s="306"/>
    </row>
    <row r="470" spans="1:70" ht="13" thickBot="1" x14ac:dyDescent="0.3">
      <c r="A470" s="282" t="s">
        <v>311</v>
      </c>
      <c r="B470" s="253" t="s">
        <v>593</v>
      </c>
      <c r="C470" s="306"/>
      <c r="D470" s="306"/>
      <c r="E470" s="306"/>
      <c r="F470" s="306"/>
      <c r="G470" s="306"/>
      <c r="H470" s="306"/>
      <c r="I470" s="306"/>
      <c r="J470" s="306"/>
      <c r="K470" s="306"/>
      <c r="L470" s="306"/>
      <c r="M470" s="306"/>
      <c r="N470" s="306"/>
      <c r="O470" s="306"/>
      <c r="P470" s="306"/>
      <c r="Q470" s="306"/>
      <c r="R470" s="306"/>
      <c r="S470" s="306"/>
      <c r="T470" s="306"/>
      <c r="U470" s="306"/>
      <c r="V470" s="306"/>
      <c r="W470" s="306"/>
      <c r="X470" s="306"/>
      <c r="Y470" s="306"/>
      <c r="Z470" s="306"/>
    </row>
    <row r="471" spans="1:70" ht="13" thickBot="1" x14ac:dyDescent="0.3">
      <c r="A471" s="306" t="s">
        <v>976</v>
      </c>
      <c r="B471" s="306"/>
      <c r="C471" s="306"/>
      <c r="D471" s="306"/>
      <c r="E471" s="306"/>
      <c r="F471" s="306"/>
      <c r="G471" s="306"/>
      <c r="H471" s="306"/>
      <c r="I471" s="306"/>
      <c r="J471" s="306"/>
      <c r="K471" s="306"/>
      <c r="L471" s="306"/>
      <c r="M471" s="306"/>
      <c r="N471" s="306"/>
      <c r="O471" s="306"/>
      <c r="P471" s="306"/>
      <c r="Q471" s="306"/>
      <c r="R471" s="306"/>
      <c r="S471" s="306"/>
      <c r="T471" s="306"/>
      <c r="U471" s="306"/>
      <c r="V471" s="306"/>
      <c r="W471" s="306"/>
      <c r="X471" s="306"/>
      <c r="Y471" s="306"/>
      <c r="Z471" s="306"/>
      <c r="AA471" s="283">
        <f>Z641+($AI$471-$Y$641)/10</f>
        <v>8.1072037368774854</v>
      </c>
      <c r="AB471" s="283">
        <f t="shared" ref="AB471:AH471" si="48">AA471+($AI$471-$Y$641)/10</f>
        <v>8.1552847846985532</v>
      </c>
      <c r="AC471" s="283">
        <f t="shared" si="48"/>
        <v>8.203365832519621</v>
      </c>
      <c r="AD471" s="283">
        <f t="shared" si="48"/>
        <v>8.2514468803406888</v>
      </c>
      <c r="AE471" s="283">
        <f t="shared" si="48"/>
        <v>8.2995279281617567</v>
      </c>
      <c r="AF471" s="283">
        <f t="shared" si="48"/>
        <v>8.3476089759828245</v>
      </c>
      <c r="AG471" s="283">
        <f t="shared" si="48"/>
        <v>8.3956900238038923</v>
      </c>
      <c r="AH471" s="283">
        <f t="shared" si="48"/>
        <v>8.4437710716249601</v>
      </c>
      <c r="AI471" s="284">
        <f>T641*$E$742</f>
        <v>8.4918521194460261</v>
      </c>
      <c r="AJ471" s="283">
        <f>AI471+($AX$471-$AI$471)/15</f>
        <v>8.5879736457897184</v>
      </c>
      <c r="AK471" s="283">
        <f t="shared" ref="AK471:AW471" si="49">AJ471+($AX$471-$AI$471)/15</f>
        <v>8.6840951721334108</v>
      </c>
      <c r="AL471" s="283">
        <f t="shared" si="49"/>
        <v>8.7802166984771031</v>
      </c>
      <c r="AM471" s="283">
        <f t="shared" si="49"/>
        <v>8.8763382248207954</v>
      </c>
      <c r="AN471" s="283">
        <f t="shared" si="49"/>
        <v>8.9724597511644877</v>
      </c>
      <c r="AO471" s="283">
        <f t="shared" si="49"/>
        <v>9.06858127750818</v>
      </c>
      <c r="AP471" s="283">
        <f t="shared" si="49"/>
        <v>9.1647028038518723</v>
      </c>
      <c r="AQ471" s="283">
        <f t="shared" si="49"/>
        <v>9.2608243301955646</v>
      </c>
      <c r="AR471" s="283">
        <f t="shared" si="49"/>
        <v>9.3569458565392569</v>
      </c>
      <c r="AS471" s="283">
        <f t="shared" si="49"/>
        <v>9.4530673828829492</v>
      </c>
      <c r="AT471" s="283">
        <f t="shared" si="49"/>
        <v>9.5491889092266415</v>
      </c>
      <c r="AU471" s="283">
        <f t="shared" si="49"/>
        <v>9.6453104355703339</v>
      </c>
      <c r="AV471" s="283">
        <f t="shared" si="49"/>
        <v>9.7414319619140262</v>
      </c>
      <c r="AW471" s="283">
        <f t="shared" si="49"/>
        <v>9.8375534882577185</v>
      </c>
      <c r="AX471" s="284">
        <f>AI471*$B$742</f>
        <v>9.9336750146014001</v>
      </c>
      <c r="AY471" s="283">
        <f>AX471+($BM$471-$AX$471)/15</f>
        <v>10.032035813725209</v>
      </c>
      <c r="AZ471" s="283">
        <f t="shared" ref="AZ471:BL471" si="50">AY471+($BM$471-$AX$471)/15</f>
        <v>10.130396612849017</v>
      </c>
      <c r="BA471" s="283">
        <f t="shared" si="50"/>
        <v>10.228757411972826</v>
      </c>
      <c r="BB471" s="283">
        <f t="shared" si="50"/>
        <v>10.327118211096634</v>
      </c>
      <c r="BC471" s="283">
        <f t="shared" si="50"/>
        <v>10.425479010220442</v>
      </c>
      <c r="BD471" s="283">
        <f t="shared" si="50"/>
        <v>10.523839809344251</v>
      </c>
      <c r="BE471" s="283">
        <f t="shared" si="50"/>
        <v>10.622200608468059</v>
      </c>
      <c r="BF471" s="283">
        <f t="shared" si="50"/>
        <v>10.720561407591868</v>
      </c>
      <c r="BG471" s="283">
        <f t="shared" si="50"/>
        <v>10.818922206715676</v>
      </c>
      <c r="BH471" s="283">
        <f t="shared" si="50"/>
        <v>10.917283005839485</v>
      </c>
      <c r="BI471" s="283">
        <f t="shared" si="50"/>
        <v>11.015643804963293</v>
      </c>
      <c r="BJ471" s="283">
        <f t="shared" si="50"/>
        <v>11.114004604087102</v>
      </c>
      <c r="BK471" s="283">
        <f t="shared" si="50"/>
        <v>11.21236540321091</v>
      </c>
      <c r="BL471" s="283">
        <f t="shared" si="50"/>
        <v>11.310726202334719</v>
      </c>
      <c r="BM471" s="284">
        <f>AX471*$C$742</f>
        <v>11.409087001458516</v>
      </c>
      <c r="BN471" s="283">
        <f>BM471+($BR$471-$BM$471)/5</f>
        <v>11.522056966057418</v>
      </c>
      <c r="BO471" s="283">
        <f>BN471+($BR$471-$BM$471)/5</f>
        <v>11.63502693065632</v>
      </c>
      <c r="BP471" s="283">
        <f>BO471+($BR$471-$BM$471)/5</f>
        <v>11.747996895255222</v>
      </c>
      <c r="BQ471" s="283">
        <f>BP471+($BR$471-$BM$471)/5</f>
        <v>11.860966859854123</v>
      </c>
      <c r="BR471" s="284">
        <f>BM471*$D$742</f>
        <v>11.973936824453022</v>
      </c>
    </row>
    <row r="472" spans="1:70" ht="13" thickBot="1" x14ac:dyDescent="0.3">
      <c r="A472" s="306" t="s">
        <v>630</v>
      </c>
      <c r="B472" s="306"/>
      <c r="C472" s="306"/>
      <c r="D472" s="306"/>
      <c r="E472" s="306"/>
      <c r="F472" s="306"/>
      <c r="G472" s="306"/>
      <c r="H472" s="306"/>
      <c r="I472" s="306"/>
      <c r="J472" s="306"/>
      <c r="K472" s="306"/>
      <c r="L472" s="306"/>
      <c r="M472" s="306"/>
      <c r="N472" s="306"/>
      <c r="O472" s="306"/>
      <c r="P472" s="306"/>
      <c r="Q472" s="306"/>
      <c r="R472" s="306"/>
      <c r="S472" s="306"/>
      <c r="T472" s="306"/>
      <c r="U472" s="306"/>
      <c r="V472" s="306"/>
      <c r="W472" s="306"/>
      <c r="X472" s="306"/>
      <c r="Y472" s="306"/>
      <c r="Z472" s="306"/>
      <c r="AA472" s="285">
        <f>Z642+($AI$472-$Y$642)/10</f>
        <v>22.490795032640289</v>
      </c>
      <c r="AB472" s="285">
        <f t="shared" ref="AB472:AH472" si="51">AA472+($AI$472-$Y$642)/10</f>
        <v>22.394891584604984</v>
      </c>
      <c r="AC472" s="285">
        <f t="shared" si="51"/>
        <v>22.29898813656968</v>
      </c>
      <c r="AD472" s="285">
        <f t="shared" si="51"/>
        <v>22.203084688534375</v>
      </c>
      <c r="AE472" s="285">
        <f t="shared" si="51"/>
        <v>22.10718124049907</v>
      </c>
      <c r="AF472" s="285">
        <f t="shared" si="51"/>
        <v>22.011277792463765</v>
      </c>
      <c r="AG472" s="285">
        <f t="shared" si="51"/>
        <v>21.915374344428461</v>
      </c>
      <c r="AH472" s="285">
        <f t="shared" si="51"/>
        <v>21.819470896393156</v>
      </c>
      <c r="AI472" s="286">
        <f>T642*$E$745</f>
        <v>21.723567448357841</v>
      </c>
      <c r="AJ472" s="285">
        <f>AI472+($AX$472-$AI$472)/15</f>
        <v>21.715027463671497</v>
      </c>
      <c r="AK472" s="285">
        <f t="shared" ref="AK472:AW472" si="52">AJ472+($AX$472-$AI$472)/15</f>
        <v>21.706487478985153</v>
      </c>
      <c r="AL472" s="285">
        <f t="shared" si="52"/>
        <v>21.697947494298809</v>
      </c>
      <c r="AM472" s="285">
        <f t="shared" si="52"/>
        <v>21.689407509612465</v>
      </c>
      <c r="AN472" s="285">
        <f t="shared" si="52"/>
        <v>21.680867524926121</v>
      </c>
      <c r="AO472" s="285">
        <f t="shared" si="52"/>
        <v>21.672327540239777</v>
      </c>
      <c r="AP472" s="285">
        <f t="shared" si="52"/>
        <v>21.663787555553434</v>
      </c>
      <c r="AQ472" s="285">
        <f t="shared" si="52"/>
        <v>21.65524757086709</v>
      </c>
      <c r="AR472" s="285">
        <f t="shared" si="52"/>
        <v>21.646707586180746</v>
      </c>
      <c r="AS472" s="285">
        <f t="shared" si="52"/>
        <v>21.638167601494402</v>
      </c>
      <c r="AT472" s="285">
        <f t="shared" si="52"/>
        <v>21.629627616808058</v>
      </c>
      <c r="AU472" s="285">
        <f t="shared" si="52"/>
        <v>21.621087632121714</v>
      </c>
      <c r="AV472" s="285">
        <f t="shared" si="52"/>
        <v>21.61254764743537</v>
      </c>
      <c r="AW472" s="285">
        <f t="shared" si="52"/>
        <v>21.604007662749027</v>
      </c>
      <c r="AX472" s="286">
        <f>AI472*$B$745</f>
        <v>21.595467678062693</v>
      </c>
      <c r="AY472" s="285">
        <f>AX472+($BM$472-$AX$472)/15</f>
        <v>21.609186144316791</v>
      </c>
      <c r="AZ472" s="285">
        <f t="shared" ref="AZ472:BL472" si="53">AY472+($BM$472-$AX$472)/15</f>
        <v>21.622904610570888</v>
      </c>
      <c r="BA472" s="285">
        <f t="shared" si="53"/>
        <v>21.636623076824986</v>
      </c>
      <c r="BB472" s="285">
        <f t="shared" si="53"/>
        <v>21.650341543079083</v>
      </c>
      <c r="BC472" s="285">
        <f t="shared" si="53"/>
        <v>21.664060009333181</v>
      </c>
      <c r="BD472" s="285">
        <f t="shared" si="53"/>
        <v>21.677778475587278</v>
      </c>
      <c r="BE472" s="285">
        <f t="shared" si="53"/>
        <v>21.691496941841375</v>
      </c>
      <c r="BF472" s="285">
        <f t="shared" si="53"/>
        <v>21.705215408095473</v>
      </c>
      <c r="BG472" s="285">
        <f t="shared" si="53"/>
        <v>21.71893387434957</v>
      </c>
      <c r="BH472" s="285">
        <f t="shared" si="53"/>
        <v>21.732652340603668</v>
      </c>
      <c r="BI472" s="285">
        <f t="shared" si="53"/>
        <v>21.746370806857765</v>
      </c>
      <c r="BJ472" s="285">
        <f t="shared" si="53"/>
        <v>21.760089273111863</v>
      </c>
      <c r="BK472" s="285">
        <f t="shared" si="53"/>
        <v>21.77380773936596</v>
      </c>
      <c r="BL472" s="285">
        <f t="shared" si="53"/>
        <v>21.787526205620058</v>
      </c>
      <c r="BM472" s="286">
        <f>AX472*$C$745</f>
        <v>21.801244671874137</v>
      </c>
      <c r="BN472" s="285">
        <f>BM472+($BR$472-$BM$472)/5</f>
        <v>21.815093857443394</v>
      </c>
      <c r="BO472" s="285">
        <f>BN472+($BR$472-$BM$472)/5</f>
        <v>21.82894304301265</v>
      </c>
      <c r="BP472" s="285">
        <f>BO472+($BR$472-$BM$472)/5</f>
        <v>21.842792228581906</v>
      </c>
      <c r="BQ472" s="285">
        <f>BP472+($BR$472-$BM$472)/5</f>
        <v>21.856641414151163</v>
      </c>
      <c r="BR472" s="286">
        <f>BM472*$D$745</f>
        <v>21.870490599720426</v>
      </c>
    </row>
    <row r="473" spans="1:70" x14ac:dyDescent="0.25">
      <c r="A473" s="306" t="s">
        <v>631</v>
      </c>
      <c r="B473" s="306"/>
      <c r="C473" s="306"/>
      <c r="D473" s="306"/>
      <c r="E473" s="306"/>
      <c r="F473" s="306"/>
      <c r="G473" s="306"/>
      <c r="H473" s="306"/>
      <c r="I473" s="306"/>
      <c r="J473" s="306"/>
      <c r="K473" s="306"/>
      <c r="L473" s="306"/>
      <c r="M473" s="306"/>
      <c r="N473" s="306"/>
      <c r="O473" s="306"/>
      <c r="P473" s="306"/>
      <c r="Q473" s="306"/>
      <c r="R473" s="306"/>
      <c r="S473" s="306"/>
      <c r="T473" s="306"/>
      <c r="U473" s="306"/>
      <c r="V473" s="306"/>
      <c r="W473" s="306"/>
      <c r="X473" s="306"/>
      <c r="Y473" s="306"/>
      <c r="Z473" s="306"/>
    </row>
    <row r="474" spans="1:70" x14ac:dyDescent="0.25">
      <c r="A474" s="306" t="s">
        <v>632</v>
      </c>
      <c r="B474" s="306"/>
      <c r="C474" s="306"/>
      <c r="D474" s="306"/>
      <c r="E474" s="306"/>
      <c r="F474" s="306"/>
      <c r="G474" s="306"/>
      <c r="H474" s="306"/>
      <c r="I474" s="306"/>
      <c r="J474" s="306"/>
      <c r="K474" s="306"/>
      <c r="L474" s="306"/>
      <c r="M474" s="306"/>
      <c r="N474" s="306"/>
      <c r="O474" s="306"/>
      <c r="P474" s="306"/>
      <c r="Q474" s="306"/>
      <c r="R474" s="306"/>
      <c r="S474" s="306"/>
      <c r="T474" s="306"/>
      <c r="U474" s="306"/>
      <c r="V474" s="306"/>
      <c r="W474" s="306"/>
      <c r="X474" s="306"/>
      <c r="Y474" s="306"/>
      <c r="Z474" s="306"/>
    </row>
    <row r="475" spans="1:70" x14ac:dyDescent="0.25">
      <c r="A475" s="306" t="s">
        <v>648</v>
      </c>
      <c r="B475" s="306"/>
      <c r="C475" s="306"/>
      <c r="D475" s="306"/>
      <c r="E475" s="306"/>
      <c r="F475" s="306"/>
      <c r="G475" s="306"/>
      <c r="H475" s="306"/>
      <c r="I475" s="306"/>
      <c r="J475" s="306"/>
      <c r="K475" s="306"/>
      <c r="L475" s="306"/>
      <c r="M475" s="306"/>
      <c r="N475" s="306"/>
      <c r="O475" s="306"/>
      <c r="P475" s="306"/>
      <c r="Q475" s="306"/>
      <c r="R475" s="306"/>
      <c r="S475" s="306"/>
      <c r="T475" s="306"/>
      <c r="U475" s="306"/>
      <c r="V475" s="306"/>
      <c r="W475" s="306"/>
      <c r="X475" s="306"/>
      <c r="Y475" s="306"/>
      <c r="Z475" s="306"/>
    </row>
    <row r="476" spans="1:70" x14ac:dyDescent="0.25">
      <c r="A476" s="306" t="s">
        <v>542</v>
      </c>
      <c r="B476" s="306"/>
      <c r="C476" s="306"/>
      <c r="D476" s="306"/>
      <c r="E476" s="306"/>
      <c r="F476" s="306"/>
      <c r="G476" s="306"/>
      <c r="H476" s="306"/>
      <c r="I476" s="306"/>
      <c r="J476" s="306"/>
      <c r="K476" s="306"/>
      <c r="L476" s="306"/>
      <c r="M476" s="306"/>
      <c r="N476" s="306"/>
      <c r="O476" s="306"/>
      <c r="P476" s="306"/>
      <c r="Q476" s="306"/>
      <c r="R476" s="306"/>
      <c r="S476" s="306"/>
      <c r="T476" s="306"/>
      <c r="U476" s="306"/>
      <c r="V476" s="306"/>
      <c r="W476" s="306"/>
      <c r="X476" s="306"/>
      <c r="Y476" s="306"/>
      <c r="Z476" s="306"/>
    </row>
    <row r="477" spans="1:70" ht="52.5" customHeight="1" x14ac:dyDescent="0.25">
      <c r="A477" s="306" t="s">
        <v>649</v>
      </c>
      <c r="B477" s="306"/>
      <c r="C477" s="306"/>
      <c r="D477" s="306"/>
      <c r="E477" s="306"/>
      <c r="F477" s="306"/>
      <c r="G477" s="306"/>
      <c r="H477" s="306"/>
      <c r="I477" s="306"/>
      <c r="J477" s="306"/>
      <c r="K477" s="306"/>
      <c r="L477" s="306"/>
      <c r="M477" s="306"/>
      <c r="N477" s="306"/>
      <c r="O477" s="306"/>
      <c r="P477" s="306"/>
      <c r="Q477" s="306"/>
      <c r="R477" s="306"/>
      <c r="S477" s="306"/>
      <c r="T477" s="306"/>
      <c r="U477" s="306"/>
      <c r="V477" s="306"/>
      <c r="W477" s="306"/>
      <c r="X477" s="306"/>
      <c r="Y477" s="306"/>
      <c r="Z477" s="306"/>
    </row>
    <row r="478" spans="1:70" x14ac:dyDescent="0.25">
      <c r="A478" s="306" t="s">
        <v>650</v>
      </c>
      <c r="B478" s="306"/>
      <c r="C478" s="306"/>
      <c r="D478" s="306"/>
      <c r="E478" s="306"/>
      <c r="F478" s="306"/>
      <c r="G478" s="306"/>
      <c r="H478" s="306"/>
      <c r="I478" s="306"/>
      <c r="J478" s="306"/>
      <c r="K478" s="306"/>
      <c r="L478" s="306"/>
      <c r="M478" s="306"/>
      <c r="N478" s="306"/>
      <c r="O478" s="306"/>
      <c r="P478" s="306"/>
      <c r="Q478" s="306"/>
      <c r="R478" s="306"/>
      <c r="S478" s="306"/>
      <c r="T478" s="306"/>
      <c r="U478" s="306"/>
      <c r="V478" s="306"/>
      <c r="W478" s="306"/>
      <c r="X478" s="306"/>
      <c r="Y478" s="306"/>
      <c r="Z478" s="306"/>
    </row>
    <row r="479" spans="1:70" ht="13" thickBot="1" x14ac:dyDescent="0.3">
      <c r="A479" s="306" t="s">
        <v>651</v>
      </c>
      <c r="B479" s="306"/>
      <c r="C479" s="306"/>
      <c r="D479" s="306"/>
      <c r="E479" s="306"/>
      <c r="F479" s="306"/>
      <c r="G479" s="306"/>
      <c r="H479" s="306"/>
      <c r="I479" s="306"/>
      <c r="J479" s="306"/>
      <c r="K479" s="306"/>
      <c r="L479" s="306"/>
      <c r="M479" s="306"/>
      <c r="N479" s="306"/>
      <c r="O479" s="306"/>
      <c r="P479" s="306"/>
      <c r="Q479" s="306"/>
      <c r="R479" s="306"/>
      <c r="S479" s="306"/>
      <c r="T479" s="306"/>
      <c r="U479" s="306"/>
      <c r="V479" s="306"/>
      <c r="W479" s="306"/>
      <c r="X479" s="306"/>
      <c r="Y479" s="306"/>
      <c r="Z479" s="306"/>
    </row>
    <row r="480" spans="1:70" ht="13" thickBot="1" x14ac:dyDescent="0.3">
      <c r="A480" s="306" t="s">
        <v>652</v>
      </c>
      <c r="B480" s="306"/>
      <c r="C480" s="306"/>
      <c r="D480" s="306"/>
      <c r="E480" s="306"/>
      <c r="F480" s="306"/>
      <c r="G480" s="306"/>
      <c r="H480" s="306"/>
      <c r="I480" s="306"/>
      <c r="J480" s="306"/>
      <c r="K480" s="306"/>
      <c r="L480" s="306"/>
      <c r="M480" s="306"/>
      <c r="N480" s="306"/>
      <c r="O480" s="306"/>
      <c r="P480" s="306"/>
      <c r="Q480" s="306"/>
      <c r="R480" s="306"/>
      <c r="S480" s="306"/>
      <c r="T480" s="306"/>
      <c r="U480" s="306"/>
      <c r="V480" s="306"/>
      <c r="W480" s="306"/>
      <c r="X480" s="306"/>
      <c r="Y480" s="306"/>
      <c r="Z480" s="306"/>
      <c r="AA480" s="283">
        <f>Z650+($AI$480-$Y$650)/10</f>
        <v>5.5873463921161282</v>
      </c>
      <c r="AB480" s="283">
        <f t="shared" ref="AB480:AH480" si="54">AA480+($AI$480-$Y$650)/10</f>
        <v>5.6146233040707969</v>
      </c>
      <c r="AC480" s="283">
        <f t="shared" si="54"/>
        <v>5.6419002160254657</v>
      </c>
      <c r="AD480" s="283">
        <f t="shared" si="54"/>
        <v>5.6691771279801344</v>
      </c>
      <c r="AE480" s="283">
        <f t="shared" si="54"/>
        <v>5.6964540399348031</v>
      </c>
      <c r="AF480" s="283">
        <f t="shared" si="54"/>
        <v>5.7237309518894719</v>
      </c>
      <c r="AG480" s="283">
        <f t="shared" si="54"/>
        <v>5.7510078638441406</v>
      </c>
      <c r="AH480" s="283">
        <f t="shared" si="54"/>
        <v>5.7782847757988094</v>
      </c>
      <c r="AI480" s="284">
        <f>T650*$E$742</f>
        <v>5.8055616877534817</v>
      </c>
      <c r="AJ480" s="283">
        <f>AI480+($AX$480-$AI$480)/15</f>
        <v>5.8712763802445851</v>
      </c>
      <c r="AK480" s="283">
        <f t="shared" ref="AK480:AW480" si="55">AJ480+($AX$480-$AI$480)/15</f>
        <v>5.9369910727356885</v>
      </c>
      <c r="AL480" s="283">
        <f t="shared" si="55"/>
        <v>6.0027057652267919</v>
      </c>
      <c r="AM480" s="283">
        <f t="shared" si="55"/>
        <v>6.0684204577178953</v>
      </c>
      <c r="AN480" s="283">
        <f t="shared" si="55"/>
        <v>6.1341351502089987</v>
      </c>
      <c r="AO480" s="283">
        <f t="shared" si="55"/>
        <v>6.1998498427001021</v>
      </c>
      <c r="AP480" s="283">
        <f t="shared" si="55"/>
        <v>6.2655645351912055</v>
      </c>
      <c r="AQ480" s="283">
        <f t="shared" si="55"/>
        <v>6.3312792276823089</v>
      </c>
      <c r="AR480" s="283">
        <f t="shared" si="55"/>
        <v>6.3969939201734123</v>
      </c>
      <c r="AS480" s="283">
        <f t="shared" si="55"/>
        <v>6.4627086126645157</v>
      </c>
      <c r="AT480" s="283">
        <f t="shared" si="55"/>
        <v>6.5284233051556191</v>
      </c>
      <c r="AU480" s="283">
        <f t="shared" si="55"/>
        <v>6.5941379976467225</v>
      </c>
      <c r="AV480" s="283">
        <f t="shared" si="55"/>
        <v>6.6598526901378259</v>
      </c>
      <c r="AW480" s="283">
        <f t="shared" si="55"/>
        <v>6.7255673826289293</v>
      </c>
      <c r="AX480" s="284">
        <f>AI480*$B$742</f>
        <v>6.791282075120038</v>
      </c>
      <c r="AY480" s="283">
        <f>AX480+($BM$480-$AX$480)/15</f>
        <v>6.858527674659193</v>
      </c>
      <c r="AZ480" s="283">
        <f t="shared" ref="AZ480:BL480" si="56">AY480+($BM$480-$AX$480)/15</f>
        <v>6.925773274198348</v>
      </c>
      <c r="BA480" s="283">
        <f t="shared" si="56"/>
        <v>6.993018873737503</v>
      </c>
      <c r="BB480" s="283">
        <f t="shared" si="56"/>
        <v>7.060264473276658</v>
      </c>
      <c r="BC480" s="283">
        <f t="shared" si="56"/>
        <v>7.1275100728158129</v>
      </c>
      <c r="BD480" s="283">
        <f t="shared" si="56"/>
        <v>7.1947556723549679</v>
      </c>
      <c r="BE480" s="283">
        <f t="shared" si="56"/>
        <v>7.2620012718941229</v>
      </c>
      <c r="BF480" s="283">
        <f t="shared" si="56"/>
        <v>7.3292468714332779</v>
      </c>
      <c r="BG480" s="283">
        <f t="shared" si="56"/>
        <v>7.3964924709724329</v>
      </c>
      <c r="BH480" s="283">
        <f t="shared" si="56"/>
        <v>7.4637380705115879</v>
      </c>
      <c r="BI480" s="283">
        <f t="shared" si="56"/>
        <v>7.5309836700507429</v>
      </c>
      <c r="BJ480" s="283">
        <f t="shared" si="56"/>
        <v>7.5982292695898979</v>
      </c>
      <c r="BK480" s="283">
        <f t="shared" si="56"/>
        <v>7.6654748691290528</v>
      </c>
      <c r="BL480" s="283">
        <f t="shared" si="56"/>
        <v>7.7327204686682078</v>
      </c>
      <c r="BM480" s="284">
        <f>AX480*$C$742</f>
        <v>7.7999660682073682</v>
      </c>
      <c r="BN480" s="283">
        <f>BM480+($BR$480-$BM$480)/5</f>
        <v>7.8771994077800587</v>
      </c>
      <c r="BO480" s="283">
        <f>BN480+($BR$480-$BM$480)/5</f>
        <v>7.9544327473527492</v>
      </c>
      <c r="BP480" s="283">
        <f>BO480+($BR$480-$BM$480)/5</f>
        <v>8.0316660869254388</v>
      </c>
      <c r="BQ480" s="283">
        <f>BP480+($BR$480-$BM$480)/5</f>
        <v>8.1088994264981284</v>
      </c>
      <c r="BR480" s="284">
        <f>BM480*$D$742</f>
        <v>8.1861327660708199</v>
      </c>
    </row>
    <row r="481" spans="1:70" x14ac:dyDescent="0.25">
      <c r="A481" s="306" t="s">
        <v>653</v>
      </c>
      <c r="B481" s="306"/>
      <c r="C481" s="306"/>
      <c r="D481" s="306"/>
      <c r="E481" s="306"/>
      <c r="F481" s="306"/>
      <c r="G481" s="306"/>
      <c r="H481" s="306"/>
      <c r="I481" s="306"/>
      <c r="J481" s="306"/>
      <c r="K481" s="306"/>
      <c r="L481" s="306"/>
      <c r="M481" s="306"/>
      <c r="N481" s="306"/>
      <c r="O481" s="306"/>
      <c r="P481" s="306"/>
      <c r="Q481" s="306"/>
      <c r="R481" s="306"/>
      <c r="S481" s="306"/>
      <c r="T481" s="306"/>
      <c r="U481" s="306"/>
      <c r="V481" s="306"/>
      <c r="W481" s="306"/>
      <c r="X481" s="306"/>
      <c r="Y481" s="306"/>
      <c r="Z481" s="306"/>
    </row>
    <row r="482" spans="1:70" ht="13" thickBot="1" x14ac:dyDescent="0.3">
      <c r="A482" s="306" t="s">
        <v>654</v>
      </c>
      <c r="B482" s="306"/>
      <c r="C482" s="306"/>
      <c r="D482" s="306"/>
      <c r="E482" s="306"/>
      <c r="F482" s="306"/>
      <c r="G482" s="306"/>
      <c r="H482" s="306"/>
      <c r="I482" s="306"/>
      <c r="J482" s="306"/>
      <c r="K482" s="306"/>
      <c r="L482" s="306"/>
      <c r="M482" s="306"/>
      <c r="N482" s="306"/>
      <c r="O482" s="306"/>
      <c r="P482" s="306"/>
      <c r="Q482" s="306"/>
      <c r="R482" s="306"/>
      <c r="S482" s="306"/>
      <c r="T482" s="306"/>
      <c r="U482" s="306"/>
      <c r="V482" s="306"/>
      <c r="W482" s="306"/>
      <c r="X482" s="306"/>
      <c r="Y482" s="306"/>
      <c r="Z482" s="306"/>
    </row>
    <row r="483" spans="1:70" ht="13" thickBot="1" x14ac:dyDescent="0.3">
      <c r="A483" s="306" t="s">
        <v>545</v>
      </c>
      <c r="B483" s="306"/>
      <c r="C483" s="306"/>
      <c r="D483" s="306"/>
      <c r="E483" s="306"/>
      <c r="F483" s="306"/>
      <c r="G483" s="306"/>
      <c r="H483" s="306"/>
      <c r="I483" s="306"/>
      <c r="J483" s="306"/>
      <c r="K483" s="306"/>
      <c r="L483" s="306"/>
      <c r="M483" s="306"/>
      <c r="N483" s="306"/>
      <c r="O483" s="306"/>
      <c r="P483" s="306"/>
      <c r="Q483" s="306"/>
      <c r="R483" s="306"/>
      <c r="S483" s="306"/>
      <c r="T483" s="306"/>
      <c r="U483" s="306"/>
      <c r="V483" s="306"/>
      <c r="W483" s="306"/>
      <c r="X483" s="306"/>
      <c r="Y483" s="306"/>
      <c r="Z483" s="306"/>
      <c r="AA483" s="285">
        <f>Z653+($AI$483-$Y$653)/10</f>
        <v>15.747041087587585</v>
      </c>
      <c r="AB483" s="285">
        <f t="shared" ref="AB483:AH483" si="57">AA483+($AI$483-$Y$653)/10</f>
        <v>15.673905881106727</v>
      </c>
      <c r="AC483" s="285">
        <f t="shared" si="57"/>
        <v>15.600770674625869</v>
      </c>
      <c r="AD483" s="285">
        <f t="shared" si="57"/>
        <v>15.527635468145011</v>
      </c>
      <c r="AE483" s="285">
        <f t="shared" si="57"/>
        <v>15.454500261664153</v>
      </c>
      <c r="AF483" s="285">
        <f t="shared" si="57"/>
        <v>15.381365055183295</v>
      </c>
      <c r="AG483" s="285">
        <f t="shared" si="57"/>
        <v>15.308229848702437</v>
      </c>
      <c r="AH483" s="285">
        <f t="shared" si="57"/>
        <v>15.235094642221579</v>
      </c>
      <c r="AI483" s="286">
        <f>T653*$E$745</f>
        <v>15.161959435740725</v>
      </c>
      <c r="AJ483" s="285">
        <f>AI483+($AX$483-$AI$483)/15</f>
        <v>15.155998955184113</v>
      </c>
      <c r="AK483" s="285">
        <f t="shared" ref="AK483:AW483" si="58">AJ483+($AX$483-$AI$483)/15</f>
        <v>15.150038474627502</v>
      </c>
      <c r="AL483" s="285">
        <f t="shared" si="58"/>
        <v>15.144077994070891</v>
      </c>
      <c r="AM483" s="285">
        <f t="shared" si="58"/>
        <v>15.138117513514279</v>
      </c>
      <c r="AN483" s="285">
        <f t="shared" si="58"/>
        <v>15.132157032957668</v>
      </c>
      <c r="AO483" s="285">
        <f t="shared" si="58"/>
        <v>15.126196552401057</v>
      </c>
      <c r="AP483" s="285">
        <f t="shared" si="58"/>
        <v>15.120236071844445</v>
      </c>
      <c r="AQ483" s="285">
        <f t="shared" si="58"/>
        <v>15.114275591287834</v>
      </c>
      <c r="AR483" s="285">
        <f t="shared" si="58"/>
        <v>15.108315110731223</v>
      </c>
      <c r="AS483" s="285">
        <f t="shared" si="58"/>
        <v>15.102354630174611</v>
      </c>
      <c r="AT483" s="285">
        <f t="shared" si="58"/>
        <v>15.096394149618</v>
      </c>
      <c r="AU483" s="285">
        <f t="shared" si="58"/>
        <v>15.090433669061388</v>
      </c>
      <c r="AV483" s="285">
        <f t="shared" si="58"/>
        <v>15.084473188504777</v>
      </c>
      <c r="AW483" s="285">
        <f t="shared" si="58"/>
        <v>15.078512707948166</v>
      </c>
      <c r="AX483" s="286">
        <f>AI483*$B$745</f>
        <v>15.072552227391549</v>
      </c>
      <c r="AY483" s="285">
        <f>AX483+($BM$483-$AX$483)/15</f>
        <v>15.082127028094042</v>
      </c>
      <c r="AZ483" s="285">
        <f t="shared" ref="AZ483:BL483" si="59">AY483+($BM$483-$AX$483)/15</f>
        <v>15.091701828796536</v>
      </c>
      <c r="BA483" s="285">
        <f t="shared" si="59"/>
        <v>15.101276629499029</v>
      </c>
      <c r="BB483" s="285">
        <f t="shared" si="59"/>
        <v>15.110851430201523</v>
      </c>
      <c r="BC483" s="285">
        <f t="shared" si="59"/>
        <v>15.120426230904016</v>
      </c>
      <c r="BD483" s="285">
        <f t="shared" si="59"/>
        <v>15.130001031606509</v>
      </c>
      <c r="BE483" s="285">
        <f t="shared" si="59"/>
        <v>15.139575832309003</v>
      </c>
      <c r="BF483" s="285">
        <f t="shared" si="59"/>
        <v>15.149150633011496</v>
      </c>
      <c r="BG483" s="285">
        <f t="shared" si="59"/>
        <v>15.15872543371399</v>
      </c>
      <c r="BH483" s="285">
        <f t="shared" si="59"/>
        <v>15.168300234416483</v>
      </c>
      <c r="BI483" s="285">
        <f t="shared" si="59"/>
        <v>15.177875035118976</v>
      </c>
      <c r="BJ483" s="285">
        <f t="shared" si="59"/>
        <v>15.18744983582147</v>
      </c>
      <c r="BK483" s="285">
        <f t="shared" si="59"/>
        <v>15.197024636523963</v>
      </c>
      <c r="BL483" s="285">
        <f t="shared" si="59"/>
        <v>15.206599437226457</v>
      </c>
      <c r="BM483" s="286">
        <f>AX483*$C$745</f>
        <v>15.216174237928941</v>
      </c>
      <c r="BN483" s="285">
        <f>BM483+($BR$483-$BM$483)/5</f>
        <v>15.225840274150585</v>
      </c>
      <c r="BO483" s="285">
        <f>BN483+($BR$483-$BM$483)/5</f>
        <v>15.235506310372228</v>
      </c>
      <c r="BP483" s="285">
        <f>BO483+($BR$483-$BM$483)/5</f>
        <v>15.245172346593872</v>
      </c>
      <c r="BQ483" s="285">
        <f>BP483+($BR$483-$BM$483)/5</f>
        <v>15.254838382815516</v>
      </c>
      <c r="BR483" s="286">
        <f>BM483*$D$745</f>
        <v>15.264504419037157</v>
      </c>
    </row>
    <row r="484" spans="1:70" x14ac:dyDescent="0.25">
      <c r="A484" s="306" t="s">
        <v>655</v>
      </c>
      <c r="B484" s="306"/>
      <c r="C484" s="306"/>
      <c r="D484" s="306"/>
      <c r="E484" s="306"/>
      <c r="F484" s="306"/>
      <c r="G484" s="306"/>
      <c r="H484" s="306"/>
      <c r="I484" s="306"/>
      <c r="J484" s="306"/>
      <c r="K484" s="306"/>
      <c r="L484" s="306"/>
      <c r="M484" s="306"/>
      <c r="N484" s="306"/>
      <c r="O484" s="306"/>
      <c r="P484" s="306"/>
      <c r="Q484" s="306"/>
      <c r="R484" s="306"/>
      <c r="S484" s="306"/>
      <c r="T484" s="306"/>
      <c r="U484" s="306"/>
      <c r="V484" s="306"/>
      <c r="W484" s="306"/>
      <c r="X484" s="306"/>
      <c r="Y484" s="306"/>
      <c r="Z484" s="306"/>
    </row>
    <row r="485" spans="1:70" x14ac:dyDescent="0.25">
      <c r="A485" s="306" t="s">
        <v>656</v>
      </c>
      <c r="B485" s="306"/>
      <c r="C485" s="306"/>
      <c r="D485" s="306"/>
      <c r="E485" s="306"/>
      <c r="F485" s="306"/>
      <c r="G485" s="306"/>
      <c r="H485" s="306"/>
      <c r="I485" s="306"/>
      <c r="J485" s="306"/>
      <c r="K485" s="306"/>
      <c r="L485" s="306"/>
      <c r="M485" s="306"/>
      <c r="N485" s="306"/>
      <c r="O485" s="306"/>
      <c r="P485" s="306"/>
      <c r="Q485" s="306"/>
      <c r="R485" s="306"/>
      <c r="S485" s="306"/>
      <c r="T485" s="306"/>
      <c r="U485" s="306"/>
      <c r="V485" s="306"/>
      <c r="W485" s="306"/>
      <c r="X485" s="306"/>
      <c r="Y485" s="306"/>
      <c r="Z485" s="306"/>
    </row>
    <row r="486" spans="1:70" x14ac:dyDescent="0.25">
      <c r="A486" s="306" t="s">
        <v>657</v>
      </c>
      <c r="B486" s="306"/>
      <c r="C486" s="306"/>
      <c r="D486" s="306"/>
      <c r="E486" s="306"/>
      <c r="F486" s="306"/>
      <c r="G486" s="306"/>
      <c r="H486" s="306"/>
      <c r="I486" s="306"/>
      <c r="J486" s="306"/>
      <c r="K486" s="306"/>
      <c r="L486" s="306"/>
      <c r="M486" s="306"/>
      <c r="N486" s="306"/>
      <c r="O486" s="306"/>
      <c r="P486" s="306"/>
      <c r="Q486" s="306"/>
      <c r="R486" s="306"/>
      <c r="S486" s="306"/>
      <c r="T486" s="306"/>
      <c r="U486" s="306"/>
      <c r="V486" s="306"/>
      <c r="W486" s="306"/>
      <c r="X486" s="306"/>
      <c r="Y486" s="306"/>
      <c r="Z486" s="306"/>
    </row>
    <row r="487" spans="1:70" ht="13" thickBot="1" x14ac:dyDescent="0.3">
      <c r="A487" s="306" t="s">
        <v>658</v>
      </c>
      <c r="B487" s="306"/>
      <c r="C487" s="306"/>
      <c r="D487" s="306"/>
      <c r="E487" s="306"/>
      <c r="F487" s="306"/>
      <c r="G487" s="306"/>
      <c r="H487" s="306"/>
      <c r="I487" s="306"/>
      <c r="J487" s="306"/>
      <c r="K487" s="306"/>
      <c r="L487" s="306"/>
      <c r="M487" s="306"/>
      <c r="N487" s="306"/>
      <c r="O487" s="306"/>
      <c r="P487" s="306"/>
      <c r="Q487" s="306"/>
      <c r="R487" s="306"/>
      <c r="S487" s="306"/>
      <c r="T487" s="306"/>
      <c r="U487" s="306"/>
      <c r="V487" s="306"/>
      <c r="W487" s="306"/>
      <c r="X487" s="306"/>
      <c r="Y487" s="306"/>
      <c r="Z487" s="306"/>
    </row>
    <row r="488" spans="1:70" ht="13" thickBot="1" x14ac:dyDescent="0.3">
      <c r="A488" s="306" t="s">
        <v>659</v>
      </c>
      <c r="B488" s="306"/>
      <c r="C488" s="306"/>
      <c r="D488" s="306"/>
      <c r="E488" s="306"/>
      <c r="F488" s="306"/>
      <c r="G488" s="306"/>
      <c r="H488" s="306"/>
      <c r="I488" s="306"/>
      <c r="J488" s="306"/>
      <c r="K488" s="306"/>
      <c r="L488" s="306"/>
      <c r="M488" s="306"/>
      <c r="N488" s="306"/>
      <c r="O488" s="306"/>
      <c r="P488" s="306"/>
      <c r="Q488" s="306"/>
      <c r="R488" s="306"/>
      <c r="S488" s="306"/>
      <c r="T488" s="306"/>
      <c r="U488" s="306"/>
      <c r="V488" s="306"/>
      <c r="W488" s="306"/>
      <c r="X488" s="306"/>
      <c r="Y488" s="306"/>
      <c r="Z488" s="306"/>
      <c r="AA488" s="287">
        <f>Z658+($AI$488-$Y$658)/10</f>
        <v>13.224797394153365</v>
      </c>
      <c r="AB488" s="287">
        <f t="shared" ref="AB488:AH488" si="60">AA488+($AI$488-$Y$658)/10</f>
        <v>13.589441040570847</v>
      </c>
      <c r="AC488" s="287">
        <f t="shared" si="60"/>
        <v>13.954084686988329</v>
      </c>
      <c r="AD488" s="287">
        <f t="shared" si="60"/>
        <v>14.318728333405812</v>
      </c>
      <c r="AE488" s="287">
        <f t="shared" si="60"/>
        <v>14.683371979823294</v>
      </c>
      <c r="AF488" s="287">
        <f t="shared" si="60"/>
        <v>15.048015626240776</v>
      </c>
      <c r="AG488" s="287">
        <f t="shared" si="60"/>
        <v>15.412659272658258</v>
      </c>
      <c r="AH488" s="287">
        <f t="shared" si="60"/>
        <v>15.777302919075741</v>
      </c>
      <c r="AI488" s="288">
        <f>T658*$E$744</f>
        <v>16.141946565493228</v>
      </c>
      <c r="AJ488" s="287">
        <f>AI488+($AX$488-$AI$488)/15</f>
        <v>16.312798018423909</v>
      </c>
      <c r="AK488" s="287">
        <f t="shared" ref="AK488:AW488" si="61">AJ488+($AX$488-$AI$488)/15</f>
        <v>16.483649471354589</v>
      </c>
      <c r="AL488" s="287">
        <f t="shared" si="61"/>
        <v>16.654500924285269</v>
      </c>
      <c r="AM488" s="287">
        <f t="shared" si="61"/>
        <v>16.82535237721595</v>
      </c>
      <c r="AN488" s="287">
        <f t="shared" si="61"/>
        <v>16.99620383014663</v>
      </c>
      <c r="AO488" s="287">
        <f t="shared" si="61"/>
        <v>17.16705528307731</v>
      </c>
      <c r="AP488" s="287">
        <f t="shared" si="61"/>
        <v>17.337906736007991</v>
      </c>
      <c r="AQ488" s="287">
        <f t="shared" si="61"/>
        <v>17.508758188938671</v>
      </c>
      <c r="AR488" s="287">
        <f t="shared" si="61"/>
        <v>17.679609641869352</v>
      </c>
      <c r="AS488" s="287">
        <f t="shared" si="61"/>
        <v>17.850461094800032</v>
      </c>
      <c r="AT488" s="287">
        <f t="shared" si="61"/>
        <v>18.021312547730712</v>
      </c>
      <c r="AU488" s="287">
        <f t="shared" si="61"/>
        <v>18.192164000661393</v>
      </c>
      <c r="AV488" s="287">
        <f t="shared" si="61"/>
        <v>18.363015453592073</v>
      </c>
      <c r="AW488" s="287">
        <f t="shared" si="61"/>
        <v>18.533866906522753</v>
      </c>
      <c r="AX488" s="288">
        <f>AI488*$B$744</f>
        <v>18.704718359453445</v>
      </c>
      <c r="AY488" s="287">
        <f>AX488+($BM$488-$AX$488)/15</f>
        <v>18.811222625087144</v>
      </c>
      <c r="AZ488" s="287">
        <f t="shared" ref="AZ488:BL488" si="62">AY488+($BM$488-$AX$488)/15</f>
        <v>18.917726890720843</v>
      </c>
      <c r="BA488" s="287">
        <f t="shared" si="62"/>
        <v>19.024231156354542</v>
      </c>
      <c r="BB488" s="287">
        <f t="shared" si="62"/>
        <v>19.130735421988241</v>
      </c>
      <c r="BC488" s="287">
        <f t="shared" si="62"/>
        <v>19.23723968762194</v>
      </c>
      <c r="BD488" s="287">
        <f t="shared" si="62"/>
        <v>19.34374395325564</v>
      </c>
      <c r="BE488" s="287">
        <f t="shared" si="62"/>
        <v>19.450248218889339</v>
      </c>
      <c r="BF488" s="287">
        <f t="shared" si="62"/>
        <v>19.556752484523038</v>
      </c>
      <c r="BG488" s="287">
        <f t="shared" si="62"/>
        <v>19.663256750156737</v>
      </c>
      <c r="BH488" s="287">
        <f t="shared" si="62"/>
        <v>19.769761015790436</v>
      </c>
      <c r="BI488" s="287">
        <f t="shared" si="62"/>
        <v>19.876265281424136</v>
      </c>
      <c r="BJ488" s="287">
        <f t="shared" si="62"/>
        <v>19.982769547057835</v>
      </c>
      <c r="BK488" s="287">
        <f t="shared" si="62"/>
        <v>20.089273812691534</v>
      </c>
      <c r="BL488" s="287">
        <f t="shared" si="62"/>
        <v>20.195778078325233</v>
      </c>
      <c r="BM488" s="288">
        <f>AX488*$C$744</f>
        <v>20.302282343958908</v>
      </c>
      <c r="BN488" s="287">
        <f>BM488+($BR$488-$BM$488)/5</f>
        <v>20.417883104696291</v>
      </c>
      <c r="BO488" s="287">
        <f>BN488+($BR$488-$BM$488)/5</f>
        <v>20.533483865433674</v>
      </c>
      <c r="BP488" s="287">
        <f>BO488+($BR$488-$BM$488)/5</f>
        <v>20.649084626171057</v>
      </c>
      <c r="BQ488" s="287">
        <f>BP488+($BR$488-$BM$488)/5</f>
        <v>20.76468538690844</v>
      </c>
      <c r="BR488" s="288">
        <f>BM488*$D$744</f>
        <v>20.880286147645826</v>
      </c>
    </row>
    <row r="489" spans="1:70" ht="13" thickBot="1" x14ac:dyDescent="0.3">
      <c r="A489" s="306" t="s">
        <v>660</v>
      </c>
      <c r="B489" s="306"/>
      <c r="C489" s="306"/>
      <c r="D489" s="306"/>
      <c r="E489" s="306"/>
      <c r="F489" s="306"/>
      <c r="G489" s="306"/>
      <c r="H489" s="306"/>
      <c r="I489" s="306"/>
      <c r="J489" s="306"/>
      <c r="K489" s="306"/>
      <c r="L489" s="306"/>
      <c r="M489" s="306"/>
      <c r="N489" s="306"/>
      <c r="O489" s="306"/>
      <c r="P489" s="306"/>
      <c r="Q489" s="306"/>
      <c r="R489" s="306"/>
      <c r="S489" s="306"/>
      <c r="T489" s="306"/>
      <c r="U489" s="306"/>
      <c r="V489" s="306"/>
      <c r="W489" s="306"/>
      <c r="X489" s="306"/>
      <c r="Y489" s="306"/>
      <c r="Z489" s="306"/>
    </row>
    <row r="490" spans="1:70" ht="13" thickBot="1" x14ac:dyDescent="0.3">
      <c r="A490" s="306" t="s">
        <v>661</v>
      </c>
      <c r="B490" s="306"/>
      <c r="C490" s="306"/>
      <c r="D490" s="306"/>
      <c r="E490" s="306"/>
      <c r="F490" s="306"/>
      <c r="G490" s="306"/>
      <c r="H490" s="306"/>
      <c r="I490" s="306"/>
      <c r="J490" s="306"/>
      <c r="K490" s="306"/>
      <c r="L490" s="306"/>
      <c r="M490" s="306"/>
      <c r="N490" s="306"/>
      <c r="O490" s="306"/>
      <c r="P490" s="306"/>
      <c r="Q490" s="306"/>
      <c r="R490" s="306"/>
      <c r="S490" s="306"/>
      <c r="T490" s="306"/>
      <c r="U490" s="306"/>
      <c r="V490" s="306"/>
      <c r="W490" s="306"/>
      <c r="X490" s="306"/>
      <c r="Y490" s="306"/>
      <c r="Z490" s="306"/>
      <c r="AA490" s="287">
        <f>Z660+($AI$490-$Y$660)/10</f>
        <v>15.4577980437679</v>
      </c>
      <c r="AB490" s="287">
        <f t="shared" ref="AB490:AH490" si="63">AA490+($AI$490-$Y$660)/10</f>
        <v>15.88385635596555</v>
      </c>
      <c r="AC490" s="287">
        <f t="shared" si="63"/>
        <v>16.309914668163202</v>
      </c>
      <c r="AD490" s="287">
        <f t="shared" si="63"/>
        <v>16.735972980360852</v>
      </c>
      <c r="AE490" s="287">
        <f t="shared" si="63"/>
        <v>17.162031292558503</v>
      </c>
      <c r="AF490" s="287">
        <f t="shared" si="63"/>
        <v>17.588089604756153</v>
      </c>
      <c r="AG490" s="287">
        <f t="shared" si="63"/>
        <v>18.014147916953803</v>
      </c>
      <c r="AH490" s="287">
        <f t="shared" si="63"/>
        <v>18.440206229151453</v>
      </c>
      <c r="AI490" s="288">
        <f>T660*$E$744</f>
        <v>18.866264541349103</v>
      </c>
      <c r="AJ490" s="287">
        <f>AI490+($AX$490-$AI$490)/15</f>
        <v>19.065951034869943</v>
      </c>
      <c r="AK490" s="287">
        <f t="shared" ref="AK490:AW490" si="64">AJ490+($AX$490-$AI$490)/15</f>
        <v>19.265637528390783</v>
      </c>
      <c r="AL490" s="287">
        <f t="shared" si="64"/>
        <v>19.465324021911623</v>
      </c>
      <c r="AM490" s="287">
        <f t="shared" si="64"/>
        <v>19.665010515432463</v>
      </c>
      <c r="AN490" s="287">
        <f t="shared" si="64"/>
        <v>19.864697008953303</v>
      </c>
      <c r="AO490" s="287">
        <f t="shared" si="64"/>
        <v>20.064383502474143</v>
      </c>
      <c r="AP490" s="287">
        <f t="shared" si="64"/>
        <v>20.264069995994983</v>
      </c>
      <c r="AQ490" s="287">
        <f t="shared" si="64"/>
        <v>20.463756489515823</v>
      </c>
      <c r="AR490" s="287">
        <f t="shared" si="64"/>
        <v>20.663442983036663</v>
      </c>
      <c r="AS490" s="287">
        <f t="shared" si="64"/>
        <v>20.863129476557503</v>
      </c>
      <c r="AT490" s="287">
        <f t="shared" si="64"/>
        <v>21.062815970078343</v>
      </c>
      <c r="AU490" s="287">
        <f t="shared" si="64"/>
        <v>21.262502463599183</v>
      </c>
      <c r="AV490" s="287">
        <f t="shared" si="64"/>
        <v>21.462188957120024</v>
      </c>
      <c r="AW490" s="287">
        <f t="shared" si="64"/>
        <v>21.661875450640864</v>
      </c>
      <c r="AX490" s="288">
        <f>AI490*$B$744</f>
        <v>21.861561944161682</v>
      </c>
      <c r="AY490" s="287">
        <f>AX490+($BM$490-$AX$490)/15</f>
        <v>21.986041209538687</v>
      </c>
      <c r="AZ490" s="287">
        <f t="shared" ref="AZ490:BL490" si="65">AY490+($BM$490-$AX$490)/15</f>
        <v>22.110520474915692</v>
      </c>
      <c r="BA490" s="287">
        <f t="shared" si="65"/>
        <v>22.234999740292697</v>
      </c>
      <c r="BB490" s="287">
        <f t="shared" si="65"/>
        <v>22.359479005669701</v>
      </c>
      <c r="BC490" s="287">
        <f t="shared" si="65"/>
        <v>22.483958271046706</v>
      </c>
      <c r="BD490" s="287">
        <f t="shared" si="65"/>
        <v>22.608437536423711</v>
      </c>
      <c r="BE490" s="287">
        <f t="shared" si="65"/>
        <v>22.732916801800716</v>
      </c>
      <c r="BF490" s="287">
        <f t="shared" si="65"/>
        <v>22.857396067177721</v>
      </c>
      <c r="BG490" s="287">
        <f t="shared" si="65"/>
        <v>22.981875332554726</v>
      </c>
      <c r="BH490" s="287">
        <f t="shared" si="65"/>
        <v>23.10635459793173</v>
      </c>
      <c r="BI490" s="287">
        <f t="shared" si="65"/>
        <v>23.230833863308735</v>
      </c>
      <c r="BJ490" s="287">
        <f t="shared" si="65"/>
        <v>23.35531312868574</v>
      </c>
      <c r="BK490" s="287">
        <f t="shared" si="65"/>
        <v>23.479792394062745</v>
      </c>
      <c r="BL490" s="287">
        <f t="shared" si="65"/>
        <v>23.60427165943975</v>
      </c>
      <c r="BM490" s="288">
        <f>AX490*$C$744</f>
        <v>23.728750924816747</v>
      </c>
      <c r="BN490" s="287">
        <f>BM490+($BR$490-$BM$490)/5</f>
        <v>23.863861924249427</v>
      </c>
      <c r="BO490" s="287">
        <f>BN490+($BR$490-$BM$490)/5</f>
        <v>23.998972923682107</v>
      </c>
      <c r="BP490" s="287">
        <f>BO490+($BR$490-$BM$490)/5</f>
        <v>24.134083923114787</v>
      </c>
      <c r="BQ490" s="287">
        <f>BP490+($BR$490-$BM$490)/5</f>
        <v>24.269194922547467</v>
      </c>
      <c r="BR490" s="288">
        <f>BM490*$D$744</f>
        <v>24.404305921980139</v>
      </c>
    </row>
    <row r="491" spans="1:70" x14ac:dyDescent="0.25">
      <c r="A491" s="306" t="s">
        <v>663</v>
      </c>
      <c r="B491" s="306"/>
      <c r="C491" s="306"/>
      <c r="D491" s="306"/>
      <c r="E491" s="306"/>
      <c r="F491" s="306"/>
      <c r="G491" s="306"/>
      <c r="H491" s="306"/>
      <c r="I491" s="306"/>
      <c r="J491" s="306"/>
      <c r="K491" s="306"/>
      <c r="L491" s="306"/>
      <c r="M491" s="306"/>
      <c r="N491" s="306"/>
      <c r="O491" s="306"/>
      <c r="P491" s="306"/>
      <c r="Q491" s="306"/>
      <c r="R491" s="306"/>
      <c r="S491" s="306"/>
      <c r="T491" s="306"/>
      <c r="U491" s="306"/>
      <c r="V491" s="306"/>
      <c r="W491" s="306"/>
      <c r="X491" s="306"/>
      <c r="Y491" s="306"/>
      <c r="Z491" s="306"/>
    </row>
    <row r="492" spans="1:70" x14ac:dyDescent="0.25">
      <c r="A492" s="306" t="s">
        <v>926</v>
      </c>
      <c r="B492" s="306"/>
      <c r="C492" s="306"/>
      <c r="D492" s="306"/>
      <c r="E492" s="306"/>
      <c r="F492" s="306"/>
      <c r="G492" s="306"/>
      <c r="H492" s="306"/>
      <c r="I492" s="306"/>
      <c r="J492" s="306"/>
      <c r="K492" s="306"/>
      <c r="L492" s="306"/>
      <c r="M492" s="306"/>
      <c r="N492" s="306"/>
      <c r="O492" s="306"/>
      <c r="P492" s="306"/>
      <c r="Q492" s="306"/>
      <c r="R492" s="306"/>
      <c r="S492" s="306"/>
      <c r="T492" s="306"/>
      <c r="U492" s="306"/>
      <c r="V492" s="306"/>
      <c r="W492" s="306"/>
      <c r="X492" s="306"/>
      <c r="Y492" s="306"/>
      <c r="Z492" s="306"/>
    </row>
    <row r="493" spans="1:70" ht="13" thickBot="1" x14ac:dyDescent="0.3">
      <c r="A493" s="306" t="s">
        <v>927</v>
      </c>
      <c r="B493" s="306"/>
      <c r="C493" s="306"/>
      <c r="D493" s="306"/>
      <c r="E493" s="306"/>
      <c r="F493" s="306"/>
      <c r="G493" s="306"/>
      <c r="H493" s="306"/>
      <c r="I493" s="306"/>
      <c r="J493" s="306"/>
      <c r="K493" s="306"/>
      <c r="L493" s="306"/>
      <c r="M493" s="306"/>
      <c r="N493" s="306"/>
      <c r="O493" s="306"/>
      <c r="P493" s="306"/>
      <c r="Q493" s="306"/>
      <c r="R493" s="306"/>
      <c r="S493" s="306"/>
      <c r="T493" s="306"/>
      <c r="U493" s="306"/>
      <c r="V493" s="306"/>
      <c r="W493" s="306"/>
      <c r="X493" s="306"/>
      <c r="Y493" s="306"/>
      <c r="Z493" s="306"/>
    </row>
    <row r="494" spans="1:70" ht="13" thickBot="1" x14ac:dyDescent="0.3">
      <c r="A494" s="306" t="s">
        <v>949</v>
      </c>
      <c r="B494" s="306"/>
      <c r="C494" s="306"/>
      <c r="D494" s="306"/>
      <c r="E494" s="306"/>
      <c r="F494" s="306"/>
      <c r="G494" s="306"/>
      <c r="H494" s="306"/>
      <c r="I494" s="306"/>
      <c r="J494" s="306"/>
      <c r="K494" s="306"/>
      <c r="L494" s="306"/>
      <c r="M494" s="306"/>
      <c r="N494" s="306"/>
      <c r="O494" s="306"/>
      <c r="P494" s="306"/>
      <c r="Q494" s="306"/>
      <c r="R494" s="306"/>
      <c r="S494" s="306"/>
      <c r="T494" s="306"/>
      <c r="U494" s="306"/>
      <c r="V494" s="306"/>
      <c r="W494" s="306"/>
      <c r="X494" s="306"/>
      <c r="Y494" s="306"/>
      <c r="Z494" s="306"/>
      <c r="AA494" s="289">
        <f>Z664+($AI$494-$Y$664)/10</f>
        <v>19.493346965415647</v>
      </c>
      <c r="AB494" s="289">
        <f t="shared" ref="AB494:AH494" si="66">AA494+($AI$494-$Y$664)/10</f>
        <v>19.39274662152437</v>
      </c>
      <c r="AC494" s="289">
        <f t="shared" si="66"/>
        <v>19.292146277633094</v>
      </c>
      <c r="AD494" s="289">
        <f t="shared" si="66"/>
        <v>19.191545933741818</v>
      </c>
      <c r="AE494" s="289">
        <f t="shared" si="66"/>
        <v>19.090945589850541</v>
      </c>
      <c r="AF494" s="289">
        <f t="shared" si="66"/>
        <v>18.990345245959265</v>
      </c>
      <c r="AG494" s="289">
        <f t="shared" si="66"/>
        <v>18.889744902067989</v>
      </c>
      <c r="AH494" s="289">
        <f t="shared" si="66"/>
        <v>18.789144558176712</v>
      </c>
      <c r="AI494" s="290">
        <f>T664*$E$747</f>
        <v>18.68854421428545</v>
      </c>
      <c r="AJ494" s="289">
        <f>AI494+($AX$494-$AI$494)/15</f>
        <v>18.700972398006513</v>
      </c>
      <c r="AK494" s="289">
        <f t="shared" ref="AK494:AW494" si="67">AJ494+($AX$494-$AI$494)/15</f>
        <v>18.713400581727576</v>
      </c>
      <c r="AL494" s="289">
        <f t="shared" si="67"/>
        <v>18.72582876544864</v>
      </c>
      <c r="AM494" s="289">
        <f t="shared" si="67"/>
        <v>18.738256949169703</v>
      </c>
      <c r="AN494" s="289">
        <f t="shared" si="67"/>
        <v>18.750685132890766</v>
      </c>
      <c r="AO494" s="289">
        <f t="shared" si="67"/>
        <v>18.763113316611829</v>
      </c>
      <c r="AP494" s="289">
        <f t="shared" si="67"/>
        <v>18.775541500332892</v>
      </c>
      <c r="AQ494" s="289">
        <f t="shared" si="67"/>
        <v>18.787969684053955</v>
      </c>
      <c r="AR494" s="289">
        <f t="shared" si="67"/>
        <v>18.800397867775018</v>
      </c>
      <c r="AS494" s="289">
        <f t="shared" si="67"/>
        <v>18.812826051496081</v>
      </c>
      <c r="AT494" s="289">
        <f t="shared" si="67"/>
        <v>18.825254235217145</v>
      </c>
      <c r="AU494" s="289">
        <f t="shared" si="67"/>
        <v>18.837682418938208</v>
      </c>
      <c r="AV494" s="289">
        <f t="shared" si="67"/>
        <v>18.850110602659271</v>
      </c>
      <c r="AW494" s="289">
        <f t="shared" si="67"/>
        <v>18.862538786380334</v>
      </c>
      <c r="AX494" s="290">
        <f>AI494*$B$747</f>
        <v>18.874966970101411</v>
      </c>
      <c r="AY494" s="289">
        <f>AX494+($BM$494-$AX$494)/15</f>
        <v>18.881381252955478</v>
      </c>
      <c r="AZ494" s="289">
        <f t="shared" ref="AZ494:BL494" si="68">AY494+($BM$494-$AX$494)/15</f>
        <v>18.887795535809545</v>
      </c>
      <c r="BA494" s="289">
        <f t="shared" si="68"/>
        <v>18.894209818663612</v>
      </c>
      <c r="BB494" s="289">
        <f t="shared" si="68"/>
        <v>18.900624101517678</v>
      </c>
      <c r="BC494" s="289">
        <f t="shared" si="68"/>
        <v>18.907038384371745</v>
      </c>
      <c r="BD494" s="289">
        <f t="shared" si="68"/>
        <v>18.913452667225812</v>
      </c>
      <c r="BE494" s="289">
        <f t="shared" si="68"/>
        <v>18.919866950079879</v>
      </c>
      <c r="BF494" s="289">
        <f t="shared" si="68"/>
        <v>18.926281232933945</v>
      </c>
      <c r="BG494" s="289">
        <f t="shared" si="68"/>
        <v>18.932695515788012</v>
      </c>
      <c r="BH494" s="289">
        <f t="shared" si="68"/>
        <v>18.939109798642079</v>
      </c>
      <c r="BI494" s="289">
        <f t="shared" si="68"/>
        <v>18.945524081496146</v>
      </c>
      <c r="BJ494" s="289">
        <f t="shared" si="68"/>
        <v>18.951938364350212</v>
      </c>
      <c r="BK494" s="289">
        <f t="shared" si="68"/>
        <v>18.958352647204279</v>
      </c>
      <c r="BL494" s="289">
        <f t="shared" si="68"/>
        <v>18.964766930058346</v>
      </c>
      <c r="BM494" s="290">
        <f>AX494*$C$747</f>
        <v>18.971181212912409</v>
      </c>
      <c r="BN494" s="289">
        <f>BM494+($BR$494-$BM$494)/5</f>
        <v>18.97762819226703</v>
      </c>
      <c r="BO494" s="289">
        <f>BN494+($BR$494-$BM$494)/5</f>
        <v>18.984075171621651</v>
      </c>
      <c r="BP494" s="289">
        <f>BO494+($BR$494-$BM$494)/5</f>
        <v>18.990522150976272</v>
      </c>
      <c r="BQ494" s="289">
        <f>BP494+($BR$494-$BM$494)/5</f>
        <v>18.996969130330893</v>
      </c>
      <c r="BR494" s="290">
        <f>BM494*$D$747</f>
        <v>19.003416109685507</v>
      </c>
    </row>
    <row r="495" spans="1:70" x14ac:dyDescent="0.25">
      <c r="A495" s="306" t="s">
        <v>950</v>
      </c>
      <c r="B495" s="306"/>
      <c r="C495" s="306"/>
      <c r="D495" s="306"/>
      <c r="E495" s="306"/>
      <c r="F495" s="306"/>
      <c r="G495" s="306"/>
      <c r="H495" s="306"/>
      <c r="I495" s="306"/>
      <c r="J495" s="306"/>
      <c r="K495" s="306"/>
      <c r="L495" s="306"/>
      <c r="M495" s="306"/>
      <c r="N495" s="306"/>
      <c r="O495" s="306"/>
      <c r="P495" s="306"/>
      <c r="Q495" s="306"/>
      <c r="R495" s="306"/>
      <c r="S495" s="306"/>
      <c r="T495" s="306"/>
      <c r="U495" s="306"/>
      <c r="V495" s="306"/>
      <c r="W495" s="306"/>
      <c r="X495" s="306"/>
      <c r="Y495" s="306"/>
      <c r="Z495" s="306"/>
    </row>
    <row r="496" spans="1:70" x14ac:dyDescent="0.25">
      <c r="A496" s="306" t="s">
        <v>975</v>
      </c>
      <c r="B496" s="306"/>
      <c r="C496" s="306"/>
      <c r="D496" s="306"/>
      <c r="E496" s="306"/>
      <c r="F496" s="306"/>
      <c r="G496" s="306"/>
      <c r="H496" s="306"/>
      <c r="I496" s="306"/>
      <c r="J496" s="306"/>
      <c r="K496" s="306"/>
      <c r="L496" s="306"/>
      <c r="M496" s="306"/>
      <c r="N496" s="306"/>
      <c r="O496" s="306"/>
      <c r="P496" s="306"/>
      <c r="Q496" s="306"/>
      <c r="R496" s="306"/>
      <c r="S496" s="306"/>
      <c r="T496" s="306"/>
      <c r="U496" s="306"/>
      <c r="V496" s="306"/>
      <c r="W496" s="306"/>
      <c r="X496" s="306"/>
      <c r="Y496" s="306"/>
      <c r="Z496" s="306"/>
    </row>
    <row r="499" spans="1:70" ht="13" thickBot="1" x14ac:dyDescent="0.3"/>
    <row r="500" spans="1:70" ht="13" x14ac:dyDescent="0.3">
      <c r="A500" s="246" t="s">
        <v>442</v>
      </c>
      <c r="B500" s="247"/>
      <c r="C500" s="247"/>
      <c r="D500" s="248"/>
      <c r="E500" s="247"/>
      <c r="F500" s="247"/>
      <c r="G500" s="247"/>
      <c r="H500" s="247"/>
      <c r="I500" s="247"/>
      <c r="J500" s="247"/>
      <c r="K500" s="247"/>
      <c r="L500" s="247"/>
      <c r="M500" s="247"/>
      <c r="N500" s="247"/>
      <c r="O500" s="247"/>
      <c r="P500" s="247"/>
      <c r="Q500" s="247"/>
      <c r="R500" s="247"/>
      <c r="S500" s="247"/>
      <c r="T500" s="247"/>
      <c r="U500" s="247"/>
      <c r="V500" s="247"/>
      <c r="W500" s="247"/>
      <c r="X500" s="247"/>
      <c r="Y500" s="247"/>
    </row>
    <row r="501" spans="1:70" x14ac:dyDescent="0.25">
      <c r="A501" s="249" t="s">
        <v>443</v>
      </c>
      <c r="B501" s="250"/>
      <c r="C501" s="250"/>
      <c r="D501" s="250"/>
      <c r="E501" s="250"/>
      <c r="F501" s="250"/>
      <c r="G501" s="250"/>
      <c r="H501" s="250"/>
      <c r="I501" s="250"/>
      <c r="J501" s="250"/>
      <c r="K501" s="250"/>
      <c r="L501" s="250"/>
      <c r="M501" s="250"/>
      <c r="N501" s="250"/>
      <c r="O501" s="250"/>
      <c r="P501" s="250"/>
      <c r="Q501" s="250"/>
      <c r="R501" s="250"/>
      <c r="S501" s="250"/>
      <c r="T501" s="250"/>
      <c r="U501" s="250"/>
      <c r="V501" s="250"/>
      <c r="W501" s="250"/>
      <c r="X501" s="250"/>
      <c r="Y501" s="250"/>
    </row>
    <row r="502" spans="1:70" x14ac:dyDescent="0.25">
      <c r="A502" s="249" t="s">
        <v>859</v>
      </c>
      <c r="B502" s="250"/>
      <c r="C502" s="250"/>
      <c r="D502" s="250"/>
      <c r="E502" s="250"/>
      <c r="F502" s="250"/>
      <c r="G502" s="250"/>
      <c r="H502" s="250"/>
      <c r="I502" s="250"/>
      <c r="J502" s="250"/>
      <c r="K502" s="250"/>
      <c r="L502" s="250"/>
      <c r="M502" s="250"/>
      <c r="N502" s="250"/>
      <c r="O502" s="250"/>
      <c r="P502" s="250"/>
      <c r="Q502" s="250"/>
      <c r="R502" s="250"/>
      <c r="S502" s="250"/>
      <c r="T502" s="250"/>
      <c r="U502" s="250"/>
      <c r="V502" s="250"/>
      <c r="W502" s="250"/>
      <c r="X502" s="250"/>
      <c r="Y502" s="250"/>
    </row>
    <row r="503" spans="1:70" x14ac:dyDescent="0.25">
      <c r="A503" s="249" t="s">
        <v>860</v>
      </c>
      <c r="B503" s="250"/>
      <c r="C503" s="250"/>
      <c r="D503" s="250"/>
      <c r="E503" s="250"/>
      <c r="F503" s="250"/>
      <c r="G503" s="250"/>
      <c r="H503" s="250"/>
      <c r="I503" s="250"/>
      <c r="J503" s="250"/>
      <c r="K503" s="250"/>
      <c r="L503" s="250"/>
      <c r="M503" s="250"/>
      <c r="N503" s="250"/>
      <c r="O503" s="250"/>
      <c r="P503" s="250"/>
      <c r="Q503" s="250"/>
      <c r="R503" s="250"/>
      <c r="S503" s="250"/>
      <c r="T503" s="250"/>
      <c r="U503" s="250"/>
      <c r="V503" s="250"/>
      <c r="W503" s="250"/>
      <c r="X503" s="250"/>
      <c r="Y503" s="250"/>
    </row>
    <row r="504" spans="1:70" x14ac:dyDescent="0.25">
      <c r="A504" s="249" t="s">
        <v>444</v>
      </c>
      <c r="B504" s="250"/>
      <c r="C504" s="250"/>
      <c r="D504" s="250"/>
      <c r="E504" s="250"/>
      <c r="F504" s="250"/>
      <c r="G504" s="250"/>
      <c r="H504" s="250"/>
      <c r="I504" s="250"/>
      <c r="J504" s="250"/>
      <c r="K504" s="250"/>
      <c r="L504" s="250"/>
      <c r="M504" s="250"/>
      <c r="N504" s="250"/>
      <c r="O504" s="250"/>
      <c r="P504" s="250"/>
      <c r="Q504" s="250"/>
      <c r="R504" s="250"/>
      <c r="S504" s="250"/>
      <c r="T504" s="250"/>
      <c r="U504" s="250"/>
      <c r="V504" s="250"/>
      <c r="W504" s="250"/>
      <c r="X504" s="250"/>
      <c r="Y504" s="250"/>
    </row>
    <row r="505" spans="1:70" ht="13" thickBot="1" x14ac:dyDescent="0.3">
      <c r="A505" s="249" t="s">
        <v>445</v>
      </c>
      <c r="B505" s="250"/>
      <c r="C505" s="250"/>
      <c r="D505" s="250"/>
      <c r="E505" s="250"/>
      <c r="F505" s="250"/>
      <c r="G505" s="250"/>
      <c r="H505" s="250"/>
      <c r="I505" s="250"/>
      <c r="J505" s="250"/>
      <c r="K505" s="250"/>
      <c r="L505" s="250"/>
      <c r="M505" s="250"/>
      <c r="N505" s="250"/>
      <c r="O505" s="250"/>
      <c r="P505" s="250"/>
      <c r="Q505" s="250"/>
      <c r="R505" s="250"/>
      <c r="S505" s="250"/>
      <c r="T505" s="250"/>
      <c r="U505" s="250"/>
      <c r="V505" s="250"/>
      <c r="W505" s="250"/>
      <c r="X505" s="250"/>
      <c r="Y505" s="250"/>
    </row>
    <row r="506" spans="1:70" ht="13" thickBot="1" x14ac:dyDescent="0.3">
      <c r="A506" s="251" t="s">
        <v>446</v>
      </c>
      <c r="B506" s="250"/>
      <c r="C506" s="250"/>
      <c r="D506" s="250"/>
      <c r="E506" s="250"/>
      <c r="F506" s="250"/>
      <c r="G506" s="250"/>
      <c r="H506" s="250"/>
      <c r="I506" s="250"/>
      <c r="J506" s="250"/>
      <c r="K506" s="250"/>
      <c r="L506" s="250"/>
      <c r="M506" s="250"/>
      <c r="N506" s="250"/>
      <c r="O506" s="250"/>
      <c r="P506" s="250"/>
      <c r="Q506" s="250"/>
      <c r="R506" s="250"/>
      <c r="S506" s="250"/>
      <c r="T506" s="250"/>
      <c r="U506" s="250"/>
      <c r="V506" s="250"/>
      <c r="W506" s="250"/>
      <c r="X506" s="250"/>
      <c r="Y506" s="250"/>
      <c r="AA506" s="283">
        <f>Z676+($AI$506-$Y$676)/10</f>
        <v>5.5529965108452508</v>
      </c>
      <c r="AB506" s="283">
        <f t="shared" ref="AB506:AH506" si="69">AA506+($AI$506-$Y$676)/10</f>
        <v>5.5809474506703411</v>
      </c>
      <c r="AC506" s="283">
        <f t="shared" si="69"/>
        <v>5.6088983904954315</v>
      </c>
      <c r="AD506" s="283">
        <f t="shared" si="69"/>
        <v>5.6368493303205218</v>
      </c>
      <c r="AE506" s="283">
        <f t="shared" si="69"/>
        <v>5.6648002701456122</v>
      </c>
      <c r="AF506" s="283">
        <f t="shared" si="69"/>
        <v>5.6927512099707025</v>
      </c>
      <c r="AG506" s="283">
        <f t="shared" si="69"/>
        <v>5.7207021497957928</v>
      </c>
      <c r="AH506" s="283">
        <f t="shared" si="69"/>
        <v>5.7486530896208832</v>
      </c>
      <c r="AI506" s="284">
        <f>T676*$E$742</f>
        <v>5.77660402944597</v>
      </c>
      <c r="AJ506" s="283">
        <f>AI506+($AX$506-$AI$506)/15</f>
        <v>5.8419909425225587</v>
      </c>
      <c r="AK506" s="283">
        <f t="shared" ref="AK506:AW506" si="70">AJ506+($AX$506-$AI$506)/15</f>
        <v>5.9073778555991474</v>
      </c>
      <c r="AL506" s="283">
        <f t="shared" si="70"/>
        <v>5.9727647686757361</v>
      </c>
      <c r="AM506" s="283">
        <f t="shared" si="70"/>
        <v>6.0381516817523249</v>
      </c>
      <c r="AN506" s="283">
        <f t="shared" si="70"/>
        <v>6.1035385948289136</v>
      </c>
      <c r="AO506" s="283">
        <f t="shared" si="70"/>
        <v>6.1689255079055023</v>
      </c>
      <c r="AP506" s="283">
        <f t="shared" si="70"/>
        <v>6.234312420982091</v>
      </c>
      <c r="AQ506" s="283">
        <f t="shared" si="70"/>
        <v>6.2996993340586798</v>
      </c>
      <c r="AR506" s="283">
        <f t="shared" si="70"/>
        <v>6.3650862471352685</v>
      </c>
      <c r="AS506" s="283">
        <f t="shared" si="70"/>
        <v>6.4304731602118572</v>
      </c>
      <c r="AT506" s="283">
        <f t="shared" si="70"/>
        <v>6.4958600732884459</v>
      </c>
      <c r="AU506" s="283">
        <f t="shared" si="70"/>
        <v>6.5612469863650347</v>
      </c>
      <c r="AV506" s="283">
        <f t="shared" si="70"/>
        <v>6.6266338994416234</v>
      </c>
      <c r="AW506" s="283">
        <f t="shared" si="70"/>
        <v>6.6920208125182121</v>
      </c>
      <c r="AX506" s="284">
        <f>AI506*$B$742</f>
        <v>6.7574077255948062</v>
      </c>
      <c r="AY506" s="283">
        <f>AX506+($BM$506-$AX$506)/15</f>
        <v>6.8243179096825601</v>
      </c>
      <c r="AZ506" s="283">
        <f t="shared" ref="AZ506:BL506" si="71">AY506+($BM$506-$AX$506)/15</f>
        <v>6.8912280937703141</v>
      </c>
      <c r="BA506" s="283">
        <f t="shared" si="71"/>
        <v>6.958138277858068</v>
      </c>
      <c r="BB506" s="283">
        <f t="shared" si="71"/>
        <v>7.025048461945822</v>
      </c>
      <c r="BC506" s="283">
        <f t="shared" si="71"/>
        <v>7.091958646033576</v>
      </c>
      <c r="BD506" s="283">
        <f t="shared" si="71"/>
        <v>7.1588688301213299</v>
      </c>
      <c r="BE506" s="283">
        <f t="shared" si="71"/>
        <v>7.2257790142090839</v>
      </c>
      <c r="BF506" s="283">
        <f t="shared" si="71"/>
        <v>7.2926891982968378</v>
      </c>
      <c r="BG506" s="283">
        <f t="shared" si="71"/>
        <v>7.3595993823845918</v>
      </c>
      <c r="BH506" s="283">
        <f t="shared" si="71"/>
        <v>7.4265095664723457</v>
      </c>
      <c r="BI506" s="283">
        <f t="shared" si="71"/>
        <v>7.4934197505600997</v>
      </c>
      <c r="BJ506" s="283">
        <f t="shared" si="71"/>
        <v>7.5603299346478536</v>
      </c>
      <c r="BK506" s="283">
        <f t="shared" si="71"/>
        <v>7.6272401187356076</v>
      </c>
      <c r="BL506" s="283">
        <f t="shared" si="71"/>
        <v>7.6941503028233615</v>
      </c>
      <c r="BM506" s="284">
        <f>AX506*$C$742</f>
        <v>7.7610604869111093</v>
      </c>
      <c r="BN506" s="283">
        <f>BM506+($BR$506-$BM$506)/5</f>
        <v>7.8379085930167243</v>
      </c>
      <c r="BO506" s="283">
        <f>BN506+($BR$506-$BM$506)/5</f>
        <v>7.9147566991223393</v>
      </c>
      <c r="BP506" s="283">
        <f>BO506+($BR$506-$BM$506)/5</f>
        <v>7.9916048052279542</v>
      </c>
      <c r="BQ506" s="283">
        <f>BP506+($BR$506-$BM$506)/5</f>
        <v>8.0684529113335692</v>
      </c>
      <c r="BR506" s="284">
        <f>BM506*$D$742</f>
        <v>8.1453010174391842</v>
      </c>
    </row>
    <row r="507" spans="1:70" ht="13" thickBot="1" x14ac:dyDescent="0.3">
      <c r="A507" s="249"/>
      <c r="B507" s="250"/>
      <c r="C507" s="250"/>
      <c r="D507" s="250"/>
      <c r="E507" s="250"/>
      <c r="F507" s="250"/>
      <c r="G507" s="250"/>
      <c r="H507" s="250"/>
      <c r="I507" s="250"/>
      <c r="J507" s="250"/>
      <c r="K507" s="250"/>
      <c r="L507" s="250"/>
      <c r="M507" s="250"/>
      <c r="N507" s="250"/>
      <c r="O507" s="250"/>
      <c r="P507" s="250"/>
      <c r="Q507" s="250"/>
      <c r="R507" s="250"/>
      <c r="S507" s="250"/>
      <c r="T507" s="250"/>
      <c r="U507" s="250"/>
      <c r="V507" s="250"/>
      <c r="W507" s="250"/>
      <c r="X507" s="250"/>
      <c r="Y507" s="250"/>
      <c r="AA507" s="291">
        <f>Z677+($AI$507-$Y$677)/10</f>
        <v>1.3364941226202385</v>
      </c>
      <c r="AB507" s="291">
        <f t="shared" ref="AB507:AH507" si="72">AA507+($AI$507-$Y$677)/10</f>
        <v>1.3402060190972878</v>
      </c>
      <c r="AC507" s="291">
        <f t="shared" si="72"/>
        <v>1.343917915574337</v>
      </c>
      <c r="AD507" s="291">
        <f t="shared" si="72"/>
        <v>1.3476298120513863</v>
      </c>
      <c r="AE507" s="291">
        <f t="shared" si="72"/>
        <v>1.3513417085284356</v>
      </c>
      <c r="AF507" s="291">
        <f t="shared" si="72"/>
        <v>1.3550536050054849</v>
      </c>
      <c r="AG507" s="291">
        <f t="shared" si="72"/>
        <v>1.3587655014825342</v>
      </c>
      <c r="AH507" s="291">
        <f t="shared" si="72"/>
        <v>1.3624773979595834</v>
      </c>
      <c r="AI507" s="292">
        <f>T677*$E$740</f>
        <v>1.3661892944366323</v>
      </c>
      <c r="AJ507" s="291">
        <f>AI507+($AX$507-$AI$507)/15</f>
        <v>1.3701947313799723</v>
      </c>
      <c r="AK507" s="291">
        <f t="shared" ref="AK507:AW507" si="73">AJ507+($AX$507-$AI$507)/15</f>
        <v>1.3742001683233123</v>
      </c>
      <c r="AL507" s="291">
        <f t="shared" si="73"/>
        <v>1.3782056052666523</v>
      </c>
      <c r="AM507" s="291">
        <f t="shared" si="73"/>
        <v>1.3822110422099922</v>
      </c>
      <c r="AN507" s="291">
        <f t="shared" si="73"/>
        <v>1.3862164791533322</v>
      </c>
      <c r="AO507" s="291">
        <f t="shared" si="73"/>
        <v>1.3902219160966722</v>
      </c>
      <c r="AP507" s="291">
        <f t="shared" si="73"/>
        <v>1.3942273530400122</v>
      </c>
      <c r="AQ507" s="291">
        <f t="shared" si="73"/>
        <v>1.3982327899833522</v>
      </c>
      <c r="AR507" s="291">
        <f t="shared" si="73"/>
        <v>1.4022382269266922</v>
      </c>
      <c r="AS507" s="291">
        <f t="shared" si="73"/>
        <v>1.4062436638700322</v>
      </c>
      <c r="AT507" s="291">
        <f t="shared" si="73"/>
        <v>1.4102491008133722</v>
      </c>
      <c r="AU507" s="291">
        <f t="shared" si="73"/>
        <v>1.4142545377567122</v>
      </c>
      <c r="AV507" s="291">
        <f t="shared" si="73"/>
        <v>1.4182599747000522</v>
      </c>
      <c r="AW507" s="291">
        <f t="shared" si="73"/>
        <v>1.4222654116433922</v>
      </c>
      <c r="AX507" s="292">
        <f>AI507*$B$740</f>
        <v>1.4262708485867317</v>
      </c>
      <c r="AY507" s="291">
        <f>AX507+($BM$507-$AX$507)/15</f>
        <v>1.428975877834666</v>
      </c>
      <c r="AZ507" s="291">
        <f t="shared" ref="AZ507:BL507" si="74">AY507+($BM$507-$AX$507)/15</f>
        <v>1.4316809070826002</v>
      </c>
      <c r="BA507" s="291">
        <f t="shared" si="74"/>
        <v>1.4343859363305345</v>
      </c>
      <c r="BB507" s="291">
        <f t="shared" si="74"/>
        <v>1.4370909655784687</v>
      </c>
      <c r="BC507" s="291">
        <f t="shared" si="74"/>
        <v>1.439795994826403</v>
      </c>
      <c r="BD507" s="291">
        <f t="shared" si="74"/>
        <v>1.4425010240743372</v>
      </c>
      <c r="BE507" s="291">
        <f t="shared" si="74"/>
        <v>1.4452060533222715</v>
      </c>
      <c r="BF507" s="291">
        <f t="shared" si="74"/>
        <v>1.4479110825702057</v>
      </c>
      <c r="BG507" s="291">
        <f t="shared" si="74"/>
        <v>1.45061611181814</v>
      </c>
      <c r="BH507" s="291">
        <f t="shared" si="74"/>
        <v>1.4533211410660742</v>
      </c>
      <c r="BI507" s="291">
        <f t="shared" si="74"/>
        <v>1.4560261703140085</v>
      </c>
      <c r="BJ507" s="291">
        <f t="shared" si="74"/>
        <v>1.4587311995619427</v>
      </c>
      <c r="BK507" s="291">
        <f t="shared" si="74"/>
        <v>1.461436228809877</v>
      </c>
      <c r="BL507" s="291">
        <f t="shared" si="74"/>
        <v>1.4641412580578113</v>
      </c>
      <c r="BM507" s="292">
        <f>AX507*$C$740</f>
        <v>1.4668462873057471</v>
      </c>
      <c r="BN507" s="291">
        <f>BM507+($BR$507-$BM$507)/5</f>
        <v>1.4696282709053681</v>
      </c>
      <c r="BO507" s="291">
        <f>BN507+($BR$507-$BM$507)/5</f>
        <v>1.4724102545049891</v>
      </c>
      <c r="BP507" s="291">
        <f>BO507+($BR$507-$BM$507)/5</f>
        <v>1.4751922381046101</v>
      </c>
      <c r="BQ507" s="291">
        <f>BP507+($BR$507-$BM$507)/5</f>
        <v>1.4779742217042311</v>
      </c>
      <c r="BR507" s="292">
        <f>BM507*$D$740</f>
        <v>1.4807562053038525</v>
      </c>
    </row>
    <row r="508" spans="1:70" x14ac:dyDescent="0.25">
      <c r="A508" s="252" t="s">
        <v>447</v>
      </c>
      <c r="B508" s="250"/>
      <c r="C508" s="250"/>
      <c r="D508" s="250"/>
      <c r="E508" s="250"/>
      <c r="F508" s="250"/>
      <c r="G508" s="250"/>
      <c r="H508" s="250"/>
      <c r="I508" s="250"/>
      <c r="J508" s="250"/>
      <c r="K508" s="250"/>
      <c r="L508" s="250"/>
      <c r="M508" s="250"/>
      <c r="N508" s="250"/>
      <c r="O508" s="250"/>
      <c r="P508" s="250"/>
      <c r="Q508" s="250"/>
      <c r="R508" s="250"/>
      <c r="S508" s="250"/>
      <c r="T508" s="250"/>
      <c r="U508" s="250"/>
      <c r="V508" s="250"/>
      <c r="W508" s="250"/>
      <c r="X508" s="250"/>
      <c r="Y508" s="250"/>
    </row>
    <row r="509" spans="1:70" x14ac:dyDescent="0.25">
      <c r="A509" s="252" t="s">
        <v>448</v>
      </c>
      <c r="B509" s="250"/>
      <c r="C509" s="250"/>
      <c r="D509" s="250"/>
      <c r="E509" s="250"/>
      <c r="F509" s="250"/>
      <c r="G509" s="250"/>
      <c r="H509" s="250"/>
      <c r="I509" s="250"/>
      <c r="J509" s="250"/>
      <c r="K509" s="250"/>
      <c r="L509" s="250"/>
      <c r="M509" s="250"/>
      <c r="N509" s="250"/>
      <c r="O509" s="250"/>
      <c r="P509" s="250"/>
      <c r="Q509" s="250"/>
      <c r="R509" s="250"/>
      <c r="S509" s="250"/>
      <c r="T509" s="250"/>
      <c r="U509" s="250"/>
      <c r="V509" s="250"/>
      <c r="W509" s="250"/>
      <c r="X509" s="250"/>
      <c r="Y509" s="250"/>
    </row>
    <row r="510" spans="1:70" x14ac:dyDescent="0.25">
      <c r="A510" s="252"/>
      <c r="B510" s="250"/>
      <c r="C510" s="250"/>
      <c r="D510" s="250"/>
      <c r="E510" s="250"/>
      <c r="F510" s="250"/>
      <c r="G510" s="250"/>
      <c r="H510" s="250"/>
      <c r="I510" s="250"/>
      <c r="J510" s="250"/>
      <c r="K510" s="250"/>
      <c r="L510" s="250"/>
      <c r="M510" s="250"/>
      <c r="N510" s="250"/>
      <c r="O510" s="250"/>
      <c r="P510" s="250"/>
      <c r="Q510" s="250"/>
      <c r="R510" s="250"/>
      <c r="S510" s="250"/>
      <c r="T510" s="250"/>
      <c r="U510" s="250"/>
      <c r="V510" s="250"/>
      <c r="W510" s="250"/>
      <c r="X510" s="250"/>
      <c r="Y510" s="250"/>
    </row>
    <row r="511" spans="1:70" x14ac:dyDescent="0.25">
      <c r="A511" s="249" t="s">
        <v>440</v>
      </c>
      <c r="B511" s="250" t="s">
        <v>449</v>
      </c>
      <c r="C511" s="250" t="s">
        <v>450</v>
      </c>
      <c r="D511" s="250" t="s">
        <v>451</v>
      </c>
      <c r="E511" s="250" t="s">
        <v>452</v>
      </c>
      <c r="F511" s="250" t="s">
        <v>453</v>
      </c>
      <c r="G511" s="250" t="s">
        <v>454</v>
      </c>
      <c r="H511" s="250" t="s">
        <v>455</v>
      </c>
      <c r="I511" s="250" t="s">
        <v>456</v>
      </c>
      <c r="J511" s="250" t="s">
        <v>457</v>
      </c>
      <c r="K511" s="250" t="s">
        <v>458</v>
      </c>
      <c r="L511" s="250" t="s">
        <v>459</v>
      </c>
      <c r="M511" s="250" t="s">
        <v>460</v>
      </c>
      <c r="N511" s="250" t="s">
        <v>461</v>
      </c>
      <c r="O511" s="250" t="s">
        <v>462</v>
      </c>
      <c r="P511" s="250" t="s">
        <v>463</v>
      </c>
      <c r="Q511" s="250" t="s">
        <v>464</v>
      </c>
      <c r="R511" s="250" t="s">
        <v>465</v>
      </c>
      <c r="S511" s="250" t="s">
        <v>466</v>
      </c>
      <c r="T511" s="250" t="s">
        <v>467</v>
      </c>
      <c r="U511" s="250" t="s">
        <v>468</v>
      </c>
      <c r="V511" s="250" t="s">
        <v>469</v>
      </c>
      <c r="W511" s="250" t="s">
        <v>470</v>
      </c>
      <c r="X511" s="250" t="s">
        <v>471</v>
      </c>
      <c r="Y511" s="250" t="s">
        <v>472</v>
      </c>
      <c r="Z511">
        <v>2026</v>
      </c>
    </row>
    <row r="512" spans="1:70" x14ac:dyDescent="0.25">
      <c r="A512" s="249" t="s">
        <v>440</v>
      </c>
      <c r="B512" s="250" t="s">
        <v>440</v>
      </c>
      <c r="C512" s="250" t="s">
        <v>440</v>
      </c>
      <c r="D512" s="250" t="s">
        <v>440</v>
      </c>
      <c r="E512" s="250" t="s">
        <v>440</v>
      </c>
      <c r="F512" s="250" t="s">
        <v>440</v>
      </c>
      <c r="G512" s="250" t="s">
        <v>440</v>
      </c>
      <c r="H512" s="250" t="s">
        <v>440</v>
      </c>
      <c r="I512" s="250" t="s">
        <v>440</v>
      </c>
      <c r="J512" s="250" t="s">
        <v>440</v>
      </c>
      <c r="K512" s="250" t="s">
        <v>440</v>
      </c>
      <c r="L512" s="250" t="s">
        <v>440</v>
      </c>
      <c r="M512" s="250" t="s">
        <v>440</v>
      </c>
      <c r="N512" s="250" t="s">
        <v>440</v>
      </c>
      <c r="O512" s="250" t="s">
        <v>440</v>
      </c>
      <c r="P512" s="250" t="s">
        <v>440</v>
      </c>
      <c r="Q512" s="250" t="s">
        <v>440</v>
      </c>
      <c r="R512" s="250" t="s">
        <v>440</v>
      </c>
      <c r="S512" s="250" t="s">
        <v>440</v>
      </c>
      <c r="T512" s="250" t="s">
        <v>440</v>
      </c>
      <c r="U512" s="250" t="s">
        <v>440</v>
      </c>
      <c r="V512" s="250" t="s">
        <v>440</v>
      </c>
      <c r="W512" s="250" t="s">
        <v>440</v>
      </c>
      <c r="X512" s="250" t="s">
        <v>440</v>
      </c>
      <c r="Y512" s="250" t="s">
        <v>440</v>
      </c>
    </row>
    <row r="513" spans="1:26" x14ac:dyDescent="0.25">
      <c r="A513" s="249" t="s">
        <v>440</v>
      </c>
      <c r="B513" s="250" t="s">
        <v>440</v>
      </c>
      <c r="C513" s="250" t="s">
        <v>440</v>
      </c>
      <c r="D513" s="250" t="s">
        <v>440</v>
      </c>
      <c r="E513" s="250" t="s">
        <v>440</v>
      </c>
      <c r="F513" s="250" t="s">
        <v>440</v>
      </c>
      <c r="G513" s="250" t="s">
        <v>440</v>
      </c>
      <c r="H513" s="250" t="s">
        <v>440</v>
      </c>
      <c r="I513" s="250" t="s">
        <v>440</v>
      </c>
      <c r="J513" s="250" t="s">
        <v>440</v>
      </c>
      <c r="K513" s="250" t="s">
        <v>440</v>
      </c>
      <c r="L513" s="250" t="s">
        <v>440</v>
      </c>
      <c r="M513" s="250" t="s">
        <v>440</v>
      </c>
      <c r="N513" s="250" t="s">
        <v>440</v>
      </c>
      <c r="O513" s="250" t="s">
        <v>440</v>
      </c>
      <c r="P513" s="250" t="s">
        <v>440</v>
      </c>
      <c r="Q513" s="250" t="s">
        <v>440</v>
      </c>
      <c r="R513" s="250" t="s">
        <v>440</v>
      </c>
      <c r="S513" s="250" t="s">
        <v>440</v>
      </c>
      <c r="T513" s="250" t="s">
        <v>440</v>
      </c>
      <c r="U513" s="250" t="s">
        <v>440</v>
      </c>
      <c r="V513" s="250" t="s">
        <v>440</v>
      </c>
      <c r="W513" s="250" t="s">
        <v>440</v>
      </c>
      <c r="X513" s="250" t="s">
        <v>440</v>
      </c>
      <c r="Y513" s="250" t="s">
        <v>440</v>
      </c>
    </row>
    <row r="514" spans="1:26" x14ac:dyDescent="0.25">
      <c r="A514" s="249" t="s">
        <v>473</v>
      </c>
      <c r="B514" s="253">
        <v>15.0220499038696</v>
      </c>
      <c r="C514" s="253">
        <v>15.811363220214799</v>
      </c>
      <c r="D514" s="253">
        <v>16.4251308441162</v>
      </c>
      <c r="E514" s="253">
        <v>16.464759826660199</v>
      </c>
      <c r="F514" s="253">
        <v>15.680528640747101</v>
      </c>
      <c r="G514" s="253">
        <v>15.0112085342407</v>
      </c>
      <c r="H514" s="253">
        <v>14.5817928314209</v>
      </c>
      <c r="I514" s="253">
        <v>14.458288192749</v>
      </c>
      <c r="J514" s="253">
        <v>14.326377868652299</v>
      </c>
      <c r="K514" s="253">
        <v>14.293612480163601</v>
      </c>
      <c r="L514" s="253">
        <v>14.4205980300903</v>
      </c>
      <c r="M514" s="253">
        <v>14.6031141281128</v>
      </c>
      <c r="N514" s="253">
        <v>14.8352861404419</v>
      </c>
      <c r="O514" s="253">
        <v>14.979790687561</v>
      </c>
      <c r="P514" s="253">
        <v>15.0010738372803</v>
      </c>
      <c r="Q514" s="253">
        <v>15.073490142822299</v>
      </c>
      <c r="R514" s="253">
        <v>15.2468109130859</v>
      </c>
      <c r="S514" s="253">
        <v>15.482013702392599</v>
      </c>
      <c r="T514" s="253">
        <v>15.6422672271729</v>
      </c>
      <c r="U514" s="253">
        <v>15.809124946594199</v>
      </c>
      <c r="V514" s="253">
        <v>15.869408607482899</v>
      </c>
      <c r="W514" s="253">
        <v>15.910493850708001</v>
      </c>
      <c r="X514" s="253">
        <v>16.000511169433601</v>
      </c>
      <c r="Y514" s="253">
        <v>16.127393722534201</v>
      </c>
    </row>
    <row r="515" spans="1:26" x14ac:dyDescent="0.25">
      <c r="A515" s="249" t="s">
        <v>474</v>
      </c>
      <c r="B515" s="253">
        <v>8.3285751342773402</v>
      </c>
      <c r="C515" s="253">
        <v>9.67810153961182</v>
      </c>
      <c r="D515" s="253">
        <v>10.6516561508179</v>
      </c>
      <c r="E515" s="253">
        <v>10.5737972259521</v>
      </c>
      <c r="F515" s="253">
        <v>9.7301187515258807</v>
      </c>
      <c r="G515" s="253">
        <v>9.2126417160034197</v>
      </c>
      <c r="H515" s="253">
        <v>8.7946681976318395</v>
      </c>
      <c r="I515" s="253">
        <v>8.5506849288940394</v>
      </c>
      <c r="J515" s="253">
        <v>8.3542766571044904</v>
      </c>
      <c r="K515" s="253">
        <v>8.2684001922607404</v>
      </c>
      <c r="L515" s="253">
        <v>8.3419942855834996</v>
      </c>
      <c r="M515" s="253">
        <v>8.4596767425537092</v>
      </c>
      <c r="N515" s="253">
        <v>8.6078786849975604</v>
      </c>
      <c r="O515" s="253">
        <v>8.7398357391357404</v>
      </c>
      <c r="P515" s="253">
        <v>8.7483062744140607</v>
      </c>
      <c r="Q515" s="253">
        <v>8.7686567306518608</v>
      </c>
      <c r="R515" s="253">
        <v>8.8867673873901403</v>
      </c>
      <c r="S515" s="253">
        <v>9.0631914138793892</v>
      </c>
      <c r="T515" s="253">
        <v>9.2055320739746094</v>
      </c>
      <c r="U515" s="253">
        <v>9.3421277999877894</v>
      </c>
      <c r="V515" s="253">
        <v>9.4150266647338903</v>
      </c>
      <c r="W515" s="253">
        <v>9.4582109451293892</v>
      </c>
      <c r="X515" s="253">
        <v>9.5390539169311506</v>
      </c>
      <c r="Y515" s="253">
        <v>9.6245632171630895</v>
      </c>
    </row>
    <row r="516" spans="1:26" x14ac:dyDescent="0.25">
      <c r="A516" s="249" t="s">
        <v>475</v>
      </c>
      <c r="B516" s="253">
        <v>10.0436496734619</v>
      </c>
      <c r="C516" s="253">
        <v>11.266843795776399</v>
      </c>
      <c r="D516" s="253">
        <v>13.0600261688232</v>
      </c>
      <c r="E516" s="253">
        <v>12.5262813568115</v>
      </c>
      <c r="F516" s="253">
        <v>11.260459899902299</v>
      </c>
      <c r="G516" s="253">
        <v>10.814398765564</v>
      </c>
      <c r="H516" s="253">
        <v>10.6458578109741</v>
      </c>
      <c r="I516" s="253">
        <v>10.453662872314499</v>
      </c>
      <c r="J516" s="253">
        <v>10.443992614746101</v>
      </c>
      <c r="K516" s="253">
        <v>10.420529365539601</v>
      </c>
      <c r="L516" s="253">
        <v>10.4911556243896</v>
      </c>
      <c r="M516" s="253">
        <v>10.5971431732178</v>
      </c>
      <c r="N516" s="253">
        <v>10.650529861450201</v>
      </c>
      <c r="O516" s="253">
        <v>10.7566242218018</v>
      </c>
      <c r="P516" s="253">
        <v>10.8697347640991</v>
      </c>
      <c r="Q516" s="253">
        <v>10.955939292907701</v>
      </c>
      <c r="R516" s="253">
        <v>11.0780487060547</v>
      </c>
      <c r="S516" s="253">
        <v>11.222780227661101</v>
      </c>
      <c r="T516" s="253">
        <v>11.364427566528301</v>
      </c>
      <c r="U516" s="253">
        <v>11.5109758377075</v>
      </c>
      <c r="V516" s="253">
        <v>11.6184797286987</v>
      </c>
      <c r="W516" s="253">
        <v>11.7467203140259</v>
      </c>
      <c r="X516" s="253">
        <v>11.8437652587891</v>
      </c>
      <c r="Y516" s="253">
        <v>11.9311771392822</v>
      </c>
    </row>
    <row r="517" spans="1:26" x14ac:dyDescent="0.25">
      <c r="A517" s="249" t="s">
        <v>476</v>
      </c>
      <c r="B517" s="253">
        <v>8.3698368072509801</v>
      </c>
      <c r="C517" s="253">
        <v>9.5702075958252006</v>
      </c>
      <c r="D517" s="253">
        <v>10.537187576293899</v>
      </c>
      <c r="E517" s="253">
        <v>10.120927810668899</v>
      </c>
      <c r="F517" s="253">
        <v>9.0704116821289098</v>
      </c>
      <c r="G517" s="253">
        <v>8.6811342239379901</v>
      </c>
      <c r="H517" s="253">
        <v>8.4951152801513707</v>
      </c>
      <c r="I517" s="253">
        <v>8.3145399093627894</v>
      </c>
      <c r="J517" s="253">
        <v>8.2864685058593803</v>
      </c>
      <c r="K517" s="253">
        <v>8.2537784576415998</v>
      </c>
      <c r="L517" s="253">
        <v>8.2966070175170898</v>
      </c>
      <c r="M517" s="253">
        <v>8.3739995956420898</v>
      </c>
      <c r="N517" s="253">
        <v>8.4385089874267596</v>
      </c>
      <c r="O517" s="253">
        <v>8.4884243011474592</v>
      </c>
      <c r="P517" s="253">
        <v>8.5346355438232404</v>
      </c>
      <c r="Q517" s="253">
        <v>8.5863618850708008</v>
      </c>
      <c r="R517" s="253">
        <v>8.7058753967285192</v>
      </c>
      <c r="S517" s="253">
        <v>8.7835302352905291</v>
      </c>
      <c r="T517" s="253">
        <v>8.8462095260620099</v>
      </c>
      <c r="U517" s="253">
        <v>8.9105930328369105</v>
      </c>
      <c r="V517" s="253">
        <v>8.9716310501098597</v>
      </c>
      <c r="W517" s="253">
        <v>9.0270709991455096</v>
      </c>
      <c r="X517" s="253">
        <v>9.0740833282470703</v>
      </c>
      <c r="Y517" s="253">
        <v>9.1169166564941406</v>
      </c>
    </row>
    <row r="518" spans="1:26" x14ac:dyDescent="0.25">
      <c r="A518" s="249" t="s">
        <v>477</v>
      </c>
      <c r="B518" s="253">
        <v>12.976583480835</v>
      </c>
      <c r="C518" s="253">
        <v>14.582922935485801</v>
      </c>
      <c r="D518" s="253">
        <v>17.5701904296875</v>
      </c>
      <c r="E518" s="253">
        <v>17.073207855224599</v>
      </c>
      <c r="F518" s="253">
        <v>15.3619232177734</v>
      </c>
      <c r="G518" s="253">
        <v>14.740796089172401</v>
      </c>
      <c r="H518" s="253">
        <v>14.555371284484901</v>
      </c>
      <c r="I518" s="253">
        <v>14.281338691711399</v>
      </c>
      <c r="J518" s="253">
        <v>14.253823280334499</v>
      </c>
      <c r="K518" s="253">
        <v>14.190848350524901</v>
      </c>
      <c r="L518" s="253">
        <v>14.252662658691399</v>
      </c>
      <c r="M518" s="253">
        <v>14.348473548889199</v>
      </c>
      <c r="N518" s="253">
        <v>14.316626548767101</v>
      </c>
      <c r="O518" s="253">
        <v>14.447472572326699</v>
      </c>
      <c r="P518" s="253">
        <v>14.6025552749634</v>
      </c>
      <c r="Q518" s="253">
        <v>14.6705665588379</v>
      </c>
      <c r="R518" s="253">
        <v>14.712552070617701</v>
      </c>
      <c r="S518" s="253">
        <v>14.8757133483887</v>
      </c>
      <c r="T518" s="253">
        <v>15.056845664978001</v>
      </c>
      <c r="U518" s="253">
        <v>15.2477731704712</v>
      </c>
      <c r="V518" s="253">
        <v>15.3445425033569</v>
      </c>
      <c r="W518" s="253">
        <v>15.4947566986084</v>
      </c>
      <c r="X518" s="253">
        <v>15.580441474914601</v>
      </c>
      <c r="Y518" s="253">
        <v>15.645468711853001</v>
      </c>
    </row>
    <row r="519" spans="1:26" x14ac:dyDescent="0.25">
      <c r="A519" s="249" t="s">
        <v>478</v>
      </c>
      <c r="B519" s="253">
        <v>7.8179483413696298</v>
      </c>
      <c r="C519" s="253">
        <v>9.2187824249267596</v>
      </c>
      <c r="D519" s="253">
        <v>9.9373922348022496</v>
      </c>
      <c r="E519" s="253">
        <v>10.0359506607056</v>
      </c>
      <c r="F519" s="253">
        <v>9.3121318817138707</v>
      </c>
      <c r="G519" s="253">
        <v>8.7750911712646502</v>
      </c>
      <c r="H519" s="253">
        <v>8.2899227142334002</v>
      </c>
      <c r="I519" s="253">
        <v>8.0357856750488299</v>
      </c>
      <c r="J519" s="253">
        <v>7.7935147285461399</v>
      </c>
      <c r="K519" s="253">
        <v>7.6957306861877397</v>
      </c>
      <c r="L519" s="253">
        <v>7.7737927436828604</v>
      </c>
      <c r="M519" s="253">
        <v>7.89709520339966</v>
      </c>
      <c r="N519" s="253">
        <v>8.0722961425781303</v>
      </c>
      <c r="O519" s="253">
        <v>8.21258449554443</v>
      </c>
      <c r="P519" s="253">
        <v>8.1957035064697301</v>
      </c>
      <c r="Q519" s="253">
        <v>8.2030982971191406</v>
      </c>
      <c r="R519" s="253">
        <v>8.3247480392456108</v>
      </c>
      <c r="S519" s="253">
        <v>8.5131444931030291</v>
      </c>
      <c r="T519" s="253">
        <v>8.6595201492309606</v>
      </c>
      <c r="U519" s="253">
        <v>8.7975921630859393</v>
      </c>
      <c r="V519" s="253">
        <v>8.8660669326782209</v>
      </c>
      <c r="W519" s="253">
        <v>8.8930187225341797</v>
      </c>
      <c r="X519" s="253">
        <v>8.9751634597778303</v>
      </c>
      <c r="Y519" s="253">
        <v>9.0651559829711896</v>
      </c>
    </row>
    <row r="520" spans="1:26" x14ac:dyDescent="0.25">
      <c r="A520" s="249" t="s">
        <v>479</v>
      </c>
      <c r="B520" s="253">
        <v>25.222642898559599</v>
      </c>
      <c r="C520" s="253">
        <v>25.415189743041999</v>
      </c>
      <c r="D520" s="253">
        <v>25.1893119812012</v>
      </c>
      <c r="E520" s="253">
        <v>25.147850036621101</v>
      </c>
      <c r="F520" s="253">
        <v>24.3894958496094</v>
      </c>
      <c r="G520" s="253">
        <v>23.460399627685501</v>
      </c>
      <c r="H520" s="253">
        <v>22.990982055664102</v>
      </c>
      <c r="I520" s="253">
        <v>23.018142700195298</v>
      </c>
      <c r="J520" s="253">
        <v>22.960025787353501</v>
      </c>
      <c r="K520" s="253">
        <v>22.974227905273398</v>
      </c>
      <c r="L520" s="253">
        <v>23.1215305328369</v>
      </c>
      <c r="M520" s="253">
        <v>23.312740325927699</v>
      </c>
      <c r="N520" s="253">
        <v>23.5714206695557</v>
      </c>
      <c r="O520" s="253">
        <v>23.632020950317401</v>
      </c>
      <c r="P520" s="253">
        <v>23.589054107666001</v>
      </c>
      <c r="Q520" s="253">
        <v>23.650138854980501</v>
      </c>
      <c r="R520" s="253">
        <v>23.8146667480469</v>
      </c>
      <c r="S520" s="253">
        <v>24.0346794128418</v>
      </c>
      <c r="T520" s="253">
        <v>24.122148513793899</v>
      </c>
      <c r="U520" s="253">
        <v>24.230636596679702</v>
      </c>
      <c r="V520" s="253">
        <v>24.181154251098601</v>
      </c>
      <c r="W520" s="253">
        <v>24.130558013916001</v>
      </c>
      <c r="X520" s="253">
        <v>24.148235321044901</v>
      </c>
      <c r="Y520" s="253">
        <v>24.238166809081999</v>
      </c>
    </row>
    <row r="521" spans="1:26" x14ac:dyDescent="0.25">
      <c r="A521" s="249" t="s">
        <v>440</v>
      </c>
      <c r="B521" s="253" t="s">
        <v>440</v>
      </c>
      <c r="C521" s="253" t="s">
        <v>440</v>
      </c>
      <c r="D521" s="253" t="s">
        <v>440</v>
      </c>
      <c r="E521" s="253" t="s">
        <v>440</v>
      </c>
      <c r="F521" s="253" t="s">
        <v>440</v>
      </c>
      <c r="G521" s="253" t="s">
        <v>440</v>
      </c>
      <c r="H521" s="253" t="s">
        <v>440</v>
      </c>
      <c r="I521" s="253" t="s">
        <v>440</v>
      </c>
      <c r="J521" s="253" t="s">
        <v>440</v>
      </c>
      <c r="K521" s="253" t="s">
        <v>440</v>
      </c>
      <c r="L521" s="253" t="s">
        <v>440</v>
      </c>
      <c r="M521" s="253" t="s">
        <v>440</v>
      </c>
      <c r="N521" s="253" t="s">
        <v>440</v>
      </c>
      <c r="O521" s="253" t="s">
        <v>440</v>
      </c>
      <c r="P521" s="253" t="s">
        <v>440</v>
      </c>
      <c r="Q521" s="253" t="s">
        <v>440</v>
      </c>
      <c r="R521" s="253" t="s">
        <v>440</v>
      </c>
      <c r="S521" s="253" t="s">
        <v>440</v>
      </c>
      <c r="T521" s="253" t="s">
        <v>440</v>
      </c>
      <c r="U521" s="253" t="s">
        <v>440</v>
      </c>
      <c r="V521" s="253" t="s">
        <v>440</v>
      </c>
      <c r="W521" s="253" t="s">
        <v>440</v>
      </c>
      <c r="X521" s="253" t="s">
        <v>440</v>
      </c>
      <c r="Y521" s="253" t="s">
        <v>440</v>
      </c>
    </row>
    <row r="522" spans="1:26" x14ac:dyDescent="0.25">
      <c r="A522" s="249" t="s">
        <v>480</v>
      </c>
      <c r="B522" s="253">
        <v>15.064169883728001</v>
      </c>
      <c r="C522" s="253">
        <v>15.629265785217299</v>
      </c>
      <c r="D522" s="253">
        <v>15.835299491882299</v>
      </c>
      <c r="E522" s="253">
        <v>15.918291091918899</v>
      </c>
      <c r="F522" s="253">
        <v>15.0829524993896</v>
      </c>
      <c r="G522" s="253">
        <v>14.3196773529053</v>
      </c>
      <c r="H522" s="253">
        <v>13.910519599914601</v>
      </c>
      <c r="I522" s="253">
        <v>13.8424997329712</v>
      </c>
      <c r="J522" s="253">
        <v>13.762632369995099</v>
      </c>
      <c r="K522" s="253">
        <v>13.8186712265015</v>
      </c>
      <c r="L522" s="253">
        <v>14.058515548706101</v>
      </c>
      <c r="M522" s="253">
        <v>14.316973686218301</v>
      </c>
      <c r="N522" s="253">
        <v>14.661353111267101</v>
      </c>
      <c r="O522" s="253">
        <v>14.869439125061</v>
      </c>
      <c r="P522" s="253">
        <v>14.9301090240479</v>
      </c>
      <c r="Q522" s="253">
        <v>15.044508934021</v>
      </c>
      <c r="R522" s="253">
        <v>15.2485342025757</v>
      </c>
      <c r="S522" s="253">
        <v>15.517853736877401</v>
      </c>
      <c r="T522" s="253">
        <v>15.7009220123291</v>
      </c>
      <c r="U522" s="253">
        <v>15.889198303222701</v>
      </c>
      <c r="V522" s="253">
        <v>15.933961868286101</v>
      </c>
      <c r="W522" s="253">
        <v>15.975202560424799</v>
      </c>
      <c r="X522" s="253">
        <v>16.0630493164063</v>
      </c>
      <c r="Y522" s="253">
        <v>16.195989608764599</v>
      </c>
    </row>
    <row r="523" spans="1:26" x14ac:dyDescent="0.25">
      <c r="A523" s="249" t="s">
        <v>474</v>
      </c>
      <c r="B523" s="253">
        <v>6.5697088241577104</v>
      </c>
      <c r="C523" s="253">
        <v>7.9157042503356898</v>
      </c>
      <c r="D523" s="253">
        <v>8.3734645843505895</v>
      </c>
      <c r="E523" s="253">
        <v>8.3683490753173793</v>
      </c>
      <c r="F523" s="253">
        <v>7.7444124221801802</v>
      </c>
      <c r="G523" s="253">
        <v>7.3380589485168501</v>
      </c>
      <c r="H523" s="253">
        <v>7.0368156433105504</v>
      </c>
      <c r="I523" s="253">
        <v>6.9020848274231001</v>
      </c>
      <c r="J523" s="253">
        <v>6.8100509643554696</v>
      </c>
      <c r="K523" s="253">
        <v>6.84179735183716</v>
      </c>
      <c r="L523" s="253">
        <v>6.8974781036376998</v>
      </c>
      <c r="M523" s="253">
        <v>6.9808845520019496</v>
      </c>
      <c r="N523" s="253">
        <v>7.1057710647582999</v>
      </c>
      <c r="O523" s="253">
        <v>7.20139837265015</v>
      </c>
      <c r="P523" s="253">
        <v>7.18692874908447</v>
      </c>
      <c r="Q523" s="253">
        <v>7.1932849884033203</v>
      </c>
      <c r="R523" s="253">
        <v>7.2944316864013699</v>
      </c>
      <c r="S523" s="253">
        <v>7.4377117156982404</v>
      </c>
      <c r="T523" s="253">
        <v>7.5399260520935103</v>
      </c>
      <c r="U523" s="253">
        <v>7.6392593383789098</v>
      </c>
      <c r="V523" s="253">
        <v>7.6873850822448704</v>
      </c>
      <c r="W523" s="253">
        <v>7.6958703994751003</v>
      </c>
      <c r="X523" s="253">
        <v>7.7559337615966797</v>
      </c>
      <c r="Y523" s="253">
        <v>7.8220491409301802</v>
      </c>
    </row>
    <row r="524" spans="1:26" x14ac:dyDescent="0.25">
      <c r="A524" s="249" t="s">
        <v>475</v>
      </c>
      <c r="B524" s="253">
        <v>6.9482707977294904</v>
      </c>
      <c r="C524" s="253">
        <v>8.0266513824462908</v>
      </c>
      <c r="D524" s="253">
        <v>8.9197750091552699</v>
      </c>
      <c r="E524" s="253">
        <v>8.6532449722290004</v>
      </c>
      <c r="F524" s="253">
        <v>7.9109911918640101</v>
      </c>
      <c r="G524" s="253">
        <v>7.48618364334106</v>
      </c>
      <c r="H524" s="253">
        <v>7.32971286773682</v>
      </c>
      <c r="I524" s="253">
        <v>7.1282916069030797</v>
      </c>
      <c r="J524" s="253">
        <v>7.1344366073608398</v>
      </c>
      <c r="K524" s="253">
        <v>7.2035880088806197</v>
      </c>
      <c r="L524" s="253">
        <v>7.21549415588379</v>
      </c>
      <c r="M524" s="253">
        <v>7.2433881759643599</v>
      </c>
      <c r="N524" s="253">
        <v>7.2548027038574201</v>
      </c>
      <c r="O524" s="253">
        <v>7.2826437950134304</v>
      </c>
      <c r="P524" s="253">
        <v>7.3254833221435502</v>
      </c>
      <c r="Q524" s="253">
        <v>7.3667011260986301</v>
      </c>
      <c r="R524" s="253">
        <v>7.4382300376892099</v>
      </c>
      <c r="S524" s="253">
        <v>7.5099358558654803</v>
      </c>
      <c r="T524" s="253">
        <v>7.5474686622619602</v>
      </c>
      <c r="U524" s="253">
        <v>7.6315479278564498</v>
      </c>
      <c r="V524" s="253">
        <v>7.69354152679443</v>
      </c>
      <c r="W524" s="253">
        <v>7.7161302566528303</v>
      </c>
      <c r="X524" s="253">
        <v>7.7569241523742702</v>
      </c>
      <c r="Y524" s="253">
        <v>7.8363184928893999</v>
      </c>
    </row>
    <row r="525" spans="1:26" x14ac:dyDescent="0.25">
      <c r="A525" s="249" t="s">
        <v>476</v>
      </c>
      <c r="B525" s="253">
        <v>6.1493649482727104</v>
      </c>
      <c r="C525" s="253">
        <v>7.03082323074341</v>
      </c>
      <c r="D525" s="253">
        <v>7.7272844314575204</v>
      </c>
      <c r="E525" s="253">
        <v>7.4210705757141104</v>
      </c>
      <c r="F525" s="253">
        <v>6.8826036453247097</v>
      </c>
      <c r="G525" s="253">
        <v>6.5409913063049299</v>
      </c>
      <c r="H525" s="253">
        <v>6.4167842864990199</v>
      </c>
      <c r="I525" s="253">
        <v>6.2535924911498997</v>
      </c>
      <c r="J525" s="253">
        <v>6.2965154647827104</v>
      </c>
      <c r="K525" s="253">
        <v>6.4007697105407697</v>
      </c>
      <c r="L525" s="253">
        <v>6.4218788146972701</v>
      </c>
      <c r="M525" s="253">
        <v>6.4483299255371103</v>
      </c>
      <c r="N525" s="253">
        <v>6.4679012298584002</v>
      </c>
      <c r="O525" s="253">
        <v>6.4912290573120099</v>
      </c>
      <c r="P525" s="253">
        <v>6.52826023101807</v>
      </c>
      <c r="Q525" s="253">
        <v>6.5738272666931197</v>
      </c>
      <c r="R525" s="253">
        <v>6.6604804992675799</v>
      </c>
      <c r="S525" s="253">
        <v>6.7330570220947301</v>
      </c>
      <c r="T525" s="253">
        <v>6.75683689117432</v>
      </c>
      <c r="U525" s="253">
        <v>6.8434348106384304</v>
      </c>
      <c r="V525" s="253">
        <v>6.9099073410034197</v>
      </c>
      <c r="W525" s="253">
        <v>6.9186587333679199</v>
      </c>
      <c r="X525" s="253">
        <v>6.9633812904357901</v>
      </c>
      <c r="Y525" s="253">
        <v>7.0585165023803702</v>
      </c>
    </row>
    <row r="526" spans="1:26" x14ac:dyDescent="0.25">
      <c r="A526" s="249" t="s">
        <v>481</v>
      </c>
      <c r="B526" s="253">
        <v>4.2683343887329102</v>
      </c>
      <c r="C526" s="253">
        <v>4.9646224975585902</v>
      </c>
      <c r="D526" s="253">
        <v>5.0606441497802699</v>
      </c>
      <c r="E526" s="253">
        <v>5.3499689102172896</v>
      </c>
      <c r="F526" s="253">
        <v>5.0606269836425799</v>
      </c>
      <c r="G526" s="253">
        <v>4.6454811096191397</v>
      </c>
      <c r="H526" s="253">
        <v>4.44089698791504</v>
      </c>
      <c r="I526" s="253">
        <v>4.3064308166503897</v>
      </c>
      <c r="J526" s="253">
        <v>4.2577414512634304</v>
      </c>
      <c r="K526" s="253">
        <v>4.3118896484375</v>
      </c>
      <c r="L526" s="253">
        <v>4.3638815879821804</v>
      </c>
      <c r="M526" s="253">
        <v>4.4166550636291504</v>
      </c>
      <c r="N526" s="253">
        <v>4.4711151123046902</v>
      </c>
      <c r="O526" s="253">
        <v>4.5238728523254403</v>
      </c>
      <c r="P526" s="253">
        <v>4.5756058692932102</v>
      </c>
      <c r="Q526" s="253">
        <v>4.6275658607482901</v>
      </c>
      <c r="R526" s="253">
        <v>4.6890521049499503</v>
      </c>
      <c r="S526" s="253">
        <v>4.7516570091247603</v>
      </c>
      <c r="T526" s="253">
        <v>4.8052668571472203</v>
      </c>
      <c r="U526" s="253">
        <v>4.8599562644958496</v>
      </c>
      <c r="V526" s="253">
        <v>4.9139251708984402</v>
      </c>
      <c r="W526" s="253">
        <v>4.9674754142761204</v>
      </c>
      <c r="X526" s="253">
        <v>5.0218071937561</v>
      </c>
      <c r="Y526" s="253">
        <v>5.0773591995239302</v>
      </c>
    </row>
    <row r="527" spans="1:26" x14ac:dyDescent="0.25">
      <c r="A527" s="274" t="s">
        <v>478</v>
      </c>
      <c r="B527" s="253">
        <v>6.6170339584350604</v>
      </c>
      <c r="C527" s="253">
        <v>8.0769119262695295</v>
      </c>
      <c r="D527" s="253">
        <v>8.4474086761474592</v>
      </c>
      <c r="E527" s="253">
        <v>8.5042705535888707</v>
      </c>
      <c r="F527" s="253">
        <v>7.8856530189514196</v>
      </c>
      <c r="G527" s="253">
        <v>7.4673976898193404</v>
      </c>
      <c r="H527" s="253">
        <v>7.1177520751953098</v>
      </c>
      <c r="I527" s="253">
        <v>6.9923906326293901</v>
      </c>
      <c r="J527" s="253">
        <v>6.8716683387756303</v>
      </c>
      <c r="K527" s="253">
        <v>6.8934268951415998</v>
      </c>
      <c r="L527" s="253">
        <v>6.9598770141601598</v>
      </c>
      <c r="M527" s="253">
        <v>7.0576272010803196</v>
      </c>
      <c r="N527" s="253">
        <v>7.21203565597534</v>
      </c>
      <c r="O527" s="253">
        <v>7.32529544830322</v>
      </c>
      <c r="P527" s="253">
        <v>7.2944836616516104</v>
      </c>
      <c r="Q527" s="253">
        <v>7.2903637886047399</v>
      </c>
      <c r="R527" s="253">
        <v>7.3995337486267099</v>
      </c>
      <c r="S527" s="253">
        <v>7.56237888336182</v>
      </c>
      <c r="T527" s="253">
        <v>7.6814393997192401</v>
      </c>
      <c r="U527" s="253">
        <v>7.78521823883057</v>
      </c>
      <c r="V527" s="253">
        <v>7.8287162780761701</v>
      </c>
      <c r="W527" s="253">
        <v>7.8313083648681596</v>
      </c>
      <c r="X527" s="253">
        <v>7.8953433036804199</v>
      </c>
      <c r="Y527" s="253">
        <v>7.9576945304870597</v>
      </c>
      <c r="Z527" s="283">
        <f>Y527+($AI$357-$Y$527)/10</f>
        <v>8.0099991534203383</v>
      </c>
    </row>
    <row r="528" spans="1:26" x14ac:dyDescent="0.25">
      <c r="A528" s="276" t="s">
        <v>479</v>
      </c>
      <c r="B528" s="253">
        <v>23.353584289550799</v>
      </c>
      <c r="C528" s="253">
        <v>23.2374382019043</v>
      </c>
      <c r="D528" s="253">
        <v>23.0415229797363</v>
      </c>
      <c r="E528" s="253">
        <v>22.938554763793899</v>
      </c>
      <c r="F528" s="253">
        <v>21.8424968719482</v>
      </c>
      <c r="G528" s="253">
        <v>20.6924953460693</v>
      </c>
      <c r="H528" s="253">
        <v>20.1292018890381</v>
      </c>
      <c r="I528" s="253">
        <v>20.063879013061499</v>
      </c>
      <c r="J528" s="253">
        <v>19.9343872070313</v>
      </c>
      <c r="K528" s="253">
        <v>19.938108444213899</v>
      </c>
      <c r="L528" s="253">
        <v>20.262083053588899</v>
      </c>
      <c r="M528" s="253">
        <v>20.589830398559599</v>
      </c>
      <c r="N528" s="253">
        <v>21.038742065429702</v>
      </c>
      <c r="O528" s="253">
        <v>21.2544975280762</v>
      </c>
      <c r="P528" s="253">
        <v>21.300868988037099</v>
      </c>
      <c r="Q528" s="253">
        <v>21.4323215484619</v>
      </c>
      <c r="R528" s="253">
        <v>21.647081375122099</v>
      </c>
      <c r="S528" s="253">
        <v>21.937980651855501</v>
      </c>
      <c r="T528" s="253">
        <v>22.104045867919901</v>
      </c>
      <c r="U528" s="253">
        <v>22.281753540039102</v>
      </c>
      <c r="V528" s="253">
        <v>22.24875831604</v>
      </c>
      <c r="W528" s="253">
        <v>22.2471523284912</v>
      </c>
      <c r="X528" s="253">
        <v>22.287950515747099</v>
      </c>
      <c r="Y528" s="253">
        <v>22.4030246734619</v>
      </c>
      <c r="Z528" s="285">
        <f>Y528+($AI$358-$Y$528)/10</f>
        <v>22.313820934181763</v>
      </c>
    </row>
    <row r="529" spans="1:71" x14ac:dyDescent="0.25">
      <c r="A529" s="249" t="s">
        <v>440</v>
      </c>
      <c r="B529" s="253" t="s">
        <v>440</v>
      </c>
      <c r="C529" s="253" t="s">
        <v>440</v>
      </c>
      <c r="D529" s="253" t="s">
        <v>440</v>
      </c>
      <c r="E529" s="253" t="s">
        <v>440</v>
      </c>
      <c r="F529" s="253" t="s">
        <v>440</v>
      </c>
      <c r="G529" s="253" t="s">
        <v>440</v>
      </c>
      <c r="H529" s="253" t="s">
        <v>440</v>
      </c>
      <c r="I529" s="253" t="s">
        <v>440</v>
      </c>
      <c r="J529" s="253" t="s">
        <v>440</v>
      </c>
      <c r="K529" s="253" t="s">
        <v>440</v>
      </c>
      <c r="L529" s="253" t="s">
        <v>440</v>
      </c>
      <c r="M529" s="253" t="s">
        <v>440</v>
      </c>
      <c r="N529" s="253" t="s">
        <v>440</v>
      </c>
      <c r="O529" s="253" t="s">
        <v>440</v>
      </c>
      <c r="P529" s="253" t="s">
        <v>440</v>
      </c>
      <c r="Q529" s="253" t="s">
        <v>440</v>
      </c>
      <c r="R529" s="253" t="s">
        <v>440</v>
      </c>
      <c r="S529" s="253" t="s">
        <v>440</v>
      </c>
      <c r="T529" s="253" t="s">
        <v>440</v>
      </c>
      <c r="U529" s="253" t="s">
        <v>440</v>
      </c>
      <c r="V529" s="253" t="s">
        <v>440</v>
      </c>
      <c r="W529" s="253" t="s">
        <v>440</v>
      </c>
      <c r="X529" s="253" t="s">
        <v>440</v>
      </c>
      <c r="Y529" s="253" t="s">
        <v>440</v>
      </c>
    </row>
    <row r="530" spans="1:71" ht="13" thickBot="1" x14ac:dyDescent="0.3">
      <c r="A530" s="249" t="s">
        <v>482</v>
      </c>
      <c r="B530" s="253">
        <v>6.3922061920165998</v>
      </c>
      <c r="C530" s="253">
        <v>7.7839651107788104</v>
      </c>
      <c r="D530" s="253">
        <v>8.7301359176635707</v>
      </c>
      <c r="E530" s="253">
        <v>8.5276689529418892</v>
      </c>
      <c r="F530" s="253">
        <v>7.7321057319641104</v>
      </c>
      <c r="G530" s="253">
        <v>7.2916359901428196</v>
      </c>
      <c r="H530" s="253">
        <v>7.0938224792480504</v>
      </c>
      <c r="I530" s="253">
        <v>6.9649901390075701</v>
      </c>
      <c r="J530" s="253">
        <v>6.8520793914794904</v>
      </c>
      <c r="K530" s="253">
        <v>6.8315567970275897</v>
      </c>
      <c r="L530" s="253">
        <v>6.8953166007995597</v>
      </c>
      <c r="M530" s="253">
        <v>6.99013376235962</v>
      </c>
      <c r="N530" s="253">
        <v>7.1103782653808603</v>
      </c>
      <c r="O530" s="253">
        <v>7.2379879951477104</v>
      </c>
      <c r="P530" s="253">
        <v>7.276611328125</v>
      </c>
      <c r="Q530" s="253">
        <v>7.3343372344970703</v>
      </c>
      <c r="R530" s="253">
        <v>7.4634890556335396</v>
      </c>
      <c r="S530" s="253">
        <v>7.6215224266052202</v>
      </c>
      <c r="T530" s="253">
        <v>7.7529444694518999</v>
      </c>
      <c r="U530" s="253">
        <v>7.8803434371948198</v>
      </c>
      <c r="V530" s="253">
        <v>7.9471721649169904</v>
      </c>
      <c r="W530" s="253">
        <v>7.99715328216553</v>
      </c>
      <c r="X530" s="253">
        <v>8.05676174163818</v>
      </c>
      <c r="Y530" s="253">
        <v>8.1260271072387695</v>
      </c>
    </row>
    <row r="531" spans="1:71" ht="13" thickBot="1" x14ac:dyDescent="0.3">
      <c r="A531" s="249" t="s">
        <v>483</v>
      </c>
      <c r="B531" s="253">
        <v>4.9298634529113796</v>
      </c>
      <c r="C531" s="253">
        <v>6.4939708709716797</v>
      </c>
      <c r="D531" s="253">
        <v>7.4592456817626998</v>
      </c>
      <c r="E531" s="253">
        <v>7.2321572303771999</v>
      </c>
      <c r="F531" s="253">
        <v>6.3973078727722203</v>
      </c>
      <c r="G531" s="253">
        <v>5.9808039665222203</v>
      </c>
      <c r="H531" s="253">
        <v>5.7940292358398402</v>
      </c>
      <c r="I531" s="253">
        <v>5.64864206314087</v>
      </c>
      <c r="J531" s="253">
        <v>5.54791307449341</v>
      </c>
      <c r="K531" s="253">
        <v>5.5448842048645002</v>
      </c>
      <c r="L531" s="253">
        <v>5.5862631797790501</v>
      </c>
      <c r="M531" s="253">
        <v>5.6484580039978001</v>
      </c>
      <c r="N531" s="253">
        <v>5.7157526016235396</v>
      </c>
      <c r="O531" s="253">
        <v>5.8273496627807599</v>
      </c>
      <c r="P531" s="253">
        <v>5.8644676208496103</v>
      </c>
      <c r="Q531" s="253">
        <v>5.9049983024597203</v>
      </c>
      <c r="R531" s="253">
        <v>6.0105843544006303</v>
      </c>
      <c r="S531" s="253">
        <v>6.1420850753784197</v>
      </c>
      <c r="T531" s="253">
        <v>6.2661328315734899</v>
      </c>
      <c r="U531" s="253">
        <v>6.3902029991149902</v>
      </c>
      <c r="V531" s="253">
        <v>6.4639844894409197</v>
      </c>
      <c r="W531" s="253">
        <v>6.5222811698913601</v>
      </c>
      <c r="X531" s="253">
        <v>6.5781168937683097</v>
      </c>
      <c r="Y531" s="253">
        <v>6.6401424407959002</v>
      </c>
      <c r="AA531" s="296">
        <f>Z701+($AI$531-$Y$701)/10</f>
        <v>1.6707610713595051</v>
      </c>
      <c r="AB531" s="296">
        <f t="shared" ref="AB531:AH531" si="75">AA531+($AI$531-$Y$701)/10</f>
        <v>1.7872284374395671</v>
      </c>
      <c r="AC531" s="296">
        <f t="shared" si="75"/>
        <v>1.903695803519629</v>
      </c>
      <c r="AD531" s="296">
        <f t="shared" si="75"/>
        <v>2.0201631695996909</v>
      </c>
      <c r="AE531" s="296">
        <f t="shared" si="75"/>
        <v>2.1366305356797528</v>
      </c>
      <c r="AF531" s="296">
        <f t="shared" si="75"/>
        <v>2.2530979017598147</v>
      </c>
      <c r="AG531" s="296">
        <f t="shared" si="75"/>
        <v>2.3695652678398766</v>
      </c>
      <c r="AH531" s="296">
        <f t="shared" si="75"/>
        <v>2.4860326339199386</v>
      </c>
      <c r="AI531" s="301">
        <v>2.6025</v>
      </c>
      <c r="AJ531" s="296">
        <f>AI531+($BM$531-$AI$531)/30</f>
        <v>2.6824166666666667</v>
      </c>
      <c r="AK531" s="296">
        <f t="shared" ref="AK531:BR531" si="76">AJ531+($BM$531-$AI$531)/30</f>
        <v>2.7623333333333333</v>
      </c>
      <c r="AL531" s="296">
        <f t="shared" si="76"/>
        <v>2.8422499999999999</v>
      </c>
      <c r="AM531" s="296">
        <f t="shared" si="76"/>
        <v>2.9221666666666666</v>
      </c>
      <c r="AN531" s="296">
        <f t="shared" si="76"/>
        <v>3.0020833333333332</v>
      </c>
      <c r="AO531" s="296">
        <f t="shared" si="76"/>
        <v>3.0819999999999999</v>
      </c>
      <c r="AP531" s="296">
        <f t="shared" si="76"/>
        <v>3.1619166666666665</v>
      </c>
      <c r="AQ531" s="296">
        <f t="shared" si="76"/>
        <v>3.2418333333333331</v>
      </c>
      <c r="AR531" s="296">
        <f t="shared" si="76"/>
        <v>3.3217499999999998</v>
      </c>
      <c r="AS531" s="296">
        <f t="shared" si="76"/>
        <v>3.4016666666666664</v>
      </c>
      <c r="AT531" s="296">
        <f t="shared" si="76"/>
        <v>3.481583333333333</v>
      </c>
      <c r="AU531" s="296">
        <f t="shared" si="76"/>
        <v>3.5614999999999997</v>
      </c>
      <c r="AV531" s="296">
        <f t="shared" si="76"/>
        <v>3.6414166666666663</v>
      </c>
      <c r="AW531" s="296">
        <f t="shared" si="76"/>
        <v>3.7213333333333329</v>
      </c>
      <c r="AX531" s="296">
        <f t="shared" si="76"/>
        <v>3.8012499999999996</v>
      </c>
      <c r="AY531" s="296">
        <f t="shared" si="76"/>
        <v>3.8811666666666662</v>
      </c>
      <c r="AZ531" s="296">
        <f t="shared" si="76"/>
        <v>3.9610833333333328</v>
      </c>
      <c r="BA531" s="296">
        <f t="shared" si="76"/>
        <v>4.0409999999999995</v>
      </c>
      <c r="BB531" s="296">
        <f t="shared" si="76"/>
        <v>4.1209166666666661</v>
      </c>
      <c r="BC531" s="296">
        <f t="shared" si="76"/>
        <v>4.2008333333333328</v>
      </c>
      <c r="BD531" s="296">
        <f t="shared" si="76"/>
        <v>4.2807499999999994</v>
      </c>
      <c r="BE531" s="296">
        <f t="shared" si="76"/>
        <v>4.360666666666666</v>
      </c>
      <c r="BF531" s="296">
        <f t="shared" si="76"/>
        <v>4.4405833333333327</v>
      </c>
      <c r="BG531" s="296">
        <f t="shared" si="76"/>
        <v>4.5204999999999993</v>
      </c>
      <c r="BH531" s="296">
        <f t="shared" si="76"/>
        <v>4.6004166666666659</v>
      </c>
      <c r="BI531" s="296">
        <f t="shared" si="76"/>
        <v>4.6803333333333326</v>
      </c>
      <c r="BJ531" s="296">
        <f t="shared" si="76"/>
        <v>4.7602499999999992</v>
      </c>
      <c r="BK531" s="296">
        <f t="shared" si="76"/>
        <v>4.8401666666666658</v>
      </c>
      <c r="BL531" s="296">
        <f t="shared" si="76"/>
        <v>4.9200833333333325</v>
      </c>
      <c r="BM531" s="299">
        <v>5</v>
      </c>
      <c r="BN531" s="296">
        <f t="shared" si="76"/>
        <v>5.0799166666666666</v>
      </c>
      <c r="BO531" s="296">
        <f t="shared" si="76"/>
        <v>5.1598333333333333</v>
      </c>
      <c r="BP531" s="296">
        <f t="shared" si="76"/>
        <v>5.2397499999999999</v>
      </c>
      <c r="BQ531" s="296">
        <f t="shared" si="76"/>
        <v>5.3196666666666665</v>
      </c>
      <c r="BR531" s="296">
        <f t="shared" si="76"/>
        <v>5.3995833333333332</v>
      </c>
    </row>
    <row r="532" spans="1:71" x14ac:dyDescent="0.25">
      <c r="A532" s="249" t="s">
        <v>475</v>
      </c>
      <c r="B532" s="253">
        <v>6.5291514396667498</v>
      </c>
      <c r="C532" s="253">
        <v>8.2850980758666992</v>
      </c>
      <c r="D532" s="253">
        <v>9.8001232147216797</v>
      </c>
      <c r="E532" s="253">
        <v>9.3072748184204102</v>
      </c>
      <c r="F532" s="253">
        <v>8.1255960464477504</v>
      </c>
      <c r="G532" s="253">
        <v>7.6394152641296396</v>
      </c>
      <c r="H532" s="253">
        <v>7.5353851318359402</v>
      </c>
      <c r="I532" s="253">
        <v>7.29905128479004</v>
      </c>
      <c r="J532" s="253">
        <v>7.2437157630920401</v>
      </c>
      <c r="K532" s="253">
        <v>7.2615475654602104</v>
      </c>
      <c r="L532" s="253">
        <v>7.28952884674072</v>
      </c>
      <c r="M532" s="253">
        <v>7.3323044776916504</v>
      </c>
      <c r="N532" s="253">
        <v>7.3129158020019496</v>
      </c>
      <c r="O532" s="253">
        <v>7.4180650711059597</v>
      </c>
      <c r="P532" s="253">
        <v>7.5101509094238299</v>
      </c>
      <c r="Q532" s="253">
        <v>7.5518846511840803</v>
      </c>
      <c r="R532" s="253">
        <v>7.6326026916503897</v>
      </c>
      <c r="S532" s="253">
        <v>7.7444272041320801</v>
      </c>
      <c r="T532" s="253">
        <v>7.8752341270446804</v>
      </c>
      <c r="U532" s="253">
        <v>8.0334920883178693</v>
      </c>
      <c r="V532" s="253">
        <v>8.1469945907592791</v>
      </c>
      <c r="W532" s="253">
        <v>8.2539978027343803</v>
      </c>
      <c r="X532" s="253">
        <v>8.3047761917114293</v>
      </c>
      <c r="Y532" s="253">
        <v>8.3638219833374006</v>
      </c>
      <c r="AA532" s="299">
        <v>8.7353999999999985</v>
      </c>
      <c r="AB532" s="299">
        <v>8.7353999999999985</v>
      </c>
      <c r="AC532" s="299">
        <v>8.7353999999999985</v>
      </c>
      <c r="AD532" s="299">
        <v>8.7353999999999985</v>
      </c>
      <c r="AE532" s="299">
        <v>8.7353999999999985</v>
      </c>
      <c r="AF532" s="299">
        <v>8.7353999999999985</v>
      </c>
      <c r="AG532" s="299">
        <v>8.7353999999999985</v>
      </c>
      <c r="AH532" s="299">
        <v>8.2799999999999994</v>
      </c>
      <c r="AI532" s="299">
        <v>8.2799999999999994</v>
      </c>
      <c r="AJ532" s="289">
        <f>AI532+($AX$532-$AI$532)/15</f>
        <v>8.2855063337213686</v>
      </c>
      <c r="AK532" s="289">
        <f t="shared" ref="AK532:AW532" si="77">AJ532+($AX$532-$AI$532)/15</f>
        <v>8.2910126674427378</v>
      </c>
      <c r="AL532" s="289">
        <f t="shared" si="77"/>
        <v>8.296519001164107</v>
      </c>
      <c r="AM532" s="289">
        <f t="shared" si="77"/>
        <v>8.3020253348854762</v>
      </c>
      <c r="AN532" s="289">
        <f t="shared" si="77"/>
        <v>8.3075316686068454</v>
      </c>
      <c r="AO532" s="289">
        <f t="shared" si="77"/>
        <v>8.3130380023282147</v>
      </c>
      <c r="AP532" s="289">
        <f t="shared" si="77"/>
        <v>8.3185443360495839</v>
      </c>
      <c r="AQ532" s="289">
        <f t="shared" si="77"/>
        <v>8.3240506697709531</v>
      </c>
      <c r="AR532" s="289">
        <f t="shared" si="77"/>
        <v>8.3295570034923223</v>
      </c>
      <c r="AS532" s="289">
        <f t="shared" si="77"/>
        <v>8.3350633372136915</v>
      </c>
      <c r="AT532" s="289">
        <f t="shared" si="77"/>
        <v>8.3405696709350607</v>
      </c>
      <c r="AU532" s="289">
        <f t="shared" si="77"/>
        <v>8.34607600465643</v>
      </c>
      <c r="AV532" s="289">
        <f t="shared" si="77"/>
        <v>8.3515823383777992</v>
      </c>
      <c r="AW532" s="289">
        <f t="shared" si="77"/>
        <v>8.3570886720991684</v>
      </c>
      <c r="AX532" s="294">
        <f>AI532*$B$747</f>
        <v>8.3625950058205305</v>
      </c>
      <c r="AY532" s="289">
        <f>AX532+($BM$532-$AX$532)/15</f>
        <v>8.3654368677345836</v>
      </c>
      <c r="AZ532" s="289">
        <f t="shared" ref="AZ532:BL532" si="78">AY532+($BM$532-$AX$532)/15</f>
        <v>8.3682787296486367</v>
      </c>
      <c r="BA532" s="289">
        <f t="shared" si="78"/>
        <v>8.3711205915626898</v>
      </c>
      <c r="BB532" s="289">
        <f t="shared" si="78"/>
        <v>8.373962453476743</v>
      </c>
      <c r="BC532" s="289">
        <f t="shared" si="78"/>
        <v>8.3768043153907961</v>
      </c>
      <c r="BD532" s="289">
        <f t="shared" si="78"/>
        <v>8.3796461773048492</v>
      </c>
      <c r="BE532" s="289">
        <f t="shared" si="78"/>
        <v>8.3824880392189023</v>
      </c>
      <c r="BF532" s="289">
        <f t="shared" si="78"/>
        <v>8.3853299011329554</v>
      </c>
      <c r="BG532" s="289">
        <f t="shared" si="78"/>
        <v>8.3881717630470085</v>
      </c>
      <c r="BH532" s="289">
        <f t="shared" si="78"/>
        <v>8.3910136249610616</v>
      </c>
      <c r="BI532" s="289">
        <f t="shared" si="78"/>
        <v>8.3938554868751147</v>
      </c>
      <c r="BJ532" s="289">
        <f t="shared" si="78"/>
        <v>8.3966973487891678</v>
      </c>
      <c r="BK532" s="289">
        <f t="shared" si="78"/>
        <v>8.399539210703221</v>
      </c>
      <c r="BL532" s="289">
        <f t="shared" si="78"/>
        <v>8.4023810726172741</v>
      </c>
      <c r="BM532" s="294">
        <f>AX532*$C$747</f>
        <v>8.4052229345313236</v>
      </c>
      <c r="BN532" s="289">
        <f>BM532+($BR$532-$BM$532)/5</f>
        <v>8.4080792827007791</v>
      </c>
      <c r="BO532" s="289">
        <f>BN532+($BR$532-$BM$532)/5</f>
        <v>8.4109356308702345</v>
      </c>
      <c r="BP532" s="289">
        <f>BO532+($BR$532-$BM$532)/5</f>
        <v>8.41379197903969</v>
      </c>
      <c r="BQ532" s="289">
        <f>BP532+($BR$532-$BM$532)/5</f>
        <v>8.4166483272091455</v>
      </c>
      <c r="BR532" s="294">
        <f>BM532*$D$747</f>
        <v>8.4195046753785974</v>
      </c>
    </row>
    <row r="533" spans="1:71" x14ac:dyDescent="0.25">
      <c r="A533" s="249" t="s">
        <v>476</v>
      </c>
      <c r="B533" s="253">
        <v>6.3323707580566397</v>
      </c>
      <c r="C533" s="253">
        <v>7.2384452819824201</v>
      </c>
      <c r="D533" s="253">
        <v>7.96527099609375</v>
      </c>
      <c r="E533" s="253">
        <v>7.6527137756347701</v>
      </c>
      <c r="F533" s="253">
        <v>7.15256595611572</v>
      </c>
      <c r="G533" s="253">
        <v>6.8207654953002903</v>
      </c>
      <c r="H533" s="253">
        <v>6.8779778480529803</v>
      </c>
      <c r="I533" s="253">
        <v>6.7174663543701199</v>
      </c>
      <c r="J533" s="253">
        <v>6.78255271911621</v>
      </c>
      <c r="K533" s="253">
        <v>7.1339807510376003</v>
      </c>
      <c r="L533" s="253">
        <v>7.1601362228393599</v>
      </c>
      <c r="M533" s="253">
        <v>7.1876134872436497</v>
      </c>
      <c r="N533" s="253">
        <v>7.1760501861572301</v>
      </c>
      <c r="O533" s="253">
        <v>7.19400835037231</v>
      </c>
      <c r="P533" s="253">
        <v>7.2192950248718297</v>
      </c>
      <c r="Q533" s="253">
        <v>7.2771706581115696</v>
      </c>
      <c r="R533" s="253">
        <v>7.32332468032837</v>
      </c>
      <c r="S533" s="253">
        <v>7.37906789779663</v>
      </c>
      <c r="T533" s="253">
        <v>7.3721222877502397</v>
      </c>
      <c r="U533" s="253">
        <v>7.4461221694946298</v>
      </c>
      <c r="V533" s="253">
        <v>7.5145907402038601</v>
      </c>
      <c r="W533" s="253">
        <v>7.4954967498779297</v>
      </c>
      <c r="X533" s="253">
        <v>7.5633401870727504</v>
      </c>
      <c r="Y533" s="253">
        <v>7.7325506210327104</v>
      </c>
      <c r="AA533" s="300">
        <v>4.78</v>
      </c>
      <c r="AB533" s="300">
        <v>4.78</v>
      </c>
      <c r="AC533" s="300">
        <v>4.78</v>
      </c>
      <c r="AD533" s="300">
        <v>4.78</v>
      </c>
      <c r="AE533" s="300">
        <v>4.78</v>
      </c>
      <c r="AF533" s="300">
        <v>4.78</v>
      </c>
      <c r="AG533" s="300">
        <v>4.78</v>
      </c>
      <c r="AH533" s="300">
        <v>4.78</v>
      </c>
      <c r="AI533" s="300">
        <v>4.78</v>
      </c>
      <c r="AJ533" s="300">
        <v>4.78</v>
      </c>
      <c r="AK533" s="300">
        <v>4.78</v>
      </c>
      <c r="AL533" s="300">
        <v>4.78</v>
      </c>
      <c r="AM533" s="300">
        <v>4.78</v>
      </c>
      <c r="AN533" s="300">
        <v>4.78</v>
      </c>
      <c r="AO533" s="300">
        <v>4.78</v>
      </c>
      <c r="AP533" s="300">
        <v>4.78</v>
      </c>
      <c r="AQ533" s="300">
        <v>4.78</v>
      </c>
      <c r="AR533" s="300">
        <v>4.78</v>
      </c>
      <c r="AS533" s="300">
        <v>4.78</v>
      </c>
      <c r="AT533" s="300">
        <v>4.78</v>
      </c>
      <c r="AU533" s="300">
        <v>4.78</v>
      </c>
      <c r="AV533" s="300">
        <v>4.78</v>
      </c>
      <c r="AW533" s="300">
        <v>4.78</v>
      </c>
      <c r="AX533" s="300">
        <v>4.78</v>
      </c>
      <c r="AY533" s="300">
        <v>4.78</v>
      </c>
      <c r="AZ533" s="300">
        <v>4.78</v>
      </c>
      <c r="BA533" s="300">
        <v>4.78</v>
      </c>
      <c r="BB533" s="300">
        <v>4.78</v>
      </c>
      <c r="BC533" s="300">
        <v>4.78</v>
      </c>
      <c r="BD533" s="300">
        <v>4.78</v>
      </c>
      <c r="BE533" s="300">
        <v>4.78</v>
      </c>
      <c r="BF533" s="300">
        <v>4.78</v>
      </c>
      <c r="BG533" s="300">
        <v>4.78</v>
      </c>
      <c r="BH533" s="300">
        <v>4.78</v>
      </c>
      <c r="BI533" s="300">
        <v>4.78</v>
      </c>
      <c r="BJ533" s="300">
        <v>4.78</v>
      </c>
      <c r="BK533" s="300">
        <v>4.78</v>
      </c>
      <c r="BL533" s="300">
        <v>4.78</v>
      </c>
      <c r="BM533" s="300">
        <v>4.78</v>
      </c>
      <c r="BN533" s="300">
        <v>4.78</v>
      </c>
      <c r="BO533" s="300">
        <v>4.78</v>
      </c>
      <c r="BP533" s="300">
        <v>4.78</v>
      </c>
      <c r="BQ533" s="300">
        <v>4.78</v>
      </c>
      <c r="BR533" s="300">
        <v>4.78</v>
      </c>
      <c r="BS533" s="222"/>
    </row>
    <row r="534" spans="1:71" x14ac:dyDescent="0.25">
      <c r="A534" s="249" t="s">
        <v>477</v>
      </c>
      <c r="B534" s="253">
        <v>8.4833917617797905</v>
      </c>
      <c r="C534" s="253">
        <v>12.566796302795399</v>
      </c>
      <c r="D534" s="253">
        <v>15.1470994949341</v>
      </c>
      <c r="E534" s="253">
        <v>13.2375335693359</v>
      </c>
      <c r="F534" s="253">
        <v>11.1595468521118</v>
      </c>
      <c r="G534" s="253">
        <v>10.509430885314901</v>
      </c>
      <c r="H534" s="253">
        <v>10.3245944976807</v>
      </c>
      <c r="I534" s="253">
        <v>10.044970512390099</v>
      </c>
      <c r="J534" s="253">
        <v>10.0157480239868</v>
      </c>
      <c r="K534" s="253">
        <v>9.9449577331543004</v>
      </c>
      <c r="L534" s="253">
        <v>10.002993583679199</v>
      </c>
      <c r="M534" s="253">
        <v>10.097089767456101</v>
      </c>
      <c r="N534" s="253">
        <v>10.020875930786101</v>
      </c>
      <c r="O534" s="253">
        <v>10.2241611480713</v>
      </c>
      <c r="P534" s="253">
        <v>10.3367824554443</v>
      </c>
      <c r="Q534" s="253">
        <v>10.319104194641101</v>
      </c>
      <c r="R534" s="253">
        <v>10.409514427185099</v>
      </c>
      <c r="S534" s="253">
        <v>10.552604675293001</v>
      </c>
      <c r="T534" s="253">
        <v>10.737306594848601</v>
      </c>
      <c r="U534" s="253">
        <v>10.9299325942993</v>
      </c>
      <c r="V534" s="253">
        <v>11.0452260971069</v>
      </c>
      <c r="W534" s="253">
        <v>11.198148727416999</v>
      </c>
      <c r="X534" s="253">
        <v>11.303442955017101</v>
      </c>
      <c r="Y534" s="253">
        <v>11.352322578430201</v>
      </c>
      <c r="AA534" s="299" t="e">
        <f t="shared" ref="AA534:AG534" si="79">AA533*GJ_p_MMBtu</f>
        <v>#NAME?</v>
      </c>
      <c r="AB534" s="299" t="e">
        <f t="shared" si="79"/>
        <v>#NAME?</v>
      </c>
      <c r="AC534" s="299" t="e">
        <f t="shared" si="79"/>
        <v>#NAME?</v>
      </c>
      <c r="AD534" s="299" t="e">
        <f t="shared" si="79"/>
        <v>#NAME?</v>
      </c>
      <c r="AE534" s="299" t="e">
        <f t="shared" si="79"/>
        <v>#NAME?</v>
      </c>
      <c r="AF534" s="299" t="e">
        <f t="shared" si="79"/>
        <v>#NAME?</v>
      </c>
      <c r="AG534" s="299" t="e">
        <f t="shared" si="79"/>
        <v>#NAME?</v>
      </c>
      <c r="AH534" s="299" t="e">
        <f t="shared" ref="AH534:BM534" si="80">AH533*GJ_p_MMBtu</f>
        <v>#NAME?</v>
      </c>
      <c r="AI534" s="299" t="e">
        <f t="shared" si="80"/>
        <v>#NAME?</v>
      </c>
      <c r="AJ534" s="299" t="e">
        <f t="shared" si="80"/>
        <v>#NAME?</v>
      </c>
      <c r="AK534" s="299" t="e">
        <f t="shared" si="80"/>
        <v>#NAME?</v>
      </c>
      <c r="AL534" s="299" t="e">
        <f t="shared" si="80"/>
        <v>#NAME?</v>
      </c>
      <c r="AM534" s="299" t="e">
        <f t="shared" si="80"/>
        <v>#NAME?</v>
      </c>
      <c r="AN534" s="299" t="e">
        <f t="shared" si="80"/>
        <v>#NAME?</v>
      </c>
      <c r="AO534" s="299" t="e">
        <f t="shared" si="80"/>
        <v>#NAME?</v>
      </c>
      <c r="AP534" s="299" t="e">
        <f t="shared" si="80"/>
        <v>#NAME?</v>
      </c>
      <c r="AQ534" s="299" t="e">
        <f t="shared" si="80"/>
        <v>#NAME?</v>
      </c>
      <c r="AR534" s="299" t="e">
        <f t="shared" si="80"/>
        <v>#NAME?</v>
      </c>
      <c r="AS534" s="299" t="e">
        <f t="shared" si="80"/>
        <v>#NAME?</v>
      </c>
      <c r="AT534" s="299" t="e">
        <f t="shared" si="80"/>
        <v>#NAME?</v>
      </c>
      <c r="AU534" s="299" t="e">
        <f t="shared" si="80"/>
        <v>#NAME?</v>
      </c>
      <c r="AV534" s="299" t="e">
        <f t="shared" si="80"/>
        <v>#NAME?</v>
      </c>
      <c r="AW534" s="299" t="e">
        <f t="shared" si="80"/>
        <v>#NAME?</v>
      </c>
      <c r="AX534" s="299" t="e">
        <f t="shared" si="80"/>
        <v>#NAME?</v>
      </c>
      <c r="AY534" s="299" t="e">
        <f t="shared" si="80"/>
        <v>#NAME?</v>
      </c>
      <c r="AZ534" s="299" t="e">
        <f t="shared" si="80"/>
        <v>#NAME?</v>
      </c>
      <c r="BA534" s="299" t="e">
        <f t="shared" si="80"/>
        <v>#NAME?</v>
      </c>
      <c r="BB534" s="299" t="e">
        <f t="shared" si="80"/>
        <v>#NAME?</v>
      </c>
      <c r="BC534" s="299" t="e">
        <f t="shared" si="80"/>
        <v>#NAME?</v>
      </c>
      <c r="BD534" s="299" t="e">
        <f t="shared" si="80"/>
        <v>#NAME?</v>
      </c>
      <c r="BE534" s="299" t="e">
        <f t="shared" si="80"/>
        <v>#NAME?</v>
      </c>
      <c r="BF534" s="299" t="e">
        <f t="shared" si="80"/>
        <v>#NAME?</v>
      </c>
      <c r="BG534" s="299" t="e">
        <f t="shared" si="80"/>
        <v>#NAME?</v>
      </c>
      <c r="BH534" s="299" t="e">
        <f t="shared" si="80"/>
        <v>#NAME?</v>
      </c>
      <c r="BI534" s="299" t="e">
        <f t="shared" si="80"/>
        <v>#NAME?</v>
      </c>
      <c r="BJ534" s="299" t="e">
        <f t="shared" si="80"/>
        <v>#NAME?</v>
      </c>
      <c r="BK534" s="299" t="e">
        <f t="shared" si="80"/>
        <v>#NAME?</v>
      </c>
      <c r="BL534" s="299" t="e">
        <f t="shared" si="80"/>
        <v>#NAME?</v>
      </c>
      <c r="BM534" s="299" t="e">
        <f t="shared" si="80"/>
        <v>#NAME?</v>
      </c>
      <c r="BN534" s="299" t="e">
        <f>BN533*GJ_p_MMBtu</f>
        <v>#NAME?</v>
      </c>
      <c r="BO534" s="299" t="e">
        <f>BO533*GJ_p_MMBtu</f>
        <v>#NAME?</v>
      </c>
      <c r="BP534" s="299" t="e">
        <f>BP533*GJ_p_MMBtu</f>
        <v>#NAME?</v>
      </c>
      <c r="BQ534" s="299" t="e">
        <f>BQ533*GJ_p_MMBtu</f>
        <v>#NAME?</v>
      </c>
      <c r="BR534" s="299" t="e">
        <f>BR533*GJ_p_MMBtu</f>
        <v>#NAME?</v>
      </c>
    </row>
    <row r="535" spans="1:71" ht="51" customHeight="1" x14ac:dyDescent="0.25">
      <c r="A535" s="249" t="s">
        <v>481</v>
      </c>
      <c r="B535" s="253">
        <v>3.9384419918060298</v>
      </c>
      <c r="C535" s="253">
        <v>4.5867881774902299</v>
      </c>
      <c r="D535" s="253">
        <v>4.6800308227539098</v>
      </c>
      <c r="E535" s="253">
        <v>4.9388971328735396</v>
      </c>
      <c r="F535" s="253">
        <v>4.6724338531494096</v>
      </c>
      <c r="G535" s="253">
        <v>4.2573971748352104</v>
      </c>
      <c r="H535" s="253">
        <v>4.0660681724548304</v>
      </c>
      <c r="I535" s="253">
        <v>3.9201312065124498</v>
      </c>
      <c r="J535" s="253">
        <v>3.8699574470520002</v>
      </c>
      <c r="K535" s="253">
        <v>3.9242179393768302</v>
      </c>
      <c r="L535" s="253">
        <v>3.9701111316680899</v>
      </c>
      <c r="M535" s="253">
        <v>4.0123748779296902</v>
      </c>
      <c r="N535" s="253">
        <v>4.03127193450928</v>
      </c>
      <c r="O535" s="253">
        <v>4.0987625122070304</v>
      </c>
      <c r="P535" s="253">
        <v>4.1393604278564498</v>
      </c>
      <c r="Q535" s="253">
        <v>4.1877317428588903</v>
      </c>
      <c r="R535" s="253">
        <v>4.2278647422790501</v>
      </c>
      <c r="S535" s="253">
        <v>4.2813539505004901</v>
      </c>
      <c r="T535" s="253">
        <v>4.3376803398132298</v>
      </c>
      <c r="U535" s="253">
        <v>4.4096555709838903</v>
      </c>
      <c r="V535" s="253">
        <v>4.4638853073120099</v>
      </c>
      <c r="W535" s="253">
        <v>4.5156707763671902</v>
      </c>
      <c r="X535" s="253">
        <v>4.5648870468139604</v>
      </c>
      <c r="Y535" s="253">
        <v>4.6165790557861301</v>
      </c>
      <c r="AA535" s="253"/>
      <c r="AB535" s="253"/>
      <c r="AC535" s="253"/>
      <c r="AD535" s="253"/>
      <c r="AE535" s="253"/>
      <c r="AF535" s="253"/>
      <c r="AG535" s="253"/>
      <c r="AH535" s="253"/>
    </row>
    <row r="536" spans="1:71" x14ac:dyDescent="0.25">
      <c r="A536" s="274" t="s">
        <v>484</v>
      </c>
      <c r="B536" s="253">
        <v>3.88655662536621</v>
      </c>
      <c r="C536" s="253">
        <v>5.55936574935913</v>
      </c>
      <c r="D536" s="253">
        <v>6.0491561889648402</v>
      </c>
      <c r="E536" s="253">
        <v>6.0767245292663601</v>
      </c>
      <c r="F536" s="253">
        <v>5.4288315773010298</v>
      </c>
      <c r="G536" s="253">
        <v>4.9784579277038601</v>
      </c>
      <c r="H536" s="253">
        <v>4.6095819473266602</v>
      </c>
      <c r="I536" s="253">
        <v>4.5152282714843803</v>
      </c>
      <c r="J536" s="253">
        <v>4.3734540939331099</v>
      </c>
      <c r="K536" s="253">
        <v>4.3719940185546902</v>
      </c>
      <c r="L536" s="253">
        <v>4.4435229301452601</v>
      </c>
      <c r="M536" s="253">
        <v>4.5411396026611301</v>
      </c>
      <c r="N536" s="253">
        <v>4.7005810737609899</v>
      </c>
      <c r="O536" s="253">
        <v>4.81768798828125</v>
      </c>
      <c r="P536" s="253">
        <v>4.7900476455688503</v>
      </c>
      <c r="Q536" s="253">
        <v>4.8231658935546902</v>
      </c>
      <c r="R536" s="253">
        <v>4.9558763504028303</v>
      </c>
      <c r="S536" s="253">
        <v>5.1147346496581996</v>
      </c>
      <c r="T536" s="253">
        <v>5.2329874038696298</v>
      </c>
      <c r="U536" s="253">
        <v>5.3250308036804199</v>
      </c>
      <c r="V536" s="253">
        <v>5.3559622764587402</v>
      </c>
      <c r="W536" s="253">
        <v>5.3499736785888699</v>
      </c>
      <c r="X536" s="253">
        <v>5.4079699516296396</v>
      </c>
      <c r="Y536" s="253">
        <v>5.4724006652831996</v>
      </c>
      <c r="Z536" s="283">
        <f>Y536+($AI$366-$Y$536)/10</f>
        <v>5.502911815190215</v>
      </c>
    </row>
    <row r="537" spans="1:71" x14ac:dyDescent="0.25">
      <c r="A537" s="249" t="s">
        <v>485</v>
      </c>
      <c r="B537" s="253">
        <v>1.88388228416443</v>
      </c>
      <c r="C537" s="253">
        <v>1.8499996662139899</v>
      </c>
      <c r="D537" s="253">
        <v>1.9631321430206301</v>
      </c>
      <c r="E537" s="253">
        <v>1.9065624475479099</v>
      </c>
      <c r="F537" s="253">
        <v>1.8876701593398999</v>
      </c>
      <c r="G537" s="253">
        <v>1.8568421602249101</v>
      </c>
      <c r="H537" s="253">
        <v>1.8503668308258101</v>
      </c>
      <c r="I537" s="253">
        <v>1.8461718559265099</v>
      </c>
      <c r="J537" s="253">
        <v>1.81827020645142</v>
      </c>
      <c r="K537" s="253">
        <v>1.79229772090912</v>
      </c>
      <c r="L537" s="253">
        <v>1.7775920629501301</v>
      </c>
      <c r="M537" s="253">
        <v>1.7720992565155</v>
      </c>
      <c r="N537" s="253">
        <v>1.7673192024230999</v>
      </c>
      <c r="O537" s="253">
        <v>1.76388168334961</v>
      </c>
      <c r="P537" s="253">
        <v>1.7582092285156301</v>
      </c>
      <c r="Q537" s="253">
        <v>1.7531107664108301</v>
      </c>
      <c r="R537" s="253">
        <v>1.7537478208541899</v>
      </c>
      <c r="S537" s="253">
        <v>1.7550060749053999</v>
      </c>
      <c r="T537" s="253">
        <v>1.75110328197479</v>
      </c>
      <c r="U537" s="253">
        <v>1.741095662117</v>
      </c>
      <c r="V537" s="253">
        <v>1.72283828258514</v>
      </c>
      <c r="W537" s="253">
        <v>1.7066173553466799</v>
      </c>
      <c r="X537" s="253">
        <v>1.6973831653595</v>
      </c>
      <c r="Y537" s="253">
        <v>1.68216860294342</v>
      </c>
    </row>
    <row r="538" spans="1:71" x14ac:dyDescent="0.25">
      <c r="A538" s="249" t="s">
        <v>486</v>
      </c>
      <c r="B538" s="253">
        <v>1.5976041555404701</v>
      </c>
      <c r="C538" s="253">
        <v>1.5543407201767001</v>
      </c>
      <c r="D538" s="253">
        <v>1.5665656328201301</v>
      </c>
      <c r="E538" s="253">
        <v>1.6037170886993399</v>
      </c>
      <c r="F538" s="253">
        <v>1.59409379959106</v>
      </c>
      <c r="G538" s="253">
        <v>1.5766631364822401</v>
      </c>
      <c r="H538" s="253">
        <v>1.5775339603424099</v>
      </c>
      <c r="I538" s="253">
        <v>1.5708864927291899</v>
      </c>
      <c r="J538" s="253">
        <v>1.5649564266204801</v>
      </c>
      <c r="K538" s="253">
        <v>1.56413578987122</v>
      </c>
      <c r="L538" s="253">
        <v>1.5547889471054099</v>
      </c>
      <c r="M538" s="253">
        <v>1.54732978343964</v>
      </c>
      <c r="N538" s="253">
        <v>1.54787278175354</v>
      </c>
      <c r="O538" s="253">
        <v>1.5495419502258301</v>
      </c>
      <c r="P538" s="253">
        <v>1.5494637489318801</v>
      </c>
      <c r="Q538" s="253">
        <v>1.5568271875381501</v>
      </c>
      <c r="R538" s="253">
        <v>1.55967605113983</v>
      </c>
      <c r="S538" s="253">
        <v>1.5613601207733201</v>
      </c>
      <c r="T538" s="253">
        <v>1.5625598430633501</v>
      </c>
      <c r="U538" s="253">
        <v>1.5681461095809901</v>
      </c>
      <c r="V538" s="253">
        <v>1.5708984136581401</v>
      </c>
      <c r="W538" s="253">
        <v>1.6035954952239999</v>
      </c>
      <c r="X538" s="253">
        <v>1.60524129867554</v>
      </c>
      <c r="Y538" s="253">
        <v>1.6024739742279099</v>
      </c>
    </row>
    <row r="539" spans="1:71" x14ac:dyDescent="0.25">
      <c r="A539" s="276" t="s">
        <v>479</v>
      </c>
      <c r="B539" s="253">
        <v>14.734835624694799</v>
      </c>
      <c r="C539" s="253">
        <v>15.0261535644531</v>
      </c>
      <c r="D539" s="253">
        <v>15.7151737213135</v>
      </c>
      <c r="E539" s="253">
        <v>15.5977983474731</v>
      </c>
      <c r="F539" s="253">
        <v>15.0554456710815</v>
      </c>
      <c r="G539" s="253">
        <v>14.415571212768601</v>
      </c>
      <c r="H539" s="253">
        <v>14.123340606689499</v>
      </c>
      <c r="I539" s="253">
        <v>14.033378601074199</v>
      </c>
      <c r="J539" s="253">
        <v>13.8423414230347</v>
      </c>
      <c r="K539" s="253">
        <v>13.6992740631104</v>
      </c>
      <c r="L539" s="253">
        <v>13.8484916687012</v>
      </c>
      <c r="M539" s="253">
        <v>14.089280128479</v>
      </c>
      <c r="N539" s="253">
        <v>14.438159942626999</v>
      </c>
      <c r="O539" s="253">
        <v>14.622407913208001</v>
      </c>
      <c r="P539" s="253">
        <v>14.680962562561</v>
      </c>
      <c r="Q539" s="253">
        <v>14.817166328430201</v>
      </c>
      <c r="R539" s="253">
        <v>15.035754203796399</v>
      </c>
      <c r="S539" s="253">
        <v>15.3131446838379</v>
      </c>
      <c r="T539" s="253">
        <v>15.467190742492701</v>
      </c>
      <c r="U539" s="253">
        <v>15.608844757080099</v>
      </c>
      <c r="V539" s="253">
        <v>15.623446464538601</v>
      </c>
      <c r="W539" s="253">
        <v>15.6070909500122</v>
      </c>
      <c r="X539" s="253">
        <v>15.6627254486084</v>
      </c>
      <c r="Y539" s="253">
        <v>15.7515544891357</v>
      </c>
      <c r="Z539" s="285">
        <f>Y539+($AI$369-$Y$539)/10</f>
        <v>15.681619149325263</v>
      </c>
    </row>
    <row r="540" spans="1:71" x14ac:dyDescent="0.25">
      <c r="A540" s="249" t="s">
        <v>440</v>
      </c>
      <c r="B540" s="253" t="s">
        <v>440</v>
      </c>
      <c r="C540" s="253" t="s">
        <v>440</v>
      </c>
      <c r="D540" s="253" t="s">
        <v>440</v>
      </c>
      <c r="E540" s="253" t="s">
        <v>440</v>
      </c>
      <c r="F540" s="253" t="s">
        <v>440</v>
      </c>
      <c r="G540" s="253" t="s">
        <v>440</v>
      </c>
      <c r="H540" s="253" t="s">
        <v>440</v>
      </c>
      <c r="I540" s="253" t="s">
        <v>440</v>
      </c>
      <c r="J540" s="253" t="s">
        <v>440</v>
      </c>
      <c r="K540" s="253" t="s">
        <v>440</v>
      </c>
      <c r="L540" s="253" t="s">
        <v>440</v>
      </c>
      <c r="M540" s="253" t="s">
        <v>440</v>
      </c>
      <c r="N540" s="253" t="s">
        <v>440</v>
      </c>
      <c r="O540" s="253" t="s">
        <v>440</v>
      </c>
      <c r="P540" s="253" t="s">
        <v>440</v>
      </c>
      <c r="Q540" s="253" t="s">
        <v>440</v>
      </c>
      <c r="R540" s="253" t="s">
        <v>440</v>
      </c>
      <c r="S540" s="253" t="s">
        <v>440</v>
      </c>
      <c r="T540" s="253" t="s">
        <v>440</v>
      </c>
      <c r="U540" s="253" t="s">
        <v>440</v>
      </c>
      <c r="V540" s="253" t="s">
        <v>440</v>
      </c>
      <c r="W540" s="253" t="s">
        <v>440</v>
      </c>
      <c r="X540" s="253" t="s">
        <v>440</v>
      </c>
      <c r="Y540" s="253" t="s">
        <v>440</v>
      </c>
    </row>
    <row r="541" spans="1:71" x14ac:dyDescent="0.25">
      <c r="A541" s="249" t="s">
        <v>487</v>
      </c>
      <c r="B541" s="253">
        <v>10.068477630615201</v>
      </c>
      <c r="C541" s="253">
        <v>11.4567165374756</v>
      </c>
      <c r="D541" s="253">
        <v>12.984972000122101</v>
      </c>
      <c r="E541" s="253">
        <v>12.646059036254901</v>
      </c>
      <c r="F541" s="253">
        <v>12.0215864181519</v>
      </c>
      <c r="G541" s="253">
        <v>11.451254844665501</v>
      </c>
      <c r="H541" s="253">
        <v>11.2903280258179</v>
      </c>
      <c r="I541" s="253">
        <v>11.054517745971699</v>
      </c>
      <c r="J541" s="253">
        <v>10.953487396240201</v>
      </c>
      <c r="K541" s="253">
        <v>10.9616088867188</v>
      </c>
      <c r="L541" s="253">
        <v>10.9120273590088</v>
      </c>
      <c r="M541" s="253">
        <v>10.9370317459106</v>
      </c>
      <c r="N541" s="253">
        <v>10.932166099548301</v>
      </c>
      <c r="O541" s="253">
        <v>10.949841499328601</v>
      </c>
      <c r="P541" s="253">
        <v>10.9948740005493</v>
      </c>
      <c r="Q541" s="253">
        <v>11.046938896179199</v>
      </c>
      <c r="R541" s="253">
        <v>11.074780464172401</v>
      </c>
      <c r="S541" s="253">
        <v>11.117128372192401</v>
      </c>
      <c r="T541" s="253">
        <v>11.155697822570801</v>
      </c>
      <c r="U541" s="253">
        <v>11.209436416626</v>
      </c>
      <c r="V541" s="253">
        <v>11.2737817764282</v>
      </c>
      <c r="W541" s="253">
        <v>11.3331050872803</v>
      </c>
      <c r="X541" s="253">
        <v>11.350456237793001</v>
      </c>
      <c r="Y541" s="253">
        <v>11.462995529174799</v>
      </c>
    </row>
    <row r="542" spans="1:71" x14ac:dyDescent="0.25">
      <c r="A542" s="249" t="s">
        <v>483</v>
      </c>
      <c r="B542" s="253">
        <v>10.0396184921265</v>
      </c>
      <c r="C542" s="253">
        <v>11.4297380447388</v>
      </c>
      <c r="D542" s="253">
        <v>12.961000442504901</v>
      </c>
      <c r="E542" s="253">
        <v>12.6219329833984</v>
      </c>
      <c r="F542" s="253">
        <v>11.9984340667725</v>
      </c>
      <c r="G542" s="253">
        <v>11.4290685653687</v>
      </c>
      <c r="H542" s="253">
        <v>11.2685947418213</v>
      </c>
      <c r="I542" s="253">
        <v>11.0320892333984</v>
      </c>
      <c r="J542" s="253">
        <v>10.930870056152299</v>
      </c>
      <c r="K542" s="253">
        <v>10.938961982727101</v>
      </c>
      <c r="L542" s="253">
        <v>10.8886499404907</v>
      </c>
      <c r="M542" s="253">
        <v>10.913072586059601</v>
      </c>
      <c r="N542" s="253">
        <v>10.9073333740234</v>
      </c>
      <c r="O542" s="253">
        <v>10.9247722625732</v>
      </c>
      <c r="P542" s="253">
        <v>10.969937324523899</v>
      </c>
      <c r="Q542" s="253">
        <v>11.021965980529799</v>
      </c>
      <c r="R542" s="253">
        <v>11.049379348754901</v>
      </c>
      <c r="S542" s="253">
        <v>11.0911350250244</v>
      </c>
      <c r="T542" s="253">
        <v>11.129392623901399</v>
      </c>
      <c r="U542" s="253">
        <v>11.182910919189499</v>
      </c>
      <c r="V542" s="253">
        <v>11.247509956359901</v>
      </c>
      <c r="W542" s="253">
        <v>11.307147026061999</v>
      </c>
      <c r="X542" s="253">
        <v>11.324338912963899</v>
      </c>
      <c r="Y542" s="253">
        <v>11.436959266662599</v>
      </c>
    </row>
    <row r="543" spans="1:71" x14ac:dyDescent="0.25">
      <c r="A543" s="249" t="s">
        <v>475</v>
      </c>
      <c r="B543" s="253">
        <v>10.0409812927246</v>
      </c>
      <c r="C543" s="253">
        <v>11.431476593017599</v>
      </c>
      <c r="D543" s="253">
        <v>12.9638833999634</v>
      </c>
      <c r="E543" s="253">
        <v>12.6248769760132</v>
      </c>
      <c r="F543" s="253">
        <v>12.0015964508057</v>
      </c>
      <c r="G543" s="253">
        <v>11.432228088378899</v>
      </c>
      <c r="H543" s="253">
        <v>11.2722625732422</v>
      </c>
      <c r="I543" s="253">
        <v>11.0358724594116</v>
      </c>
      <c r="J543" s="253">
        <v>10.934929847717299</v>
      </c>
      <c r="K543" s="253">
        <v>10.9432172775269</v>
      </c>
      <c r="L543" s="253">
        <v>10.892875671386699</v>
      </c>
      <c r="M543" s="253">
        <v>10.9173030853271</v>
      </c>
      <c r="N543" s="253">
        <v>10.911340713501</v>
      </c>
      <c r="O543" s="253">
        <v>10.928663253784199</v>
      </c>
      <c r="P543" s="253">
        <v>10.9740562438965</v>
      </c>
      <c r="Q543" s="253">
        <v>11.026309967041</v>
      </c>
      <c r="R543" s="253">
        <v>11.0536193847656</v>
      </c>
      <c r="S543" s="253">
        <v>11.0952548980713</v>
      </c>
      <c r="T543" s="253">
        <v>11.1333513259888</v>
      </c>
      <c r="U543" s="253">
        <v>11.1867895126343</v>
      </c>
      <c r="V543" s="253">
        <v>11.251508712768601</v>
      </c>
      <c r="W543" s="253">
        <v>11.3113117218018</v>
      </c>
      <c r="X543" s="253">
        <v>11.328408241271999</v>
      </c>
      <c r="Y543" s="253">
        <v>11.4412240982056</v>
      </c>
    </row>
    <row r="544" spans="1:71" x14ac:dyDescent="0.25">
      <c r="A544" s="280" t="s">
        <v>488</v>
      </c>
      <c r="B544" s="253">
        <v>9.5535230636596697</v>
      </c>
      <c r="C544" s="253">
        <v>10.9202365875244</v>
      </c>
      <c r="D544" s="253">
        <v>12.0208587646484</v>
      </c>
      <c r="E544" s="253">
        <v>11.5461339950562</v>
      </c>
      <c r="F544" s="253">
        <v>11.286841392517101</v>
      </c>
      <c r="G544" s="253">
        <v>11.003821372985801</v>
      </c>
      <c r="H544" s="253">
        <v>10.8476676940918</v>
      </c>
      <c r="I544" s="253">
        <v>10.675346374511699</v>
      </c>
      <c r="J544" s="253">
        <v>10.7599039077759</v>
      </c>
      <c r="K544" s="253">
        <v>10.8244476318359</v>
      </c>
      <c r="L544" s="253">
        <v>10.807107925415</v>
      </c>
      <c r="M544" s="253">
        <v>10.788902282714799</v>
      </c>
      <c r="N544" s="253">
        <v>10.7359352111816</v>
      </c>
      <c r="O544" s="253">
        <v>10.7108716964722</v>
      </c>
      <c r="P544" s="253">
        <v>10.6978845596313</v>
      </c>
      <c r="Q544" s="253">
        <v>10.720422744751</v>
      </c>
      <c r="R544" s="253">
        <v>10.715018272399901</v>
      </c>
      <c r="S544" s="253">
        <v>10.7237329483032</v>
      </c>
      <c r="T544" s="253">
        <v>10.658562660217299</v>
      </c>
      <c r="U544" s="253">
        <v>10.6896152496338</v>
      </c>
      <c r="V544" s="253">
        <v>10.7133436203003</v>
      </c>
      <c r="W544" s="253">
        <v>10.6396188735962</v>
      </c>
      <c r="X544" s="253">
        <v>10.6814889907837</v>
      </c>
      <c r="Y544" s="253">
        <v>10.8466644287109</v>
      </c>
      <c r="Z544" s="287">
        <f>Y544+($AI$374-$Y$544)/10</f>
        <v>11.215393895691953</v>
      </c>
    </row>
    <row r="545" spans="1:26" x14ac:dyDescent="0.25">
      <c r="A545" s="249" t="s">
        <v>489</v>
      </c>
      <c r="B545" s="253">
        <v>6.0538434982299796</v>
      </c>
      <c r="C545" s="253">
        <v>6.4578518867492702</v>
      </c>
      <c r="D545" s="253">
        <v>8.1168746948242205</v>
      </c>
      <c r="E545" s="253">
        <v>7.6875572204589799</v>
      </c>
      <c r="F545" s="253">
        <v>7.0150871276855504</v>
      </c>
      <c r="G545" s="253">
        <v>6.5790328979492196</v>
      </c>
      <c r="H545" s="253">
        <v>6.5712537765502903</v>
      </c>
      <c r="I545" s="253">
        <v>6.42602443695068</v>
      </c>
      <c r="J545" s="253">
        <v>6.2476048469543501</v>
      </c>
      <c r="K545" s="253">
        <v>6.2184038162231401</v>
      </c>
      <c r="L545" s="253">
        <v>6.2436552047729501</v>
      </c>
      <c r="M545" s="253">
        <v>6.2858424186706499</v>
      </c>
      <c r="N545" s="253">
        <v>6.2737250328064</v>
      </c>
      <c r="O545" s="253">
        <v>6.2926135063171396</v>
      </c>
      <c r="P545" s="253">
        <v>6.3336305618286097</v>
      </c>
      <c r="Q545" s="253">
        <v>6.3623290061950701</v>
      </c>
      <c r="R545" s="253">
        <v>6.4419050216674796</v>
      </c>
      <c r="S545" s="253">
        <v>6.5377755165100098</v>
      </c>
      <c r="T545" s="253">
        <v>6.5789065361022896</v>
      </c>
      <c r="U545" s="253">
        <v>6.7034192085266104</v>
      </c>
      <c r="V545" s="253">
        <v>6.8036813735961896</v>
      </c>
      <c r="W545" s="253">
        <v>6.8691210746765101</v>
      </c>
      <c r="X545" s="253">
        <v>6.8930430412292498</v>
      </c>
      <c r="Y545" s="253">
        <v>6.9258189201354998</v>
      </c>
    </row>
    <row r="546" spans="1:26" x14ac:dyDescent="0.25">
      <c r="A546" s="280" t="s">
        <v>490</v>
      </c>
      <c r="B546" s="253">
        <v>11.3207235336304</v>
      </c>
      <c r="C546" s="253">
        <v>12.9284992218018</v>
      </c>
      <c r="D546" s="253">
        <v>14.6530704498291</v>
      </c>
      <c r="E546" s="253">
        <v>14.346965789794901</v>
      </c>
      <c r="F546" s="253">
        <v>13.634911537170399</v>
      </c>
      <c r="G546" s="253">
        <v>12.9354457855225</v>
      </c>
      <c r="H546" s="253">
        <v>12.7248182296753</v>
      </c>
      <c r="I546" s="253">
        <v>12.444727897644</v>
      </c>
      <c r="J546" s="253">
        <v>12.3216390609741</v>
      </c>
      <c r="K546" s="253">
        <v>12.333900451660201</v>
      </c>
      <c r="L546" s="253">
        <v>12.228641510009799</v>
      </c>
      <c r="M546" s="253">
        <v>12.2244319915771</v>
      </c>
      <c r="N546" s="253">
        <v>12.232741355896</v>
      </c>
      <c r="O546" s="253">
        <v>12.2594261169434</v>
      </c>
      <c r="P546" s="253">
        <v>12.3207359313965</v>
      </c>
      <c r="Q546" s="253">
        <v>12.3872022628784</v>
      </c>
      <c r="R546" s="253">
        <v>12.4125566482544</v>
      </c>
      <c r="S546" s="253">
        <v>12.451280593872101</v>
      </c>
      <c r="T546" s="253">
        <v>12.520702362060501</v>
      </c>
      <c r="U546" s="253">
        <v>12.5581102371216</v>
      </c>
      <c r="V546" s="253">
        <v>12.622034072876</v>
      </c>
      <c r="W546" s="253">
        <v>12.7203483581543</v>
      </c>
      <c r="X546" s="253">
        <v>12.7153625488281</v>
      </c>
      <c r="Y546" s="253">
        <v>12.8139133453369</v>
      </c>
      <c r="Z546" s="287">
        <f>Y546+($AI$376-$Y$546)/10</f>
        <v>13.239838295522954</v>
      </c>
    </row>
    <row r="547" spans="1:26" x14ac:dyDescent="0.25">
      <c r="A547" s="249" t="s">
        <v>481</v>
      </c>
      <c r="B547" s="253">
        <v>3.83150410652161</v>
      </c>
      <c r="C547" s="253">
        <v>4.4939312934875497</v>
      </c>
      <c r="D547" s="253">
        <v>4.5839381217956499</v>
      </c>
      <c r="E547" s="253">
        <v>4.8374905586242702</v>
      </c>
      <c r="F547" s="253">
        <v>4.5451078414917001</v>
      </c>
      <c r="G547" s="253">
        <v>4.1204147338867196</v>
      </c>
      <c r="H547" s="253">
        <v>3.9213058948516801</v>
      </c>
      <c r="I547" s="253">
        <v>3.7859048843383798</v>
      </c>
      <c r="J547" s="253">
        <v>3.7380118370056201</v>
      </c>
      <c r="K547" s="253">
        <v>3.79148626327515</v>
      </c>
      <c r="L547" s="253">
        <v>3.8454215526580802</v>
      </c>
      <c r="M547" s="253">
        <v>3.8996179103851301</v>
      </c>
      <c r="N547" s="253">
        <v>3.9557838439941402</v>
      </c>
      <c r="O547" s="253">
        <v>4.0096635818481401</v>
      </c>
      <c r="P547" s="253">
        <v>4.0587000846862802</v>
      </c>
      <c r="Q547" s="253">
        <v>4.1115031242370597</v>
      </c>
      <c r="R547" s="253">
        <v>4.1679596900939897</v>
      </c>
      <c r="S547" s="253">
        <v>4.2270021438598597</v>
      </c>
      <c r="T547" s="253">
        <v>4.2823433876037598</v>
      </c>
      <c r="U547" s="253">
        <v>4.3368558883667001</v>
      </c>
      <c r="V547" s="253">
        <v>4.3924484252929696</v>
      </c>
      <c r="W547" s="253">
        <v>4.4465680122375497</v>
      </c>
      <c r="X547" s="253">
        <v>4.5027370452880904</v>
      </c>
      <c r="Y547" s="253">
        <v>4.5619544982910201</v>
      </c>
    </row>
    <row r="548" spans="1:26" x14ac:dyDescent="0.25">
      <c r="A548" s="249" t="s">
        <v>491</v>
      </c>
      <c r="B548" s="253">
        <v>15.146578788757299</v>
      </c>
      <c r="C548" s="253">
        <v>16.654964447021499</v>
      </c>
      <c r="D548" s="253">
        <v>20.603065490722699</v>
      </c>
      <c r="E548" s="253">
        <v>20.419296264648398</v>
      </c>
      <c r="F548" s="253">
        <v>16.382719039916999</v>
      </c>
      <c r="G548" s="253">
        <v>15.8189392089844</v>
      </c>
      <c r="H548" s="253">
        <v>15.6014108657837</v>
      </c>
      <c r="I548" s="253">
        <v>15.311073303222701</v>
      </c>
      <c r="J548" s="253">
        <v>15.2448682785034</v>
      </c>
      <c r="K548" s="253">
        <v>15.179443359375</v>
      </c>
      <c r="L548" s="253">
        <v>15.2014074325562</v>
      </c>
      <c r="M548" s="253">
        <v>15.2481698989868</v>
      </c>
      <c r="N548" s="253">
        <v>15.181710243225099</v>
      </c>
      <c r="O548" s="253">
        <v>15.278540611267101</v>
      </c>
      <c r="P548" s="253">
        <v>15.3825387954712</v>
      </c>
      <c r="Q548" s="253">
        <v>15.370577812194799</v>
      </c>
      <c r="R548" s="253">
        <v>15.3893880844116</v>
      </c>
      <c r="S548" s="253">
        <v>15.510032653808601</v>
      </c>
      <c r="T548" s="253">
        <v>15.6597127914429</v>
      </c>
      <c r="U548" s="253">
        <v>15.774450302124</v>
      </c>
      <c r="V548" s="253">
        <v>15.847083091735801</v>
      </c>
      <c r="W548" s="253">
        <v>16.037206649780298</v>
      </c>
      <c r="X548" s="253">
        <v>16.107362747192401</v>
      </c>
      <c r="Y548" s="253">
        <v>16.244932174682599</v>
      </c>
    </row>
    <row r="549" spans="1:26" x14ac:dyDescent="0.25">
      <c r="A549" s="249" t="s">
        <v>492</v>
      </c>
      <c r="B549" s="253">
        <v>7.2317700386047399</v>
      </c>
      <c r="C549" s="253">
        <v>9.0444478988647496</v>
      </c>
      <c r="D549" s="253">
        <v>9.7142534255981392</v>
      </c>
      <c r="E549" s="253">
        <v>9.7951860427856392</v>
      </c>
      <c r="F549" s="253">
        <v>9.2951183319091797</v>
      </c>
      <c r="G549" s="253">
        <v>8.9833269119262695</v>
      </c>
      <c r="H549" s="253">
        <v>8.7195968627929705</v>
      </c>
      <c r="I549" s="253">
        <v>8.6326360702514595</v>
      </c>
      <c r="J549" s="253">
        <v>8.5613536834716797</v>
      </c>
      <c r="K549" s="253">
        <v>8.6190090179443395</v>
      </c>
      <c r="L549" s="253">
        <v>8.7080965042114293</v>
      </c>
      <c r="M549" s="253">
        <v>8.8271207809448207</v>
      </c>
      <c r="N549" s="253">
        <v>8.9910020828247106</v>
      </c>
      <c r="O549" s="253">
        <v>9.1132879257202095</v>
      </c>
      <c r="P549" s="253">
        <v>9.1042909622192401</v>
      </c>
      <c r="Q549" s="253">
        <v>9.1039905548095703</v>
      </c>
      <c r="R549" s="253">
        <v>9.2009325027465803</v>
      </c>
      <c r="S549" s="253">
        <v>9.3432521820068395</v>
      </c>
      <c r="T549" s="253">
        <v>9.4465293884277308</v>
      </c>
      <c r="U549" s="253">
        <v>9.5402717590331996</v>
      </c>
      <c r="V549" s="253">
        <v>9.5791873931884801</v>
      </c>
      <c r="W549" s="253">
        <v>9.5845136642456108</v>
      </c>
      <c r="X549" s="253">
        <v>9.6436891555786097</v>
      </c>
      <c r="Y549" s="253">
        <v>9.694091796875</v>
      </c>
    </row>
    <row r="550" spans="1:26" x14ac:dyDescent="0.25">
      <c r="A550" s="282" t="s">
        <v>497</v>
      </c>
      <c r="B550" s="253">
        <v>14.6543264389038</v>
      </c>
      <c r="C550" s="253">
        <v>16.232709884643601</v>
      </c>
      <c r="D550" s="253">
        <v>19.6646022796631</v>
      </c>
      <c r="E550" s="253">
        <v>19.5902194976807</v>
      </c>
      <c r="F550" s="253">
        <v>19.473403930664102</v>
      </c>
      <c r="G550" s="253">
        <v>18.312351226806602</v>
      </c>
      <c r="H550" s="253">
        <v>18.154972076416001</v>
      </c>
      <c r="I550" s="253">
        <v>17.744245529174801</v>
      </c>
      <c r="J550" s="253">
        <v>17.108533859252901</v>
      </c>
      <c r="K550" s="253">
        <v>16.985416412353501</v>
      </c>
      <c r="L550" s="253">
        <v>16.891477584838899</v>
      </c>
      <c r="M550" s="253">
        <v>17.106473922729499</v>
      </c>
      <c r="N550" s="253">
        <v>17.298709869384801</v>
      </c>
      <c r="O550" s="253">
        <v>17.370653152465799</v>
      </c>
      <c r="P550" s="253">
        <v>17.404756546020501</v>
      </c>
      <c r="Q550" s="253">
        <v>17.4316711425781</v>
      </c>
      <c r="R550" s="253">
        <v>17.495216369628899</v>
      </c>
      <c r="S550" s="253">
        <v>17.111986160278299</v>
      </c>
      <c r="T550" s="253">
        <v>17.221326828002901</v>
      </c>
      <c r="U550" s="253">
        <v>17.6731853485107</v>
      </c>
      <c r="V550" s="253">
        <v>17.676996231079102</v>
      </c>
      <c r="W550" s="253">
        <v>17.866504669189499</v>
      </c>
      <c r="X550" s="253">
        <v>17.993064880371101</v>
      </c>
      <c r="Y550" s="253">
        <v>18.128524780273398</v>
      </c>
      <c r="Z550" s="289">
        <f>Y550+($AI$380-$Y$550)/10</f>
        <v>18.036478922002154</v>
      </c>
    </row>
    <row r="551" spans="1:26" x14ac:dyDescent="0.25">
      <c r="A551" s="249" t="s">
        <v>479</v>
      </c>
      <c r="B551" s="253">
        <v>20.034517288208001</v>
      </c>
      <c r="C551" s="253">
        <v>20.636144638061499</v>
      </c>
      <c r="D551" s="253">
        <v>21.1998176574707</v>
      </c>
      <c r="E551" s="253">
        <v>20.923387527465799</v>
      </c>
      <c r="F551" s="253">
        <v>19.967187881469702</v>
      </c>
      <c r="G551" s="253">
        <v>19.089002609252901</v>
      </c>
      <c r="H551" s="253">
        <v>18.799640655517599</v>
      </c>
      <c r="I551" s="253">
        <v>18.828804016113299</v>
      </c>
      <c r="J551" s="253">
        <v>18.807792663574201</v>
      </c>
      <c r="K551" s="253">
        <v>18.831340789794901</v>
      </c>
      <c r="L551" s="253">
        <v>19.0241508483887</v>
      </c>
      <c r="M551" s="253">
        <v>19.232509613037099</v>
      </c>
      <c r="N551" s="253">
        <v>19.521226882934599</v>
      </c>
      <c r="O551" s="253">
        <v>19.590469360351602</v>
      </c>
      <c r="P551" s="253">
        <v>19.544775009155298</v>
      </c>
      <c r="Q551" s="253">
        <v>19.5792236328125</v>
      </c>
      <c r="R551" s="253">
        <v>19.706111907958999</v>
      </c>
      <c r="S551" s="253">
        <v>19.899772644043001</v>
      </c>
      <c r="T551" s="253">
        <v>19.988050460815401</v>
      </c>
      <c r="U551" s="253">
        <v>20.054973602294901</v>
      </c>
      <c r="V551" s="253">
        <v>19.979206085205099</v>
      </c>
      <c r="W551" s="253">
        <v>19.890190124511701</v>
      </c>
      <c r="X551" s="253">
        <v>19.9172687530518</v>
      </c>
      <c r="Y551" s="253">
        <v>19.9590148925781</v>
      </c>
    </row>
    <row r="552" spans="1:26" x14ac:dyDescent="0.25">
      <c r="A552" s="249" t="s">
        <v>440</v>
      </c>
      <c r="B552" s="253" t="s">
        <v>440</v>
      </c>
      <c r="C552" s="253" t="s">
        <v>440</v>
      </c>
      <c r="D552" s="253" t="s">
        <v>440</v>
      </c>
      <c r="E552" s="253" t="s">
        <v>440</v>
      </c>
      <c r="F552" s="253" t="s">
        <v>440</v>
      </c>
      <c r="G552" s="253" t="s">
        <v>440</v>
      </c>
      <c r="H552" s="253" t="s">
        <v>440</v>
      </c>
      <c r="I552" s="253" t="s">
        <v>440</v>
      </c>
      <c r="J552" s="253" t="s">
        <v>440</v>
      </c>
      <c r="K552" s="253" t="s">
        <v>440</v>
      </c>
      <c r="L552" s="253" t="s">
        <v>440</v>
      </c>
      <c r="M552" s="253" t="s">
        <v>440</v>
      </c>
      <c r="N552" s="253" t="s">
        <v>440</v>
      </c>
      <c r="O552" s="253" t="s">
        <v>440</v>
      </c>
      <c r="P552" s="253" t="s">
        <v>440</v>
      </c>
      <c r="Q552" s="253" t="s">
        <v>440</v>
      </c>
      <c r="R552" s="253" t="s">
        <v>440</v>
      </c>
      <c r="S552" s="253" t="s">
        <v>440</v>
      </c>
      <c r="T552" s="253" t="s">
        <v>440</v>
      </c>
      <c r="U552" s="253" t="s">
        <v>440</v>
      </c>
      <c r="V552" s="253" t="s">
        <v>440</v>
      </c>
      <c r="W552" s="253" t="s">
        <v>440</v>
      </c>
      <c r="X552" s="253" t="s">
        <v>440</v>
      </c>
      <c r="Y552" s="253" t="s">
        <v>440</v>
      </c>
    </row>
    <row r="553" spans="1:26" x14ac:dyDescent="0.25">
      <c r="A553" s="249" t="s">
        <v>498</v>
      </c>
      <c r="B553" s="253">
        <v>10.2607097625732</v>
      </c>
      <c r="C553" s="253">
        <v>11.4965677261353</v>
      </c>
      <c r="D553" s="253">
        <v>12.498481750488301</v>
      </c>
      <c r="E553" s="253">
        <v>12.3126974105835</v>
      </c>
      <c r="F553" s="253">
        <v>11.5857706069946</v>
      </c>
      <c r="G553" s="253">
        <v>11.0374755859375</v>
      </c>
      <c r="H553" s="253">
        <v>10.8027191162109</v>
      </c>
      <c r="I553" s="253">
        <v>10.6485815048218</v>
      </c>
      <c r="J553" s="253">
        <v>10.5555610656738</v>
      </c>
      <c r="K553" s="253">
        <v>10.564617156982401</v>
      </c>
      <c r="L553" s="253">
        <v>10.6249675750732</v>
      </c>
      <c r="M553" s="253">
        <v>10.7333173751831</v>
      </c>
      <c r="N553" s="253">
        <v>10.851320266723601</v>
      </c>
      <c r="O553" s="253">
        <v>10.9544372558594</v>
      </c>
      <c r="P553" s="253">
        <v>11.0046529769897</v>
      </c>
      <c r="Q553" s="253">
        <v>11.070010185241699</v>
      </c>
      <c r="R553" s="253">
        <v>11.175311088561999</v>
      </c>
      <c r="S553" s="253">
        <v>11.313448905944799</v>
      </c>
      <c r="T553" s="253">
        <v>11.4217777252197</v>
      </c>
      <c r="U553" s="253">
        <v>11.534593582153301</v>
      </c>
      <c r="V553" s="253">
        <v>11.6029949188232</v>
      </c>
      <c r="W553" s="253">
        <v>11.660957336425801</v>
      </c>
      <c r="X553" s="253">
        <v>11.7183265686035</v>
      </c>
      <c r="Y553" s="253">
        <v>11.827390670776399</v>
      </c>
    </row>
    <row r="554" spans="1:26" x14ac:dyDescent="0.25">
      <c r="A554" s="249" t="s">
        <v>483</v>
      </c>
      <c r="B554" s="253">
        <v>7.8488264083862296</v>
      </c>
      <c r="C554" s="253">
        <v>9.3171482086181605</v>
      </c>
      <c r="D554" s="253">
        <v>10.5270042419434</v>
      </c>
      <c r="E554" s="253">
        <v>10.2914838790894</v>
      </c>
      <c r="F554" s="253">
        <v>9.5772314071655291</v>
      </c>
      <c r="G554" s="253">
        <v>9.0944671630859393</v>
      </c>
      <c r="H554" s="253">
        <v>8.8957033157348597</v>
      </c>
      <c r="I554" s="253">
        <v>8.7092790603637695</v>
      </c>
      <c r="J554" s="253">
        <v>8.6138839721679705</v>
      </c>
      <c r="K554" s="253">
        <v>8.6225843429565394</v>
      </c>
      <c r="L554" s="253">
        <v>8.6363019943237305</v>
      </c>
      <c r="M554" s="253">
        <v>8.7009534835815394</v>
      </c>
      <c r="N554" s="253">
        <v>8.7555856704711896</v>
      </c>
      <c r="O554" s="253">
        <v>8.8331260681152308</v>
      </c>
      <c r="P554" s="253">
        <v>8.8750228881835902</v>
      </c>
      <c r="Q554" s="253">
        <v>8.9212465286254901</v>
      </c>
      <c r="R554" s="253">
        <v>8.9933633804321307</v>
      </c>
      <c r="S554" s="253">
        <v>9.0904560089111293</v>
      </c>
      <c r="T554" s="253">
        <v>9.1763067245483398</v>
      </c>
      <c r="U554" s="253">
        <v>9.2688179016113299</v>
      </c>
      <c r="V554" s="253">
        <v>9.3425512313842791</v>
      </c>
      <c r="W554" s="253">
        <v>9.4030828475952095</v>
      </c>
      <c r="X554" s="253">
        <v>9.4481410980224592</v>
      </c>
      <c r="Y554" s="253">
        <v>9.5455484390258807</v>
      </c>
    </row>
    <row r="555" spans="1:26" x14ac:dyDescent="0.25">
      <c r="A555" s="249" t="s">
        <v>479</v>
      </c>
      <c r="B555" s="253">
        <v>21.599882125854499</v>
      </c>
      <c r="C555" s="253">
        <v>21.735733032226602</v>
      </c>
      <c r="D555" s="253">
        <v>21.728578567504901</v>
      </c>
      <c r="E555" s="253">
        <v>21.659519195556602</v>
      </c>
      <c r="F555" s="253">
        <v>20.859115600585898</v>
      </c>
      <c r="G555" s="253">
        <v>19.947565078735401</v>
      </c>
      <c r="H555" s="253">
        <v>19.5044040679932</v>
      </c>
      <c r="I555" s="253">
        <v>19.468164443969702</v>
      </c>
      <c r="J555" s="253">
        <v>19.363897323608398</v>
      </c>
      <c r="K555" s="253">
        <v>19.340778350830099</v>
      </c>
      <c r="L555" s="253">
        <v>19.565423965454102</v>
      </c>
      <c r="M555" s="253">
        <v>19.829431533813501</v>
      </c>
      <c r="N555" s="253">
        <v>20.184032440185501</v>
      </c>
      <c r="O555" s="253">
        <v>20.348131179809599</v>
      </c>
      <c r="P555" s="253">
        <v>20.384618759155298</v>
      </c>
      <c r="Q555" s="253">
        <v>20.4941310882568</v>
      </c>
      <c r="R555" s="253">
        <v>20.6934413909912</v>
      </c>
      <c r="S555" s="253">
        <v>20.961088180541999</v>
      </c>
      <c r="T555" s="253">
        <v>21.1064147949219</v>
      </c>
      <c r="U555" s="253">
        <v>21.2582683563232</v>
      </c>
      <c r="V555" s="253">
        <v>21.2429523468018</v>
      </c>
      <c r="W555" s="253">
        <v>21.2300205230713</v>
      </c>
      <c r="X555" s="253">
        <v>21.277418136596701</v>
      </c>
      <c r="Y555" s="253">
        <v>21.3841457366943</v>
      </c>
    </row>
    <row r="556" spans="1:26" x14ac:dyDescent="0.25">
      <c r="A556" s="249" t="s">
        <v>440</v>
      </c>
      <c r="B556" s="253" t="s">
        <v>440</v>
      </c>
      <c r="C556" s="253" t="s">
        <v>440</v>
      </c>
      <c r="D556" s="253" t="s">
        <v>440</v>
      </c>
      <c r="E556" s="253" t="s">
        <v>440</v>
      </c>
      <c r="F556" s="253" t="s">
        <v>440</v>
      </c>
      <c r="G556" s="253" t="s">
        <v>440</v>
      </c>
      <c r="H556" s="253" t="s">
        <v>440</v>
      </c>
      <c r="I556" s="253" t="s">
        <v>440</v>
      </c>
      <c r="J556" s="253" t="s">
        <v>440</v>
      </c>
      <c r="K556" s="253" t="s">
        <v>440</v>
      </c>
      <c r="L556" s="253" t="s">
        <v>440</v>
      </c>
      <c r="M556" s="253" t="s">
        <v>440</v>
      </c>
      <c r="N556" s="253" t="s">
        <v>440</v>
      </c>
      <c r="O556" s="253" t="s">
        <v>440</v>
      </c>
      <c r="P556" s="253" t="s">
        <v>440</v>
      </c>
      <c r="Q556" s="253" t="s">
        <v>440</v>
      </c>
      <c r="R556" s="253" t="s">
        <v>440</v>
      </c>
      <c r="S556" s="253" t="s">
        <v>440</v>
      </c>
      <c r="T556" s="253" t="s">
        <v>440</v>
      </c>
      <c r="U556" s="253" t="s">
        <v>440</v>
      </c>
      <c r="V556" s="253" t="s">
        <v>440</v>
      </c>
      <c r="W556" s="253" t="s">
        <v>440</v>
      </c>
      <c r="X556" s="253" t="s">
        <v>440</v>
      </c>
      <c r="Y556" s="253" t="s">
        <v>440</v>
      </c>
    </row>
    <row r="557" spans="1:26" x14ac:dyDescent="0.25">
      <c r="A557" s="249" t="s">
        <v>499</v>
      </c>
      <c r="B557" s="253" t="s">
        <v>440</v>
      </c>
      <c r="C557" s="253" t="s">
        <v>440</v>
      </c>
      <c r="D557" s="253" t="s">
        <v>440</v>
      </c>
      <c r="E557" s="253" t="s">
        <v>440</v>
      </c>
      <c r="F557" s="253" t="s">
        <v>440</v>
      </c>
      <c r="G557" s="253" t="s">
        <v>440</v>
      </c>
      <c r="H557" s="253" t="s">
        <v>440</v>
      </c>
      <c r="I557" s="253" t="s">
        <v>440</v>
      </c>
      <c r="J557" s="253" t="s">
        <v>440</v>
      </c>
      <c r="K557" s="253" t="s">
        <v>440</v>
      </c>
      <c r="L557" s="253" t="s">
        <v>440</v>
      </c>
      <c r="M557" s="253" t="s">
        <v>440</v>
      </c>
      <c r="N557" s="253" t="s">
        <v>440</v>
      </c>
      <c r="O557" s="253" t="s">
        <v>440</v>
      </c>
      <c r="P557" s="253" t="s">
        <v>440</v>
      </c>
      <c r="Q557" s="253" t="s">
        <v>440</v>
      </c>
      <c r="R557" s="253" t="s">
        <v>440</v>
      </c>
      <c r="S557" s="253" t="s">
        <v>440</v>
      </c>
      <c r="T557" s="253" t="s">
        <v>440</v>
      </c>
      <c r="U557" s="253" t="s">
        <v>440</v>
      </c>
      <c r="V557" s="253" t="s">
        <v>440</v>
      </c>
      <c r="W557" s="253" t="s">
        <v>440</v>
      </c>
      <c r="X557" s="253" t="s">
        <v>440</v>
      </c>
      <c r="Y557" s="253" t="s">
        <v>440</v>
      </c>
    </row>
    <row r="558" spans="1:26" x14ac:dyDescent="0.25">
      <c r="A558" s="249" t="s">
        <v>500</v>
      </c>
      <c r="B558" s="253">
        <v>1.8996955156326301</v>
      </c>
      <c r="C558" s="253">
        <v>2.2409727573394802</v>
      </c>
      <c r="D558" s="253">
        <v>2.4238619804382302</v>
      </c>
      <c r="E558" s="253">
        <v>2.3792355060577401</v>
      </c>
      <c r="F558" s="253">
        <v>2.2243471145629901</v>
      </c>
      <c r="G558" s="253">
        <v>2.11745405197144</v>
      </c>
      <c r="H558" s="253">
        <v>2.0720956325531001</v>
      </c>
      <c r="I558" s="253">
        <v>2.06648945808411</v>
      </c>
      <c r="J558" s="253">
        <v>2.0576293468475302</v>
      </c>
      <c r="K558" s="253">
        <v>2.0898380279540998</v>
      </c>
      <c r="L558" s="253">
        <v>2.13185787200928</v>
      </c>
      <c r="M558" s="253">
        <v>2.1827101707458501</v>
      </c>
      <c r="N558" s="253">
        <v>2.2442750930786102</v>
      </c>
      <c r="O558" s="253">
        <v>2.2846662998199498</v>
      </c>
      <c r="P558" s="253">
        <v>2.2886507511138898</v>
      </c>
      <c r="Q558" s="253">
        <v>2.31255102157593</v>
      </c>
      <c r="R558" s="253">
        <v>2.3658699989318799</v>
      </c>
      <c r="S558" s="253">
        <v>2.41897773742676</v>
      </c>
      <c r="T558" s="253">
        <v>2.4451649188995401</v>
      </c>
      <c r="U558" s="253">
        <v>2.4616906642913801</v>
      </c>
      <c r="V558" s="253">
        <v>2.4596512317657502</v>
      </c>
      <c r="W558" s="253">
        <v>2.4499151706695601</v>
      </c>
      <c r="X558" s="253">
        <v>2.46315670013428</v>
      </c>
      <c r="Y558" s="253">
        <v>2.4591720104217498</v>
      </c>
    </row>
    <row r="559" spans="1:26" x14ac:dyDescent="0.25">
      <c r="A559" s="249" t="s">
        <v>502</v>
      </c>
      <c r="B559" s="253">
        <v>4.3748912811279297</v>
      </c>
      <c r="C559" s="253">
        <v>5.2786889076232901</v>
      </c>
      <c r="D559" s="253">
        <v>5.9517397880554199</v>
      </c>
      <c r="E559" s="253">
        <v>5.8145914077758798</v>
      </c>
      <c r="F559" s="253">
        <v>5.36482858657837</v>
      </c>
      <c r="G559" s="253">
        <v>4.9555935859680202</v>
      </c>
      <c r="H559" s="253">
        <v>4.76583051681519</v>
      </c>
      <c r="I559" s="253">
        <v>4.6106519699096697</v>
      </c>
      <c r="J559" s="253">
        <v>4.5544371604919398</v>
      </c>
      <c r="K559" s="253">
        <v>4.5760931968689</v>
      </c>
      <c r="L559" s="253">
        <v>4.6005949974060103</v>
      </c>
      <c r="M559" s="253">
        <v>4.65545606613159</v>
      </c>
      <c r="N559" s="253">
        <v>4.7050404548645002</v>
      </c>
      <c r="O559" s="253">
        <v>4.76641750335693</v>
      </c>
      <c r="P559" s="253">
        <v>4.8219771385192898</v>
      </c>
      <c r="Q559" s="253">
        <v>4.8744759559631303</v>
      </c>
      <c r="R559" s="253">
        <v>4.9555630683898899</v>
      </c>
      <c r="S559" s="253">
        <v>5.0235657691955602</v>
      </c>
      <c r="T559" s="253">
        <v>5.0990805625915501</v>
      </c>
      <c r="U559" s="253">
        <v>5.1768889427185103</v>
      </c>
      <c r="V559" s="253">
        <v>5.2447147369384801</v>
      </c>
      <c r="W559" s="253">
        <v>5.3197603225707999</v>
      </c>
      <c r="X559" s="253">
        <v>5.3696103096008301</v>
      </c>
      <c r="Y559" s="253">
        <v>5.4173326492309597</v>
      </c>
    </row>
    <row r="560" spans="1:26" x14ac:dyDescent="0.25">
      <c r="A560" s="249" t="s">
        <v>476</v>
      </c>
      <c r="B560" s="253">
        <v>5.6938004493713397</v>
      </c>
      <c r="C560" s="253">
        <v>6.4773354530334499</v>
      </c>
      <c r="D560" s="253">
        <v>7.1750502586364702</v>
      </c>
      <c r="E560" s="253">
        <v>6.8899459838867196</v>
      </c>
      <c r="F560" s="253">
        <v>6.2672758102417001</v>
      </c>
      <c r="G560" s="253">
        <v>5.8609590530395499</v>
      </c>
      <c r="H560" s="253">
        <v>5.6430783271789604</v>
      </c>
      <c r="I560" s="253">
        <v>5.4534807205200204</v>
      </c>
      <c r="J560" s="253">
        <v>5.3617582321167001</v>
      </c>
      <c r="K560" s="253">
        <v>5.3288640975952104</v>
      </c>
      <c r="L560" s="253">
        <v>5.3712139129638699</v>
      </c>
      <c r="M560" s="253">
        <v>5.41644287109375</v>
      </c>
      <c r="N560" s="253">
        <v>5.4747476577758798</v>
      </c>
      <c r="O560" s="253">
        <v>5.5268063545227104</v>
      </c>
      <c r="P560" s="253">
        <v>5.5894103050231898</v>
      </c>
      <c r="Q560" s="253">
        <v>5.6297807693481401</v>
      </c>
      <c r="R560" s="253">
        <v>5.7926478385925302</v>
      </c>
      <c r="S560" s="253">
        <v>5.9167857170104998</v>
      </c>
      <c r="T560" s="253">
        <v>6.0082931518554696</v>
      </c>
      <c r="U560" s="253">
        <v>6.11431789398193</v>
      </c>
      <c r="V560" s="253">
        <v>6.21482229232788</v>
      </c>
      <c r="W560" s="253">
        <v>6.2930455207824698</v>
      </c>
      <c r="X560" s="253">
        <v>6.3174986839294398</v>
      </c>
      <c r="Y560" s="253">
        <v>6.3298768997192401</v>
      </c>
    </row>
    <row r="561" spans="1:26" x14ac:dyDescent="0.25">
      <c r="A561" s="249" t="s">
        <v>481</v>
      </c>
      <c r="B561" s="253">
        <v>3.9850425720214799</v>
      </c>
      <c r="C561" s="253">
        <v>4.7911210060119602</v>
      </c>
      <c r="D561" s="253">
        <v>5.5054435729980504</v>
      </c>
      <c r="E561" s="253">
        <v>5.3836607933044398</v>
      </c>
      <c r="F561" s="253">
        <v>4.9928164482116699</v>
      </c>
      <c r="G561" s="253">
        <v>4.5735058784484899</v>
      </c>
      <c r="H561" s="253">
        <v>4.37508344650269</v>
      </c>
      <c r="I561" s="253">
        <v>4.2357888221740696</v>
      </c>
      <c r="J561" s="253">
        <v>4.1871180534362802</v>
      </c>
      <c r="K561" s="253">
        <v>4.2367839813232404</v>
      </c>
      <c r="L561" s="253">
        <v>4.2823972702026403</v>
      </c>
      <c r="M561" s="253">
        <v>4.3351020812988299</v>
      </c>
      <c r="N561" s="253">
        <v>4.38077735900879</v>
      </c>
      <c r="O561" s="253">
        <v>4.4392328262329102</v>
      </c>
      <c r="P561" s="253">
        <v>4.4927945137023899</v>
      </c>
      <c r="Q561" s="253">
        <v>4.5466628074645996</v>
      </c>
      <c r="R561" s="253">
        <v>4.5988087654113796</v>
      </c>
      <c r="S561" s="253">
        <v>4.6550941467285201</v>
      </c>
      <c r="T561" s="253">
        <v>4.7130184173584002</v>
      </c>
      <c r="U561" s="253">
        <v>4.7694864273071298</v>
      </c>
      <c r="V561" s="253">
        <v>4.8261427879333496</v>
      </c>
      <c r="W561" s="253">
        <v>4.8835220336914098</v>
      </c>
      <c r="X561" s="253">
        <v>4.9410810470581099</v>
      </c>
      <c r="Y561" s="253">
        <v>5.0030183792114302</v>
      </c>
    </row>
    <row r="562" spans="1:26" x14ac:dyDescent="0.25">
      <c r="A562" s="274" t="s">
        <v>478</v>
      </c>
      <c r="B562" s="253">
        <v>3.6857740879058798</v>
      </c>
      <c r="C562" s="253">
        <v>5.4593739509582502</v>
      </c>
      <c r="D562" s="253">
        <v>5.9836626052856401</v>
      </c>
      <c r="E562" s="253">
        <v>5.9217834472656303</v>
      </c>
      <c r="F562" s="253">
        <v>5.2677536010742196</v>
      </c>
      <c r="G562" s="253">
        <v>4.83196926116943</v>
      </c>
      <c r="H562" s="253">
        <v>4.4959845542907697</v>
      </c>
      <c r="I562" s="253">
        <v>4.3869647979736301</v>
      </c>
      <c r="J562" s="253">
        <v>4.2738447189331099</v>
      </c>
      <c r="K562" s="253">
        <v>4.3073697090148899</v>
      </c>
      <c r="L562" s="253">
        <v>4.4138617515564</v>
      </c>
      <c r="M562" s="253">
        <v>4.5377993583679199</v>
      </c>
      <c r="N562" s="253">
        <v>4.6997785568237296</v>
      </c>
      <c r="O562" s="253">
        <v>4.8059244155883798</v>
      </c>
      <c r="P562" s="253">
        <v>4.7723231315612802</v>
      </c>
      <c r="Q562" s="253">
        <v>4.7962751388549796</v>
      </c>
      <c r="R562" s="253">
        <v>4.93237209320068</v>
      </c>
      <c r="S562" s="253">
        <v>5.0951194763183603</v>
      </c>
      <c r="T562" s="253">
        <v>5.2029786109924299</v>
      </c>
      <c r="U562" s="253">
        <v>5.2939982414245597</v>
      </c>
      <c r="V562" s="253">
        <v>5.3285460472106898</v>
      </c>
      <c r="W562" s="253">
        <v>5.3187093734741202</v>
      </c>
      <c r="X562" s="253">
        <v>5.3844461441040004</v>
      </c>
      <c r="Y562" s="253">
        <v>5.4420223236084002</v>
      </c>
      <c r="Z562" s="283">
        <f>Y562+($AI$392-$Y$562)/10</f>
        <v>5.4722581683132612</v>
      </c>
    </row>
    <row r="563" spans="1:26" x14ac:dyDescent="0.25">
      <c r="A563" s="278" t="s">
        <v>486</v>
      </c>
      <c r="B563" s="253">
        <v>1.2699717283248899</v>
      </c>
      <c r="C563" s="253">
        <v>1.27919089794159</v>
      </c>
      <c r="D563" s="253">
        <v>1.2833664417266799</v>
      </c>
      <c r="E563" s="253">
        <v>1.28942894935608</v>
      </c>
      <c r="F563" s="253">
        <v>1.29215919971466</v>
      </c>
      <c r="G563" s="253">
        <v>1.28011155128479</v>
      </c>
      <c r="H563" s="253">
        <v>1.2771430015564</v>
      </c>
      <c r="I563" s="253">
        <v>1.2664887905120801</v>
      </c>
      <c r="J563" s="253">
        <v>1.2516112327575699</v>
      </c>
      <c r="K563" s="253">
        <v>1.2440552711486801</v>
      </c>
      <c r="L563" s="253">
        <v>1.2386393547058101</v>
      </c>
      <c r="M563" s="253">
        <v>1.23525643348694</v>
      </c>
      <c r="N563" s="253">
        <v>1.23468470573425</v>
      </c>
      <c r="O563" s="253">
        <v>1.2341449260711701</v>
      </c>
      <c r="P563" s="253">
        <v>1.23174548149109</v>
      </c>
      <c r="Q563" s="253">
        <v>1.2347780466079701</v>
      </c>
      <c r="R563" s="253">
        <v>1.23870933055878</v>
      </c>
      <c r="S563" s="253">
        <v>1.2427853345871001</v>
      </c>
      <c r="T563" s="253">
        <v>1.24646520614624</v>
      </c>
      <c r="U563" s="253">
        <v>1.2552444934845</v>
      </c>
      <c r="V563" s="253">
        <v>1.26424860954285</v>
      </c>
      <c r="W563" s="253">
        <v>1.2944931983947801</v>
      </c>
      <c r="X563" s="253">
        <v>1.3030458688736</v>
      </c>
      <c r="Y563" s="253">
        <v>1.30599772930145</v>
      </c>
      <c r="Z563" s="291">
        <f>Y563+($AI$393-$Y$563)/10</f>
        <v>1.3088234854404943</v>
      </c>
    </row>
    <row r="564" spans="1:26" x14ac:dyDescent="0.25">
      <c r="A564" s="249" t="s">
        <v>440</v>
      </c>
      <c r="B564" s="253" t="s">
        <v>440</v>
      </c>
      <c r="C564" s="253" t="s">
        <v>440</v>
      </c>
      <c r="D564" s="253" t="s">
        <v>440</v>
      </c>
      <c r="E564" s="253" t="s">
        <v>440</v>
      </c>
      <c r="F564" s="253" t="s">
        <v>440</v>
      </c>
      <c r="G564" s="253" t="s">
        <v>440</v>
      </c>
      <c r="H564" s="253" t="s">
        <v>440</v>
      </c>
      <c r="I564" s="253" t="s">
        <v>440</v>
      </c>
      <c r="J564" s="253" t="s">
        <v>440</v>
      </c>
      <c r="K564" s="253" t="s">
        <v>440</v>
      </c>
      <c r="L564" s="253" t="s">
        <v>440</v>
      </c>
      <c r="M564" s="253" t="s">
        <v>440</v>
      </c>
      <c r="N564" s="253" t="s">
        <v>440</v>
      </c>
      <c r="O564" s="253" t="s">
        <v>440</v>
      </c>
      <c r="P564" s="253" t="s">
        <v>440</v>
      </c>
      <c r="Q564" s="253" t="s">
        <v>440</v>
      </c>
      <c r="R564" s="253" t="s">
        <v>440</v>
      </c>
      <c r="S564" s="253" t="s">
        <v>440</v>
      </c>
      <c r="T564" s="253" t="s">
        <v>440</v>
      </c>
      <c r="U564" s="253" t="s">
        <v>440</v>
      </c>
      <c r="V564" s="253" t="s">
        <v>440</v>
      </c>
      <c r="W564" s="253" t="s">
        <v>440</v>
      </c>
      <c r="X564" s="253" t="s">
        <v>440</v>
      </c>
      <c r="Y564" s="253" t="s">
        <v>440</v>
      </c>
    </row>
    <row r="565" spans="1:26" x14ac:dyDescent="0.25">
      <c r="A565" s="249" t="s">
        <v>503</v>
      </c>
      <c r="B565" s="253" t="s">
        <v>440</v>
      </c>
      <c r="C565" s="253" t="s">
        <v>440</v>
      </c>
      <c r="D565" s="253" t="s">
        <v>440</v>
      </c>
      <c r="E565" s="253" t="s">
        <v>440</v>
      </c>
      <c r="F565" s="253" t="s">
        <v>440</v>
      </c>
      <c r="G565" s="253" t="s">
        <v>440</v>
      </c>
      <c r="H565" s="253" t="s">
        <v>440</v>
      </c>
      <c r="I565" s="253" t="s">
        <v>440</v>
      </c>
      <c r="J565" s="253" t="s">
        <v>440</v>
      </c>
      <c r="K565" s="253" t="s">
        <v>440</v>
      </c>
      <c r="L565" s="253" t="s">
        <v>440</v>
      </c>
      <c r="M565" s="253" t="s">
        <v>440</v>
      </c>
      <c r="N565" s="253" t="s">
        <v>440</v>
      </c>
      <c r="O565" s="253" t="s">
        <v>440</v>
      </c>
      <c r="P565" s="253" t="s">
        <v>440</v>
      </c>
      <c r="Q565" s="253" t="s">
        <v>440</v>
      </c>
      <c r="R565" s="253" t="s">
        <v>440</v>
      </c>
      <c r="S565" s="253" t="s">
        <v>440</v>
      </c>
      <c r="T565" s="253" t="s">
        <v>440</v>
      </c>
      <c r="U565" s="253" t="s">
        <v>440</v>
      </c>
      <c r="V565" s="253" t="s">
        <v>440</v>
      </c>
      <c r="W565" s="253" t="s">
        <v>440</v>
      </c>
      <c r="X565" s="253" t="s">
        <v>440</v>
      </c>
      <c r="Y565" s="253" t="s">
        <v>440</v>
      </c>
    </row>
    <row r="566" spans="1:26" x14ac:dyDescent="0.25">
      <c r="A566" s="249" t="s">
        <v>504</v>
      </c>
      <c r="B566" s="253">
        <v>9.0916013717651403</v>
      </c>
      <c r="C566" s="253">
        <v>10.5092258453369</v>
      </c>
      <c r="D566" s="253">
        <v>12.005053520202599</v>
      </c>
      <c r="E566" s="253">
        <v>11.630154609680201</v>
      </c>
      <c r="F566" s="253">
        <v>10.867414474487299</v>
      </c>
      <c r="G566" s="253">
        <v>10.341483116149901</v>
      </c>
      <c r="H566" s="253">
        <v>10.206826210021999</v>
      </c>
      <c r="I566" s="253">
        <v>9.9809312820434606</v>
      </c>
      <c r="J566" s="253">
        <v>9.9117403030395508</v>
      </c>
      <c r="K566" s="253">
        <v>9.9329805374145508</v>
      </c>
      <c r="L566" s="253">
        <v>9.9184780120849592</v>
      </c>
      <c r="M566" s="253">
        <v>9.9575662612915004</v>
      </c>
      <c r="N566" s="253">
        <v>9.9538516998290998</v>
      </c>
      <c r="O566" s="253">
        <v>10.000968933105501</v>
      </c>
      <c r="P566" s="253">
        <v>10.066521644592299</v>
      </c>
      <c r="Q566" s="253">
        <v>10.122728347778301</v>
      </c>
      <c r="R566" s="253">
        <v>10.166119575500501</v>
      </c>
      <c r="S566" s="253">
        <v>10.2242088317871</v>
      </c>
      <c r="T566" s="253">
        <v>10.2887620925903</v>
      </c>
      <c r="U566" s="253">
        <v>10.370365142822299</v>
      </c>
      <c r="V566" s="253">
        <v>10.451409339904799</v>
      </c>
      <c r="W566" s="253">
        <v>10.528607368469199</v>
      </c>
      <c r="X566" s="253">
        <v>10.560112953186</v>
      </c>
      <c r="Y566" s="253">
        <v>10.6600894927979</v>
      </c>
    </row>
    <row r="567" spans="1:26" x14ac:dyDescent="0.25">
      <c r="A567" s="249" t="s">
        <v>505</v>
      </c>
      <c r="B567" s="253">
        <v>8.7129955291747994</v>
      </c>
      <c r="C567" s="253">
        <v>9.89868068695068</v>
      </c>
      <c r="D567" s="253">
        <v>10.9323616027832</v>
      </c>
      <c r="E567" s="253">
        <v>10.516496658325201</v>
      </c>
      <c r="F567" s="253">
        <v>10.0722150802612</v>
      </c>
      <c r="G567" s="253">
        <v>9.7644062042236293</v>
      </c>
      <c r="H567" s="253">
        <v>9.6708259582519496</v>
      </c>
      <c r="I567" s="253">
        <v>9.5059432983398402</v>
      </c>
      <c r="J567" s="253">
        <v>9.5328626632690394</v>
      </c>
      <c r="K567" s="253">
        <v>9.6073579788208008</v>
      </c>
      <c r="L567" s="253">
        <v>9.6717586517334002</v>
      </c>
      <c r="M567" s="253">
        <v>9.7472448348999006</v>
      </c>
      <c r="N567" s="253">
        <v>9.7227439880371094</v>
      </c>
      <c r="O567" s="253">
        <v>9.7185726165771502</v>
      </c>
      <c r="P567" s="253">
        <v>9.7264575958252006</v>
      </c>
      <c r="Q567" s="253">
        <v>9.7659683227539098</v>
      </c>
      <c r="R567" s="253">
        <v>9.7933034896850604</v>
      </c>
      <c r="S567" s="253">
        <v>9.8243274688720703</v>
      </c>
      <c r="T567" s="253">
        <v>9.7878532409668004</v>
      </c>
      <c r="U567" s="253">
        <v>9.8349857330322301</v>
      </c>
      <c r="V567" s="253">
        <v>9.8761272430419904</v>
      </c>
      <c r="W567" s="253">
        <v>9.8313732147216797</v>
      </c>
      <c r="X567" s="253">
        <v>9.8799133300781303</v>
      </c>
      <c r="Y567" s="253">
        <v>10.0311069488525</v>
      </c>
    </row>
    <row r="568" spans="1:26" x14ac:dyDescent="0.25">
      <c r="A568" s="249" t="s">
        <v>506</v>
      </c>
      <c r="B568" s="253">
        <v>6.0538434982299796</v>
      </c>
      <c r="C568" s="253">
        <v>6.4578518867492702</v>
      </c>
      <c r="D568" s="253">
        <v>8.1168746948242205</v>
      </c>
      <c r="E568" s="253">
        <v>7.6875572204589799</v>
      </c>
      <c r="F568" s="253">
        <v>7.0150871276855504</v>
      </c>
      <c r="G568" s="253">
        <v>6.5790328979492196</v>
      </c>
      <c r="H568" s="253">
        <v>6.5712537765502903</v>
      </c>
      <c r="I568" s="253">
        <v>6.42602443695068</v>
      </c>
      <c r="J568" s="253">
        <v>6.2476048469543501</v>
      </c>
      <c r="K568" s="253">
        <v>6.2184038162231401</v>
      </c>
      <c r="L568" s="253">
        <v>6.2436552047729501</v>
      </c>
      <c r="M568" s="253">
        <v>6.2858424186706499</v>
      </c>
      <c r="N568" s="253">
        <v>6.2737250328064</v>
      </c>
      <c r="O568" s="253">
        <v>6.2926135063171396</v>
      </c>
      <c r="P568" s="253">
        <v>6.3336305618286097</v>
      </c>
      <c r="Q568" s="253">
        <v>6.3623290061950701</v>
      </c>
      <c r="R568" s="253">
        <v>6.4419050216674796</v>
      </c>
      <c r="S568" s="253">
        <v>6.5377755165100098</v>
      </c>
      <c r="T568" s="253">
        <v>6.5789065361022896</v>
      </c>
      <c r="U568" s="253">
        <v>6.7034192085266104</v>
      </c>
      <c r="V568" s="253">
        <v>6.8036813735961896</v>
      </c>
      <c r="W568" s="253">
        <v>6.8691210746765101</v>
      </c>
      <c r="X568" s="253">
        <v>6.8930430412292498</v>
      </c>
      <c r="Y568" s="253">
        <v>6.9258189201354998</v>
      </c>
    </row>
    <row r="569" spans="1:26" x14ac:dyDescent="0.25">
      <c r="A569" s="249" t="s">
        <v>507</v>
      </c>
      <c r="B569" s="253">
        <v>9.5166797637939506</v>
      </c>
      <c r="C569" s="253">
        <v>13.0396432876587</v>
      </c>
      <c r="D569" s="253">
        <v>15.6858806610107</v>
      </c>
      <c r="E569" s="253">
        <v>14.0742273330688</v>
      </c>
      <c r="F569" s="253">
        <v>12.086350440979</v>
      </c>
      <c r="G569" s="253">
        <v>11.4653730392456</v>
      </c>
      <c r="H569" s="253">
        <v>11.285403251647899</v>
      </c>
      <c r="I569" s="253">
        <v>11.0092105865479</v>
      </c>
      <c r="J569" s="253">
        <v>10.989564895629901</v>
      </c>
      <c r="K569" s="253">
        <v>10.925596237182599</v>
      </c>
      <c r="L569" s="253">
        <v>10.987684249877899</v>
      </c>
      <c r="M569" s="253">
        <v>11.0838632583618</v>
      </c>
      <c r="N569" s="253">
        <v>11.0187425613403</v>
      </c>
      <c r="O569" s="253">
        <v>11.2084665298462</v>
      </c>
      <c r="P569" s="253">
        <v>11.3385829925537</v>
      </c>
      <c r="Q569" s="253">
        <v>11.336560249328601</v>
      </c>
      <c r="R569" s="253">
        <v>11.412732124328601</v>
      </c>
      <c r="S569" s="253">
        <v>11.5561437606812</v>
      </c>
      <c r="T569" s="253">
        <v>11.7385349273682</v>
      </c>
      <c r="U569" s="253">
        <v>11.9240121841431</v>
      </c>
      <c r="V569" s="253">
        <v>12.033415794372599</v>
      </c>
      <c r="W569" s="253">
        <v>12.184607505798301</v>
      </c>
      <c r="X569" s="253">
        <v>12.2847499847412</v>
      </c>
      <c r="Y569" s="253">
        <v>12.335958480835</v>
      </c>
    </row>
    <row r="570" spans="1:26" x14ac:dyDescent="0.25">
      <c r="A570" s="249" t="s">
        <v>508</v>
      </c>
      <c r="B570" s="253">
        <v>11.3185987472534</v>
      </c>
      <c r="C570" s="253">
        <v>12.9258327484131</v>
      </c>
      <c r="D570" s="253">
        <v>14.650143623352101</v>
      </c>
      <c r="E570" s="253">
        <v>14.3442440032959</v>
      </c>
      <c r="F570" s="253">
        <v>13.623025894165</v>
      </c>
      <c r="G570" s="253">
        <v>12.923449516296399</v>
      </c>
      <c r="H570" s="253">
        <v>12.7128458023071</v>
      </c>
      <c r="I570" s="253">
        <v>12.432819366455099</v>
      </c>
      <c r="J570" s="253">
        <v>12.310016632080099</v>
      </c>
      <c r="K570" s="253">
        <v>12.3222455978394</v>
      </c>
      <c r="L570" s="253">
        <v>12.2171115875244</v>
      </c>
      <c r="M570" s="253">
        <v>12.2130832672119</v>
      </c>
      <c r="N570" s="253">
        <v>12.22132396698</v>
      </c>
      <c r="O570" s="253">
        <v>12.248191833496101</v>
      </c>
      <c r="P570" s="253">
        <v>12.309587478637701</v>
      </c>
      <c r="Q570" s="253">
        <v>12.376181602478001</v>
      </c>
      <c r="R570" s="253">
        <v>12.4016332626343</v>
      </c>
      <c r="S570" s="253">
        <v>12.440443038940399</v>
      </c>
      <c r="T570" s="253">
        <v>12.509931564331101</v>
      </c>
      <c r="U570" s="253">
        <v>12.547391891479499</v>
      </c>
      <c r="V570" s="253">
        <v>12.611403465271</v>
      </c>
      <c r="W570" s="253">
        <v>12.7098541259766</v>
      </c>
      <c r="X570" s="253">
        <v>12.7049369812012</v>
      </c>
      <c r="Y570" s="253">
        <v>12.8036108016968</v>
      </c>
    </row>
    <row r="571" spans="1:26" x14ac:dyDescent="0.25">
      <c r="A571" s="249" t="s">
        <v>509</v>
      </c>
      <c r="B571" s="253">
        <v>3.9308724403381299</v>
      </c>
      <c r="C571" s="253">
        <v>4.6628575325012198</v>
      </c>
      <c r="D571" s="253">
        <v>5.07232666015625</v>
      </c>
      <c r="E571" s="253">
        <v>5.1433629989623997</v>
      </c>
      <c r="F571" s="253">
        <v>4.8060836791992196</v>
      </c>
      <c r="G571" s="253">
        <v>4.3862032890319798</v>
      </c>
      <c r="H571" s="253">
        <v>4.1832194328308097</v>
      </c>
      <c r="I571" s="253">
        <v>4.0440359115600604</v>
      </c>
      <c r="J571" s="253">
        <v>3.9943466186523402</v>
      </c>
      <c r="K571" s="253">
        <v>4.04720115661621</v>
      </c>
      <c r="L571" s="253">
        <v>4.0966601371765101</v>
      </c>
      <c r="M571" s="253">
        <v>4.1477751731872603</v>
      </c>
      <c r="N571" s="253">
        <v>4.19142723083496</v>
      </c>
      <c r="O571" s="253">
        <v>4.2503523826599103</v>
      </c>
      <c r="P571" s="253">
        <v>4.3018612861633301</v>
      </c>
      <c r="Q571" s="253">
        <v>4.3527650833129901</v>
      </c>
      <c r="R571" s="253">
        <v>4.4055538177490199</v>
      </c>
      <c r="S571" s="253">
        <v>4.4662823677062997</v>
      </c>
      <c r="T571" s="253">
        <v>4.5225110054016104</v>
      </c>
      <c r="U571" s="253">
        <v>4.5828208923339799</v>
      </c>
      <c r="V571" s="253">
        <v>4.6386957168579102</v>
      </c>
      <c r="W571" s="253">
        <v>4.6918659210205096</v>
      </c>
      <c r="X571" s="253">
        <v>4.7469024658203098</v>
      </c>
      <c r="Y571" s="253">
        <v>4.8068332672119096</v>
      </c>
    </row>
    <row r="572" spans="1:26" x14ac:dyDescent="0.25">
      <c r="A572" s="249" t="s">
        <v>510</v>
      </c>
      <c r="B572" s="253">
        <v>5.1461992263793901</v>
      </c>
      <c r="C572" s="253">
        <v>6.8558807373046902</v>
      </c>
      <c r="D572" s="253">
        <v>7.3508329391479501</v>
      </c>
      <c r="E572" s="253">
        <v>7.3838677406311</v>
      </c>
      <c r="F572" s="253">
        <v>6.7167663574218803</v>
      </c>
      <c r="G572" s="253">
        <v>6.2544136047363299</v>
      </c>
      <c r="H572" s="253">
        <v>5.8490047454834002</v>
      </c>
      <c r="I572" s="253">
        <v>5.6922402381896999</v>
      </c>
      <c r="J572" s="253">
        <v>5.5182204246520996</v>
      </c>
      <c r="K572" s="253">
        <v>5.4887638092040998</v>
      </c>
      <c r="L572" s="253">
        <v>5.5592789649963397</v>
      </c>
      <c r="M572" s="253">
        <v>5.6574964523315403</v>
      </c>
      <c r="N572" s="253">
        <v>5.8102455139160201</v>
      </c>
      <c r="O572" s="253">
        <v>5.9230461120605504</v>
      </c>
      <c r="P572" s="253">
        <v>5.8875889778137198</v>
      </c>
      <c r="Q572" s="253">
        <v>5.8938632011413601</v>
      </c>
      <c r="R572" s="253">
        <v>6.0147280693054199</v>
      </c>
      <c r="S572" s="253">
        <v>6.1772904396057102</v>
      </c>
      <c r="T572" s="253">
        <v>6.2973737716674796</v>
      </c>
      <c r="U572" s="253">
        <v>6.40012407302856</v>
      </c>
      <c r="V572" s="253">
        <v>6.4435343742370597</v>
      </c>
      <c r="W572" s="253">
        <v>6.4505195617675799</v>
      </c>
      <c r="X572" s="253">
        <v>6.5169725418090803</v>
      </c>
      <c r="Y572" s="253">
        <v>6.5874438285827601</v>
      </c>
    </row>
    <row r="573" spans="1:26" x14ac:dyDescent="0.25">
      <c r="A573" s="249" t="s">
        <v>511</v>
      </c>
      <c r="B573" s="253">
        <v>1.2938040494918801</v>
      </c>
      <c r="C573" s="253">
        <v>1.29924309253693</v>
      </c>
      <c r="D573" s="253">
        <v>1.30395972728729</v>
      </c>
      <c r="E573" s="253">
        <v>1.3117660284042401</v>
      </c>
      <c r="F573" s="253">
        <v>1.3130011558532699</v>
      </c>
      <c r="G573" s="253">
        <v>1.3001606464386</v>
      </c>
      <c r="H573" s="253">
        <v>1.2972036600112899</v>
      </c>
      <c r="I573" s="253">
        <v>1.28666663169861</v>
      </c>
      <c r="J573" s="253">
        <v>1.2722240686416599</v>
      </c>
      <c r="K573" s="253">
        <v>1.2649568319320701</v>
      </c>
      <c r="L573" s="253">
        <v>1.25909507274628</v>
      </c>
      <c r="M573" s="253">
        <v>1.25531446933746</v>
      </c>
      <c r="N573" s="253">
        <v>1.25464415550232</v>
      </c>
      <c r="O573" s="253">
        <v>1.25405156612396</v>
      </c>
      <c r="P573" s="253">
        <v>1.2516055107116699</v>
      </c>
      <c r="Q573" s="253">
        <v>1.25465047359467</v>
      </c>
      <c r="R573" s="253">
        <v>1.2582825422287001</v>
      </c>
      <c r="S573" s="253">
        <v>1.2619441747665401</v>
      </c>
      <c r="T573" s="253">
        <v>1.26514172554016</v>
      </c>
      <c r="U573" s="253">
        <v>1.27338314056396</v>
      </c>
      <c r="V573" s="253">
        <v>1.2817230224609399</v>
      </c>
      <c r="W573" s="253">
        <v>1.31160092353821</v>
      </c>
      <c r="X573" s="253">
        <v>1.3194112777710001</v>
      </c>
      <c r="Y573" s="253">
        <v>1.3217089176178001</v>
      </c>
    </row>
    <row r="574" spans="1:26" x14ac:dyDescent="0.25">
      <c r="A574" s="249" t="s">
        <v>512</v>
      </c>
      <c r="B574" s="253">
        <v>14.6543264389038</v>
      </c>
      <c r="C574" s="253">
        <v>16.232709884643601</v>
      </c>
      <c r="D574" s="253">
        <v>19.6646022796631</v>
      </c>
      <c r="E574" s="253">
        <v>19.5902194976807</v>
      </c>
      <c r="F574" s="253">
        <v>19.473403930664102</v>
      </c>
      <c r="G574" s="253">
        <v>18.312351226806602</v>
      </c>
      <c r="H574" s="253">
        <v>18.154972076416001</v>
      </c>
      <c r="I574" s="253">
        <v>17.744245529174801</v>
      </c>
      <c r="J574" s="253">
        <v>17.108533859252901</v>
      </c>
      <c r="K574" s="253">
        <v>16.985416412353501</v>
      </c>
      <c r="L574" s="253">
        <v>16.891477584838899</v>
      </c>
      <c r="M574" s="253">
        <v>17.106473922729499</v>
      </c>
      <c r="N574" s="253">
        <v>17.298709869384801</v>
      </c>
      <c r="O574" s="253">
        <v>17.370653152465799</v>
      </c>
      <c r="P574" s="253">
        <v>17.404756546020501</v>
      </c>
      <c r="Q574" s="253">
        <v>17.4316711425781</v>
      </c>
      <c r="R574" s="253">
        <v>17.495216369628899</v>
      </c>
      <c r="S574" s="253">
        <v>17.111986160278299</v>
      </c>
      <c r="T574" s="253">
        <v>17.221326828002901</v>
      </c>
      <c r="U574" s="253">
        <v>17.6731853485107</v>
      </c>
      <c r="V574" s="253">
        <v>17.676996231079102</v>
      </c>
      <c r="W574" s="253">
        <v>17.866504669189499</v>
      </c>
      <c r="X574" s="253">
        <v>17.993064880371101</v>
      </c>
      <c r="Y574" s="253">
        <v>18.128524780273398</v>
      </c>
    </row>
    <row r="575" spans="1:26" x14ac:dyDescent="0.25">
      <c r="A575" s="249" t="s">
        <v>479</v>
      </c>
      <c r="B575" s="253">
        <v>21.599882125854499</v>
      </c>
      <c r="C575" s="253">
        <v>21.735733032226602</v>
      </c>
      <c r="D575" s="253">
        <v>21.728578567504901</v>
      </c>
      <c r="E575" s="253">
        <v>21.659519195556602</v>
      </c>
      <c r="F575" s="253">
        <v>20.859115600585898</v>
      </c>
      <c r="G575" s="253">
        <v>19.947565078735401</v>
      </c>
      <c r="H575" s="253">
        <v>19.5044040679932</v>
      </c>
      <c r="I575" s="253">
        <v>19.468164443969702</v>
      </c>
      <c r="J575" s="253">
        <v>19.363897323608398</v>
      </c>
      <c r="K575" s="253">
        <v>19.340778350830099</v>
      </c>
      <c r="L575" s="253">
        <v>19.565423965454102</v>
      </c>
      <c r="M575" s="253">
        <v>19.829431533813501</v>
      </c>
      <c r="N575" s="253">
        <v>20.184032440185501</v>
      </c>
      <c r="O575" s="253">
        <v>20.348131179809599</v>
      </c>
      <c r="P575" s="253">
        <v>20.384618759155298</v>
      </c>
      <c r="Q575" s="253">
        <v>20.4941310882568</v>
      </c>
      <c r="R575" s="253">
        <v>20.6934413909912</v>
      </c>
      <c r="S575" s="253">
        <v>20.961088180541999</v>
      </c>
      <c r="T575" s="253">
        <v>21.1064147949219</v>
      </c>
      <c r="U575" s="253">
        <v>21.2582683563232</v>
      </c>
      <c r="V575" s="253">
        <v>21.2429523468018</v>
      </c>
      <c r="W575" s="253">
        <v>21.2300205230713</v>
      </c>
      <c r="X575" s="253">
        <v>21.277418136596701</v>
      </c>
      <c r="Y575" s="253">
        <v>21.3841457366943</v>
      </c>
    </row>
    <row r="576" spans="1:26" x14ac:dyDescent="0.25">
      <c r="A576" s="249" t="s">
        <v>440</v>
      </c>
      <c r="B576" s="253" t="s">
        <v>440</v>
      </c>
      <c r="C576" s="253" t="s">
        <v>440</v>
      </c>
      <c r="D576" s="253" t="s">
        <v>440</v>
      </c>
      <c r="E576" s="253" t="s">
        <v>440</v>
      </c>
      <c r="F576" s="253" t="s">
        <v>440</v>
      </c>
      <c r="G576" s="253" t="s">
        <v>440</v>
      </c>
      <c r="H576" s="253" t="s">
        <v>440</v>
      </c>
      <c r="I576" s="253" t="s">
        <v>440</v>
      </c>
      <c r="J576" s="253" t="s">
        <v>440</v>
      </c>
      <c r="K576" s="253" t="s">
        <v>440</v>
      </c>
      <c r="L576" s="253" t="s">
        <v>440</v>
      </c>
      <c r="M576" s="253" t="s">
        <v>440</v>
      </c>
      <c r="N576" s="253" t="s">
        <v>440</v>
      </c>
      <c r="O576" s="253" t="s">
        <v>440</v>
      </c>
      <c r="P576" s="253" t="s">
        <v>440</v>
      </c>
      <c r="Q576" s="253" t="s">
        <v>440</v>
      </c>
      <c r="R576" s="253" t="s">
        <v>440</v>
      </c>
      <c r="S576" s="253" t="s">
        <v>440</v>
      </c>
      <c r="T576" s="253" t="s">
        <v>440</v>
      </c>
      <c r="U576" s="253" t="s">
        <v>440</v>
      </c>
      <c r="V576" s="253" t="s">
        <v>440</v>
      </c>
      <c r="W576" s="253" t="s">
        <v>440</v>
      </c>
      <c r="X576" s="253" t="s">
        <v>440</v>
      </c>
      <c r="Y576" s="253" t="s">
        <v>440</v>
      </c>
    </row>
    <row r="577" spans="1:25" x14ac:dyDescent="0.25">
      <c r="A577" s="249" t="s">
        <v>513</v>
      </c>
      <c r="B577" s="253" t="s">
        <v>440</v>
      </c>
      <c r="C577" s="253" t="s">
        <v>440</v>
      </c>
      <c r="D577" s="253" t="s">
        <v>440</v>
      </c>
      <c r="E577" s="253" t="s">
        <v>440</v>
      </c>
      <c r="F577" s="253" t="s">
        <v>440</v>
      </c>
      <c r="G577" s="253" t="s">
        <v>440</v>
      </c>
      <c r="H577" s="253" t="s">
        <v>440</v>
      </c>
      <c r="I577" s="253" t="s">
        <v>440</v>
      </c>
      <c r="J577" s="253" t="s">
        <v>440</v>
      </c>
      <c r="K577" s="253" t="s">
        <v>440</v>
      </c>
      <c r="L577" s="253" t="s">
        <v>440</v>
      </c>
      <c r="M577" s="253" t="s">
        <v>440</v>
      </c>
      <c r="N577" s="253" t="s">
        <v>440</v>
      </c>
      <c r="O577" s="253" t="s">
        <v>440</v>
      </c>
      <c r="P577" s="253" t="s">
        <v>440</v>
      </c>
      <c r="Q577" s="253" t="s">
        <v>440</v>
      </c>
      <c r="R577" s="253" t="s">
        <v>440</v>
      </c>
      <c r="S577" s="253" t="s">
        <v>440</v>
      </c>
      <c r="T577" s="253" t="s">
        <v>440</v>
      </c>
      <c r="U577" s="253" t="s">
        <v>440</v>
      </c>
      <c r="V577" s="253" t="s">
        <v>440</v>
      </c>
      <c r="W577" s="253" t="s">
        <v>440</v>
      </c>
      <c r="X577" s="253" t="s">
        <v>440</v>
      </c>
      <c r="Y577" s="253" t="s">
        <v>440</v>
      </c>
    </row>
    <row r="578" spans="1:25" x14ac:dyDescent="0.25">
      <c r="A578" s="249" t="s">
        <v>514</v>
      </c>
      <c r="B578" s="253" t="s">
        <v>440</v>
      </c>
      <c r="C578" s="253" t="s">
        <v>440</v>
      </c>
      <c r="D578" s="253" t="s">
        <v>440</v>
      </c>
      <c r="E578" s="253" t="s">
        <v>440</v>
      </c>
      <c r="F578" s="253" t="s">
        <v>440</v>
      </c>
      <c r="G578" s="253" t="s">
        <v>440</v>
      </c>
      <c r="H578" s="253" t="s">
        <v>440</v>
      </c>
      <c r="I578" s="253" t="s">
        <v>440</v>
      </c>
      <c r="J578" s="253" t="s">
        <v>440</v>
      </c>
      <c r="K578" s="253" t="s">
        <v>440</v>
      </c>
      <c r="L578" s="253" t="s">
        <v>440</v>
      </c>
      <c r="M578" s="253" t="s">
        <v>440</v>
      </c>
      <c r="N578" s="253" t="s">
        <v>440</v>
      </c>
      <c r="O578" s="253" t="s">
        <v>440</v>
      </c>
      <c r="P578" s="253" t="s">
        <v>440</v>
      </c>
      <c r="Q578" s="253" t="s">
        <v>440</v>
      </c>
      <c r="R578" s="253" t="s">
        <v>440</v>
      </c>
      <c r="S578" s="253" t="s">
        <v>440</v>
      </c>
      <c r="T578" s="253" t="s">
        <v>440</v>
      </c>
      <c r="U578" s="253" t="s">
        <v>440</v>
      </c>
      <c r="V578" s="253" t="s">
        <v>440</v>
      </c>
      <c r="W578" s="253" t="s">
        <v>440</v>
      </c>
      <c r="X578" s="253" t="s">
        <v>440</v>
      </c>
      <c r="Y578" s="253" t="s">
        <v>440</v>
      </c>
    </row>
    <row r="579" spans="1:25" x14ac:dyDescent="0.25">
      <c r="A579" s="249" t="s">
        <v>473</v>
      </c>
      <c r="B579" s="253">
        <v>163.90481567382801</v>
      </c>
      <c r="C579" s="253">
        <v>177.16523742675801</v>
      </c>
      <c r="D579" s="253">
        <v>181.72630310058599</v>
      </c>
      <c r="E579" s="253">
        <v>185.23806762695301</v>
      </c>
      <c r="F579" s="253">
        <v>178.77069091796901</v>
      </c>
      <c r="G579" s="253">
        <v>174.57431030273401</v>
      </c>
      <c r="H579" s="253">
        <v>173.49729919433599</v>
      </c>
      <c r="I579" s="253">
        <v>174.68045043945301</v>
      </c>
      <c r="J579" s="253">
        <v>175.87545776367199</v>
      </c>
      <c r="K579" s="253">
        <v>177.93170166015599</v>
      </c>
      <c r="L579" s="253">
        <v>181.97520446777301</v>
      </c>
      <c r="M579" s="253">
        <v>185.45910644531301</v>
      </c>
      <c r="N579" s="253">
        <v>189.89924621582</v>
      </c>
      <c r="O579" s="253">
        <v>193.20950317382801</v>
      </c>
      <c r="P579" s="253">
        <v>195.50482177734401</v>
      </c>
      <c r="Q579" s="253">
        <v>197.60719299316401</v>
      </c>
      <c r="R579" s="253">
        <v>201.40017700195301</v>
      </c>
      <c r="S579" s="253">
        <v>205.80612182617199</v>
      </c>
      <c r="T579" s="253">
        <v>209.76078796386699</v>
      </c>
      <c r="U579" s="253">
        <v>212.75457763671901</v>
      </c>
      <c r="V579" s="253">
        <v>215.110427856445</v>
      </c>
      <c r="W579" s="253">
        <v>217.42091369628901</v>
      </c>
      <c r="X579" s="253">
        <v>220.97119140625</v>
      </c>
      <c r="Y579" s="253">
        <v>223.85739135742199</v>
      </c>
    </row>
    <row r="580" spans="1:25" x14ac:dyDescent="0.25">
      <c r="A580" s="249" t="s">
        <v>480</v>
      </c>
      <c r="B580" s="253">
        <v>122.690147399902</v>
      </c>
      <c r="C580" s="253">
        <v>128.153732299805</v>
      </c>
      <c r="D580" s="253">
        <v>130.48348999023401</v>
      </c>
      <c r="E580" s="253">
        <v>132.28971862793</v>
      </c>
      <c r="F580" s="253">
        <v>128.48481750488301</v>
      </c>
      <c r="G580" s="253">
        <v>125.5166015625</v>
      </c>
      <c r="H580" s="253">
        <v>125.36106109619099</v>
      </c>
      <c r="I580" s="253">
        <v>127.820442199707</v>
      </c>
      <c r="J580" s="253">
        <v>129.92327880859401</v>
      </c>
      <c r="K580" s="253">
        <v>133.10743713378901</v>
      </c>
      <c r="L580" s="253">
        <v>137.92835998535199</v>
      </c>
      <c r="M580" s="253">
        <v>142.925369262695</v>
      </c>
      <c r="N580" s="253">
        <v>148.816970825195</v>
      </c>
      <c r="O580" s="253">
        <v>153.52194213867199</v>
      </c>
      <c r="P580" s="253">
        <v>157.03869628906301</v>
      </c>
      <c r="Q580" s="253">
        <v>161.345138549805</v>
      </c>
      <c r="R580" s="253">
        <v>166.52362060546901</v>
      </c>
      <c r="S580" s="253">
        <v>172.33033752441401</v>
      </c>
      <c r="T580" s="253">
        <v>177.27947998046901</v>
      </c>
      <c r="U580" s="253">
        <v>182.50421142578099</v>
      </c>
      <c r="V580" s="253">
        <v>186.391357421875</v>
      </c>
      <c r="W580" s="253">
        <v>190.50810241699199</v>
      </c>
      <c r="X580" s="253">
        <v>195.38455200195301</v>
      </c>
      <c r="Y580" s="253">
        <v>200.92575073242199</v>
      </c>
    </row>
    <row r="581" spans="1:25" x14ac:dyDescent="0.25">
      <c r="A581" s="249" t="s">
        <v>515</v>
      </c>
      <c r="B581" s="253">
        <v>124.39901733398401</v>
      </c>
      <c r="C581" s="253">
        <v>147.11244201660199</v>
      </c>
      <c r="D581" s="253">
        <v>168.10716247558599</v>
      </c>
      <c r="E581" s="253">
        <v>167.31402587890599</v>
      </c>
      <c r="F581" s="253">
        <v>151.68084716796901</v>
      </c>
      <c r="G581" s="253">
        <v>143.54243469238301</v>
      </c>
      <c r="H581" s="253">
        <v>141.56742858886699</v>
      </c>
      <c r="I581" s="253">
        <v>140.77819824218801</v>
      </c>
      <c r="J581" s="253">
        <v>139.57333374023401</v>
      </c>
      <c r="K581" s="253">
        <v>140.39901733398401</v>
      </c>
      <c r="L581" s="253">
        <v>142.75350952148401</v>
      </c>
      <c r="M581" s="253">
        <v>145.42568969726599</v>
      </c>
      <c r="N581" s="253">
        <v>149.20526123046901</v>
      </c>
      <c r="O581" s="253">
        <v>152.35485839843801</v>
      </c>
      <c r="P581" s="253">
        <v>153.50325012207</v>
      </c>
      <c r="Q581" s="253">
        <v>156.35830688476599</v>
      </c>
      <c r="R581" s="253">
        <v>160.767654418945</v>
      </c>
      <c r="S581" s="253">
        <v>165.76315307617199</v>
      </c>
      <c r="T581" s="253">
        <v>169.931716918945</v>
      </c>
      <c r="U581" s="253">
        <v>173.961990356445</v>
      </c>
      <c r="V581" s="253">
        <v>176.65931701660199</v>
      </c>
      <c r="W581" s="253">
        <v>179.21453857421901</v>
      </c>
      <c r="X581" s="253">
        <v>182.00726318359401</v>
      </c>
      <c r="Y581" s="253">
        <v>184.95687866210901</v>
      </c>
    </row>
    <row r="582" spans="1:25" x14ac:dyDescent="0.25">
      <c r="A582" s="249" t="s">
        <v>487</v>
      </c>
      <c r="B582" s="253">
        <v>263.72879028320301</v>
      </c>
      <c r="C582" s="253">
        <v>302.59255981445301</v>
      </c>
      <c r="D582" s="253">
        <v>352.23770141601602</v>
      </c>
      <c r="E582" s="253">
        <v>351.05020141601602</v>
      </c>
      <c r="F582" s="253">
        <v>340.83407592773398</v>
      </c>
      <c r="G582" s="253">
        <v>332.5693359375</v>
      </c>
      <c r="H582" s="253">
        <v>335.96701049804699</v>
      </c>
      <c r="I582" s="253">
        <v>336.85531616210898</v>
      </c>
      <c r="J582" s="253">
        <v>341.13198852539102</v>
      </c>
      <c r="K582" s="253">
        <v>348.16427612304699</v>
      </c>
      <c r="L582" s="253">
        <v>352.90618896484398</v>
      </c>
      <c r="M582" s="253">
        <v>359.69818115234398</v>
      </c>
      <c r="N582" s="253">
        <v>365.95080566406301</v>
      </c>
      <c r="O582" s="253">
        <v>372.46246337890602</v>
      </c>
      <c r="P582" s="253">
        <v>379.283447265625</v>
      </c>
      <c r="Q582" s="253">
        <v>387.02755737304699</v>
      </c>
      <c r="R582" s="253">
        <v>393.88119506835898</v>
      </c>
      <c r="S582" s="253">
        <v>401.07183837890602</v>
      </c>
      <c r="T582" s="253">
        <v>407.83190917968801</v>
      </c>
      <c r="U582" s="253">
        <v>415.10699462890602</v>
      </c>
      <c r="V582" s="253">
        <v>423.06927490234398</v>
      </c>
      <c r="W582" s="253">
        <v>431.36416625976602</v>
      </c>
      <c r="X582" s="253">
        <v>438.52017211914102</v>
      </c>
      <c r="Y582" s="253">
        <v>449.30920410156301</v>
      </c>
    </row>
    <row r="583" spans="1:25" x14ac:dyDescent="0.25">
      <c r="A583" s="249" t="s">
        <v>516</v>
      </c>
      <c r="B583" s="253">
        <v>674.72277832031295</v>
      </c>
      <c r="C583" s="253">
        <v>755.02398681640602</v>
      </c>
      <c r="D583" s="253">
        <v>832.5546875</v>
      </c>
      <c r="E583" s="253">
        <v>835.89202880859398</v>
      </c>
      <c r="F583" s="253">
        <v>799.77044677734398</v>
      </c>
      <c r="G583" s="253">
        <v>776.20269775390602</v>
      </c>
      <c r="H583" s="253">
        <v>776.392822265625</v>
      </c>
      <c r="I583" s="253">
        <v>780.13439941406295</v>
      </c>
      <c r="J583" s="253">
        <v>786.50402832031295</v>
      </c>
      <c r="K583" s="253">
        <v>799.60241699218795</v>
      </c>
      <c r="L583" s="253">
        <v>815.563232421875</v>
      </c>
      <c r="M583" s="253">
        <v>833.50836181640602</v>
      </c>
      <c r="N583" s="253">
        <v>853.872314453125</v>
      </c>
      <c r="O583" s="253">
        <v>871.54876708984398</v>
      </c>
      <c r="P583" s="253">
        <v>885.33020019531295</v>
      </c>
      <c r="Q583" s="253">
        <v>902.33819580078102</v>
      </c>
      <c r="R583" s="253">
        <v>922.57263183593795</v>
      </c>
      <c r="S583" s="253">
        <v>944.971435546875</v>
      </c>
      <c r="T583" s="253">
        <v>964.80389404296898</v>
      </c>
      <c r="U583" s="253">
        <v>984.32775878906295</v>
      </c>
      <c r="V583" s="253">
        <v>1001.23034667969</v>
      </c>
      <c r="W583" s="253">
        <v>1018.50769042969</v>
      </c>
      <c r="X583" s="253">
        <v>1036.88317871094</v>
      </c>
      <c r="Y583" s="253">
        <v>1059.04919433594</v>
      </c>
    </row>
    <row r="584" spans="1:25" x14ac:dyDescent="0.25">
      <c r="A584" s="249" t="s">
        <v>517</v>
      </c>
      <c r="B584" s="253">
        <v>1.1704622767865699E-2</v>
      </c>
      <c r="C584" s="253">
        <v>1.72001253813505E-2</v>
      </c>
      <c r="D584" s="253">
        <v>2.0739471539855E-2</v>
      </c>
      <c r="E584" s="253">
        <v>2.2893460467457799E-2</v>
      </c>
      <c r="F584" s="253">
        <v>2.3359816521406201E-2</v>
      </c>
      <c r="G584" s="253">
        <v>2.56899110972881E-2</v>
      </c>
      <c r="H584" s="253">
        <v>2.8361881151795401E-2</v>
      </c>
      <c r="I584" s="253">
        <v>3.0972529202699699E-2</v>
      </c>
      <c r="J584" s="253">
        <v>3.4895084798336001E-2</v>
      </c>
      <c r="K584" s="253">
        <v>3.86636592447758E-2</v>
      </c>
      <c r="L584" s="253">
        <v>4.1480015963315998E-2</v>
      </c>
      <c r="M584" s="253">
        <v>4.3943785130977603E-2</v>
      </c>
      <c r="N584" s="253">
        <v>4.6801801770925501E-2</v>
      </c>
      <c r="O584" s="253">
        <v>4.9450792372226701E-2</v>
      </c>
      <c r="P584" s="253">
        <v>5.3890265524387401E-2</v>
      </c>
      <c r="Q584" s="253">
        <v>5.8303136378526701E-2</v>
      </c>
      <c r="R584" s="253">
        <v>6.2215700745582601E-2</v>
      </c>
      <c r="S584" s="253">
        <v>6.0202639549970599E-2</v>
      </c>
      <c r="T584" s="253">
        <v>6.6687978804111495E-2</v>
      </c>
      <c r="U584" s="253">
        <v>6.8060472607612596E-2</v>
      </c>
      <c r="V584" s="253">
        <v>7.0131160318851499E-2</v>
      </c>
      <c r="W584" s="253">
        <v>7.4032962322235094E-2</v>
      </c>
      <c r="X584" s="253">
        <v>7.6179362833499895E-2</v>
      </c>
      <c r="Y584" s="253">
        <v>7.9960107803344699E-2</v>
      </c>
    </row>
    <row r="585" spans="1:25" x14ac:dyDescent="0.25">
      <c r="A585" s="249" t="s">
        <v>518</v>
      </c>
      <c r="B585" s="253">
        <v>674.73449707031295</v>
      </c>
      <c r="C585" s="253">
        <v>755.04119873046898</v>
      </c>
      <c r="D585" s="253">
        <v>832.575439453125</v>
      </c>
      <c r="E585" s="253">
        <v>835.91491699218795</v>
      </c>
      <c r="F585" s="253">
        <v>799.79382324218795</v>
      </c>
      <c r="G585" s="253">
        <v>776.22839355468795</v>
      </c>
      <c r="H585" s="253">
        <v>776.42120361328102</v>
      </c>
      <c r="I585" s="253">
        <v>780.16534423828102</v>
      </c>
      <c r="J585" s="253">
        <v>786.53894042968795</v>
      </c>
      <c r="K585" s="253">
        <v>799.64105224609398</v>
      </c>
      <c r="L585" s="253">
        <v>815.604736328125</v>
      </c>
      <c r="M585" s="253">
        <v>833.55230712890602</v>
      </c>
      <c r="N585" s="253">
        <v>853.91912841796898</v>
      </c>
      <c r="O585" s="253">
        <v>871.59820556640602</v>
      </c>
      <c r="P585" s="253">
        <v>885.38409423828102</v>
      </c>
      <c r="Q585" s="253">
        <v>902.396484375</v>
      </c>
      <c r="R585" s="253">
        <v>922.63482666015602</v>
      </c>
      <c r="S585" s="253">
        <v>945.03161621093795</v>
      </c>
      <c r="T585" s="253">
        <v>964.87060546875</v>
      </c>
      <c r="U585" s="253">
        <v>984.39581298828102</v>
      </c>
      <c r="V585" s="253">
        <v>1001.30047607422</v>
      </c>
      <c r="W585" s="253">
        <v>1018.58172607422</v>
      </c>
      <c r="X585" s="253">
        <v>1036.95935058594</v>
      </c>
      <c r="Y585" s="253">
        <v>1059.12915039063</v>
      </c>
    </row>
    <row r="586" spans="1:25" x14ac:dyDescent="0.25">
      <c r="A586" s="293" t="s">
        <v>1081</v>
      </c>
      <c r="B586" s="253" t="s">
        <v>593</v>
      </c>
      <c r="C586" s="253"/>
      <c r="D586" s="253"/>
      <c r="E586" s="253"/>
      <c r="F586" s="253"/>
      <c r="G586" s="253"/>
      <c r="H586" s="253"/>
      <c r="I586" s="253"/>
      <c r="J586" s="253"/>
      <c r="K586" s="253"/>
      <c r="L586" s="253"/>
      <c r="M586" s="253"/>
      <c r="N586" s="253"/>
      <c r="O586" s="253"/>
      <c r="P586" s="253"/>
      <c r="Q586" s="253"/>
      <c r="R586" s="253"/>
      <c r="S586" s="253"/>
      <c r="T586" s="253"/>
      <c r="U586" s="253"/>
      <c r="V586" s="253"/>
      <c r="W586" s="253"/>
      <c r="X586" s="253"/>
      <c r="Y586" s="253"/>
    </row>
    <row r="587" spans="1:25" x14ac:dyDescent="0.25">
      <c r="A587" s="282" t="s">
        <v>311</v>
      </c>
      <c r="B587" s="253" t="s">
        <v>593</v>
      </c>
      <c r="C587" s="253"/>
      <c r="D587" s="253"/>
      <c r="E587" s="253"/>
      <c r="F587" s="253"/>
      <c r="G587" s="253"/>
      <c r="H587" s="253"/>
      <c r="I587" s="253"/>
      <c r="J587" s="253"/>
      <c r="K587" s="253"/>
      <c r="L587" s="253"/>
      <c r="M587" s="253"/>
      <c r="N587" s="253"/>
      <c r="O587" s="253"/>
      <c r="P587" s="253"/>
      <c r="Q587" s="253"/>
      <c r="R587" s="253"/>
      <c r="S587" s="253"/>
      <c r="T587" s="253"/>
      <c r="U587" s="253"/>
      <c r="V587" s="253"/>
      <c r="W587" s="253"/>
      <c r="X587" s="253"/>
      <c r="Y587" s="253"/>
    </row>
    <row r="588" spans="1:25" x14ac:dyDescent="0.25">
      <c r="A588" s="249" t="s">
        <v>440</v>
      </c>
      <c r="B588" s="253" t="s">
        <v>440</v>
      </c>
      <c r="C588" s="253" t="s">
        <v>440</v>
      </c>
      <c r="D588" s="253" t="s">
        <v>440</v>
      </c>
      <c r="E588" s="253" t="s">
        <v>440</v>
      </c>
      <c r="F588" s="253" t="s">
        <v>440</v>
      </c>
      <c r="G588" s="253" t="s">
        <v>440</v>
      </c>
      <c r="H588" s="253" t="s">
        <v>440</v>
      </c>
      <c r="I588" s="253" t="s">
        <v>440</v>
      </c>
      <c r="J588" s="253" t="s">
        <v>440</v>
      </c>
      <c r="K588" s="253" t="s">
        <v>440</v>
      </c>
      <c r="L588" s="253" t="s">
        <v>440</v>
      </c>
      <c r="M588" s="253" t="s">
        <v>440</v>
      </c>
      <c r="N588" s="253" t="s">
        <v>440</v>
      </c>
      <c r="O588" s="253" t="s">
        <v>440</v>
      </c>
      <c r="P588" s="253" t="s">
        <v>440</v>
      </c>
      <c r="Q588" s="253" t="s">
        <v>440</v>
      </c>
      <c r="R588" s="253" t="s">
        <v>440</v>
      </c>
      <c r="S588" s="253" t="s">
        <v>440</v>
      </c>
      <c r="T588" s="253" t="s">
        <v>440</v>
      </c>
      <c r="U588" s="253" t="s">
        <v>440</v>
      </c>
      <c r="V588" s="253" t="s">
        <v>440</v>
      </c>
      <c r="W588" s="253" t="s">
        <v>440</v>
      </c>
      <c r="X588" s="253" t="s">
        <v>440</v>
      </c>
      <c r="Y588" s="253" t="s">
        <v>440</v>
      </c>
    </row>
    <row r="589" spans="1:25" x14ac:dyDescent="0.25">
      <c r="A589" s="249" t="s">
        <v>519</v>
      </c>
      <c r="B589" s="253"/>
      <c r="C589" s="253"/>
      <c r="D589" s="253"/>
      <c r="E589" s="253"/>
      <c r="F589" s="253"/>
      <c r="G589" s="253"/>
      <c r="H589" s="253"/>
      <c r="I589" s="253"/>
      <c r="J589" s="253"/>
      <c r="K589" s="253"/>
      <c r="L589" s="253"/>
      <c r="M589" s="253"/>
      <c r="N589" s="253"/>
      <c r="O589" s="253"/>
      <c r="P589" s="253"/>
      <c r="Q589" s="253"/>
      <c r="R589" s="253"/>
      <c r="S589" s="253"/>
      <c r="T589" s="253"/>
      <c r="U589" s="253"/>
      <c r="V589" s="253"/>
      <c r="W589" s="253"/>
      <c r="X589" s="253"/>
      <c r="Y589" s="253"/>
    </row>
    <row r="590" spans="1:25" x14ac:dyDescent="0.25">
      <c r="A590" s="249" t="s">
        <v>520</v>
      </c>
      <c r="B590" s="253"/>
      <c r="C590" s="253"/>
      <c r="D590" s="253"/>
      <c r="E590" s="253"/>
      <c r="F590" s="253"/>
      <c r="G590" s="253"/>
      <c r="H590" s="253"/>
      <c r="I590" s="253"/>
      <c r="J590" s="253"/>
      <c r="K590" s="253"/>
      <c r="L590" s="253"/>
      <c r="M590" s="253"/>
      <c r="N590" s="253"/>
      <c r="O590" s="253"/>
      <c r="P590" s="253"/>
      <c r="Q590" s="253"/>
      <c r="R590" s="253"/>
      <c r="S590" s="253"/>
      <c r="T590" s="253"/>
      <c r="U590" s="253"/>
      <c r="V590" s="253"/>
      <c r="W590" s="253"/>
      <c r="X590" s="253"/>
      <c r="Y590" s="253"/>
    </row>
    <row r="591" spans="1:25" x14ac:dyDescent="0.25">
      <c r="A591" s="249" t="s">
        <v>521</v>
      </c>
      <c r="B591" s="253"/>
      <c r="C591" s="253"/>
      <c r="D591" s="253"/>
      <c r="E591" s="253"/>
      <c r="F591" s="253"/>
      <c r="G591" s="253"/>
      <c r="H591" s="253"/>
      <c r="I591" s="253"/>
      <c r="J591" s="253"/>
      <c r="K591" s="253"/>
      <c r="L591" s="253"/>
      <c r="M591" s="253"/>
      <c r="N591" s="253"/>
      <c r="O591" s="253"/>
      <c r="P591" s="253"/>
      <c r="Q591" s="253"/>
      <c r="R591" s="253"/>
      <c r="S591" s="253"/>
      <c r="T591" s="253"/>
      <c r="U591" s="253"/>
      <c r="V591" s="253"/>
      <c r="W591" s="253"/>
      <c r="X591" s="253"/>
      <c r="Y591" s="253"/>
    </row>
    <row r="592" spans="1:25" x14ac:dyDescent="0.25">
      <c r="A592" s="249" t="s">
        <v>522</v>
      </c>
      <c r="B592" s="253"/>
      <c r="C592" s="253"/>
      <c r="D592" s="253"/>
      <c r="E592" s="253"/>
      <c r="F592" s="253"/>
      <c r="G592" s="253"/>
      <c r="H592" s="253"/>
      <c r="I592" s="253"/>
      <c r="J592" s="253"/>
      <c r="K592" s="253"/>
      <c r="L592" s="253"/>
      <c r="M592" s="253"/>
      <c r="N592" s="253"/>
      <c r="O592" s="253"/>
      <c r="P592" s="253"/>
      <c r="Q592" s="253"/>
      <c r="R592" s="253"/>
      <c r="S592" s="253"/>
      <c r="T592" s="253"/>
      <c r="U592" s="253"/>
      <c r="V592" s="253"/>
      <c r="W592" s="253"/>
      <c r="X592" s="253"/>
      <c r="Y592" s="253"/>
    </row>
    <row r="593" spans="1:25" x14ac:dyDescent="0.25">
      <c r="A593" s="249" t="s">
        <v>523</v>
      </c>
      <c r="B593" s="253"/>
      <c r="C593" s="253"/>
      <c r="D593" s="253"/>
      <c r="E593" s="253"/>
      <c r="F593" s="253"/>
      <c r="G593" s="253"/>
      <c r="H593" s="253"/>
      <c r="I593" s="253"/>
      <c r="J593" s="253"/>
      <c r="K593" s="253"/>
      <c r="L593" s="253"/>
      <c r="M593" s="253"/>
      <c r="N593" s="253"/>
      <c r="O593" s="253"/>
      <c r="P593" s="253"/>
      <c r="Q593" s="253"/>
      <c r="R593" s="253"/>
      <c r="S593" s="253"/>
      <c r="T593" s="253"/>
      <c r="U593" s="253"/>
      <c r="V593" s="253"/>
      <c r="W593" s="253"/>
      <c r="X593" s="253"/>
      <c r="Y593" s="253"/>
    </row>
    <row r="594" spans="1:25" x14ac:dyDescent="0.25">
      <c r="A594" s="249" t="s">
        <v>524</v>
      </c>
      <c r="B594" s="253"/>
      <c r="C594" s="253"/>
      <c r="D594" s="253"/>
      <c r="E594" s="253"/>
      <c r="F594" s="253"/>
      <c r="G594" s="253"/>
      <c r="H594" s="253"/>
      <c r="I594" s="253"/>
      <c r="J594" s="253"/>
      <c r="K594" s="253"/>
      <c r="L594" s="253"/>
      <c r="M594" s="253"/>
      <c r="N594" s="253"/>
      <c r="O594" s="253"/>
      <c r="P594" s="253"/>
      <c r="Q594" s="253"/>
      <c r="R594" s="253"/>
      <c r="S594" s="253"/>
      <c r="T594" s="253"/>
      <c r="U594" s="253"/>
      <c r="V594" s="253"/>
      <c r="W594" s="253"/>
      <c r="X594" s="253"/>
      <c r="Y594" s="253"/>
    </row>
    <row r="595" spans="1:25" x14ac:dyDescent="0.25">
      <c r="A595" s="249" t="s">
        <v>525</v>
      </c>
      <c r="B595" s="253"/>
      <c r="C595" s="253"/>
      <c r="D595" s="253"/>
      <c r="E595" s="253"/>
      <c r="F595" s="253"/>
      <c r="G595" s="253"/>
      <c r="H595" s="253"/>
      <c r="I595" s="253"/>
      <c r="J595" s="253"/>
      <c r="K595" s="253"/>
      <c r="L595" s="253"/>
      <c r="M595" s="253"/>
      <c r="N595" s="253"/>
      <c r="O595" s="253"/>
      <c r="P595" s="253"/>
      <c r="Q595" s="253"/>
      <c r="R595" s="253"/>
      <c r="S595" s="253"/>
      <c r="T595" s="253"/>
      <c r="U595" s="253"/>
      <c r="V595" s="253"/>
      <c r="W595" s="253"/>
      <c r="X595" s="253"/>
      <c r="Y595" s="253"/>
    </row>
    <row r="596" spans="1:25" x14ac:dyDescent="0.25">
      <c r="A596" s="249" t="s">
        <v>526</v>
      </c>
      <c r="B596" s="253"/>
      <c r="C596" s="253"/>
      <c r="D596" s="253"/>
      <c r="E596" s="253"/>
      <c r="F596" s="253"/>
      <c r="G596" s="253"/>
      <c r="H596" s="253"/>
      <c r="I596" s="253"/>
      <c r="J596" s="253"/>
      <c r="K596" s="253"/>
      <c r="L596" s="253"/>
      <c r="M596" s="253"/>
      <c r="N596" s="253"/>
      <c r="O596" s="253"/>
      <c r="P596" s="253"/>
      <c r="Q596" s="253"/>
      <c r="R596" s="253"/>
      <c r="S596" s="253"/>
      <c r="T596" s="253"/>
      <c r="U596" s="253"/>
      <c r="V596" s="253"/>
      <c r="W596" s="253"/>
      <c r="X596" s="253"/>
      <c r="Y596" s="253"/>
    </row>
    <row r="597" spans="1:25" x14ac:dyDescent="0.25">
      <c r="A597" s="249" t="s">
        <v>527</v>
      </c>
      <c r="B597" s="253"/>
      <c r="C597" s="253"/>
      <c r="D597" s="253"/>
      <c r="E597" s="253"/>
      <c r="F597" s="253"/>
      <c r="G597" s="253"/>
      <c r="H597" s="253"/>
      <c r="I597" s="253"/>
      <c r="J597" s="253"/>
      <c r="K597" s="253"/>
      <c r="L597" s="253"/>
      <c r="M597" s="253"/>
      <c r="N597" s="253"/>
      <c r="O597" s="253"/>
      <c r="P597" s="253"/>
      <c r="Q597" s="253"/>
      <c r="R597" s="253"/>
      <c r="S597" s="253"/>
      <c r="T597" s="253"/>
      <c r="U597" s="253"/>
      <c r="V597" s="253"/>
      <c r="W597" s="253"/>
      <c r="X597" s="253"/>
      <c r="Y597" s="253"/>
    </row>
    <row r="598" spans="1:25" x14ac:dyDescent="0.25">
      <c r="A598" s="249" t="s">
        <v>532</v>
      </c>
      <c r="B598" s="253"/>
      <c r="C598" s="253"/>
      <c r="D598" s="253"/>
      <c r="E598" s="253"/>
      <c r="F598" s="253"/>
      <c r="G598" s="253"/>
      <c r="H598" s="253"/>
      <c r="I598" s="253"/>
      <c r="J598" s="253"/>
      <c r="K598" s="253"/>
      <c r="L598" s="253"/>
      <c r="M598" s="253"/>
      <c r="N598" s="253"/>
      <c r="O598" s="253"/>
      <c r="P598" s="253"/>
      <c r="Q598" s="253"/>
      <c r="R598" s="253"/>
      <c r="S598" s="253"/>
      <c r="T598" s="253"/>
      <c r="U598" s="253"/>
      <c r="V598" s="253"/>
      <c r="W598" s="253"/>
      <c r="X598" s="253"/>
      <c r="Y598" s="253"/>
    </row>
    <row r="599" spans="1:25" x14ac:dyDescent="0.25">
      <c r="A599" s="249" t="s">
        <v>542</v>
      </c>
      <c r="B599" s="253"/>
      <c r="C599" s="253"/>
      <c r="D599" s="253"/>
      <c r="E599" s="253"/>
      <c r="F599" s="253"/>
      <c r="G599" s="253"/>
      <c r="H599" s="253"/>
      <c r="I599" s="253"/>
      <c r="J599" s="253"/>
      <c r="K599" s="253"/>
      <c r="L599" s="253"/>
      <c r="M599" s="253"/>
      <c r="N599" s="253"/>
      <c r="O599" s="253"/>
      <c r="P599" s="253"/>
      <c r="Q599" s="253"/>
      <c r="R599" s="253"/>
      <c r="S599" s="253"/>
      <c r="T599" s="253"/>
      <c r="U599" s="253"/>
      <c r="V599" s="253"/>
      <c r="W599" s="253"/>
      <c r="X599" s="253"/>
      <c r="Y599" s="253"/>
    </row>
    <row r="600" spans="1:25" x14ac:dyDescent="0.25">
      <c r="A600" s="249" t="s">
        <v>543</v>
      </c>
      <c r="B600" s="253"/>
      <c r="C600" s="253"/>
      <c r="D600" s="253"/>
      <c r="E600" s="253"/>
      <c r="F600" s="253"/>
      <c r="G600" s="253"/>
      <c r="H600" s="253"/>
      <c r="I600" s="253"/>
      <c r="J600" s="253"/>
      <c r="K600" s="253"/>
      <c r="L600" s="253"/>
      <c r="M600" s="253"/>
      <c r="N600" s="253"/>
      <c r="O600" s="253"/>
      <c r="P600" s="253"/>
      <c r="Q600" s="253"/>
      <c r="R600" s="253"/>
      <c r="S600" s="253"/>
      <c r="T600" s="253"/>
      <c r="U600" s="253"/>
      <c r="V600" s="253"/>
      <c r="W600" s="253"/>
      <c r="X600" s="253"/>
      <c r="Y600" s="253"/>
    </row>
    <row r="601" spans="1:25" x14ac:dyDescent="0.25">
      <c r="A601" s="249" t="s">
        <v>544</v>
      </c>
      <c r="B601" s="253"/>
      <c r="C601" s="253"/>
      <c r="D601" s="253"/>
      <c r="E601" s="253"/>
      <c r="F601" s="253"/>
      <c r="G601" s="253"/>
      <c r="H601" s="253"/>
      <c r="I601" s="253"/>
      <c r="J601" s="253"/>
      <c r="K601" s="253"/>
      <c r="L601" s="253"/>
      <c r="M601" s="253"/>
      <c r="N601" s="253"/>
      <c r="O601" s="253"/>
      <c r="P601" s="253"/>
      <c r="Q601" s="253"/>
      <c r="R601" s="253"/>
      <c r="S601" s="253"/>
      <c r="T601" s="253"/>
      <c r="U601" s="253"/>
      <c r="V601" s="253"/>
      <c r="W601" s="253"/>
      <c r="X601" s="253"/>
      <c r="Y601" s="253"/>
    </row>
    <row r="602" spans="1:25" x14ac:dyDescent="0.25">
      <c r="A602" s="249" t="s">
        <v>545</v>
      </c>
      <c r="B602" s="253"/>
      <c r="C602" s="253"/>
      <c r="D602" s="253"/>
      <c r="E602" s="253"/>
      <c r="F602" s="253"/>
      <c r="G602" s="253"/>
      <c r="H602" s="253"/>
      <c r="I602" s="253"/>
      <c r="J602" s="253"/>
      <c r="K602" s="253"/>
      <c r="L602" s="253"/>
      <c r="M602" s="253"/>
      <c r="N602" s="253"/>
      <c r="O602" s="253"/>
      <c r="P602" s="253"/>
      <c r="Q602" s="253"/>
      <c r="R602" s="253"/>
      <c r="S602" s="253"/>
      <c r="T602" s="253"/>
      <c r="U602" s="253"/>
      <c r="V602" s="253"/>
      <c r="W602" s="253"/>
      <c r="X602" s="253"/>
      <c r="Y602" s="253"/>
    </row>
    <row r="603" spans="1:25" x14ac:dyDescent="0.25">
      <c r="A603" s="249" t="s">
        <v>546</v>
      </c>
      <c r="B603" s="253"/>
      <c r="C603" s="253"/>
      <c r="D603" s="253"/>
      <c r="E603" s="253"/>
      <c r="F603" s="253"/>
      <c r="G603" s="253"/>
      <c r="H603" s="253"/>
      <c r="I603" s="253"/>
      <c r="J603" s="253"/>
      <c r="K603" s="253"/>
      <c r="L603" s="253"/>
      <c r="M603" s="253"/>
      <c r="N603" s="253"/>
      <c r="O603" s="253"/>
      <c r="P603" s="253"/>
      <c r="Q603" s="253"/>
      <c r="R603" s="253"/>
      <c r="S603" s="253"/>
      <c r="T603" s="253"/>
      <c r="U603" s="253"/>
      <c r="V603" s="253"/>
      <c r="W603" s="253"/>
      <c r="X603" s="253"/>
      <c r="Y603" s="253"/>
    </row>
    <row r="604" spans="1:25" x14ac:dyDescent="0.25">
      <c r="A604" s="249" t="s">
        <v>547</v>
      </c>
      <c r="B604" s="253"/>
      <c r="C604" s="253"/>
      <c r="D604" s="253"/>
      <c r="E604" s="253"/>
      <c r="F604" s="253"/>
      <c r="G604" s="253"/>
      <c r="H604" s="253"/>
      <c r="I604" s="253"/>
      <c r="J604" s="253"/>
      <c r="K604" s="253"/>
      <c r="L604" s="253"/>
      <c r="M604" s="253"/>
      <c r="N604" s="253"/>
      <c r="O604" s="253"/>
      <c r="P604" s="253"/>
      <c r="Q604" s="253"/>
      <c r="R604" s="253"/>
      <c r="S604" s="253"/>
      <c r="T604" s="253"/>
      <c r="U604" s="253"/>
      <c r="V604" s="253"/>
      <c r="W604" s="253"/>
      <c r="X604" s="253"/>
      <c r="Y604" s="253"/>
    </row>
    <row r="605" spans="1:25" x14ac:dyDescent="0.25">
      <c r="A605" s="249" t="s">
        <v>548</v>
      </c>
      <c r="B605" s="253"/>
      <c r="C605" s="253"/>
      <c r="D605" s="253"/>
      <c r="E605" s="253"/>
      <c r="F605" s="253"/>
      <c r="G605" s="253"/>
      <c r="H605" s="253"/>
      <c r="I605" s="253"/>
      <c r="J605" s="253"/>
      <c r="K605" s="253"/>
      <c r="L605" s="253"/>
      <c r="M605" s="253"/>
      <c r="N605" s="253"/>
      <c r="O605" s="253"/>
      <c r="P605" s="253"/>
      <c r="Q605" s="253"/>
      <c r="R605" s="253"/>
      <c r="S605" s="253"/>
      <c r="T605" s="253"/>
      <c r="U605" s="253"/>
      <c r="V605" s="253"/>
      <c r="W605" s="253"/>
      <c r="X605" s="253"/>
      <c r="Y605" s="253"/>
    </row>
    <row r="606" spans="1:25" x14ac:dyDescent="0.25">
      <c r="A606" s="249" t="s">
        <v>552</v>
      </c>
      <c r="B606" s="253"/>
      <c r="C606" s="253"/>
      <c r="D606" s="253"/>
      <c r="E606" s="253"/>
      <c r="F606" s="253"/>
      <c r="G606" s="253"/>
      <c r="H606" s="253"/>
      <c r="I606" s="253"/>
      <c r="J606" s="253"/>
      <c r="K606" s="253"/>
      <c r="L606" s="253"/>
      <c r="M606" s="253"/>
      <c r="N606" s="253"/>
      <c r="O606" s="253"/>
      <c r="P606" s="253"/>
      <c r="Q606" s="253"/>
      <c r="R606" s="253"/>
      <c r="S606" s="253"/>
      <c r="T606" s="253"/>
      <c r="U606" s="253"/>
      <c r="V606" s="253"/>
      <c r="W606" s="253"/>
      <c r="X606" s="253"/>
      <c r="Y606" s="253"/>
    </row>
    <row r="607" spans="1:25" x14ac:dyDescent="0.25">
      <c r="A607" s="249" t="s">
        <v>553</v>
      </c>
      <c r="B607" s="253"/>
      <c r="C607" s="253"/>
      <c r="D607" s="253"/>
      <c r="E607" s="253"/>
      <c r="F607" s="253"/>
      <c r="G607" s="253"/>
      <c r="H607" s="253"/>
      <c r="I607" s="253"/>
      <c r="J607" s="253"/>
      <c r="K607" s="253"/>
      <c r="L607" s="253"/>
      <c r="M607" s="253"/>
      <c r="N607" s="253"/>
      <c r="O607" s="253"/>
      <c r="P607" s="253"/>
      <c r="Q607" s="253"/>
      <c r="R607" s="253"/>
      <c r="S607" s="253"/>
      <c r="T607" s="253"/>
      <c r="U607" s="253"/>
      <c r="V607" s="253"/>
      <c r="W607" s="253"/>
      <c r="X607" s="253"/>
      <c r="Y607" s="253"/>
    </row>
    <row r="608" spans="1:25" x14ac:dyDescent="0.25">
      <c r="A608" s="249" t="s">
        <v>554</v>
      </c>
      <c r="B608" s="253"/>
      <c r="C608" s="253"/>
      <c r="D608" s="253"/>
      <c r="E608" s="253"/>
      <c r="F608" s="253"/>
      <c r="G608" s="253"/>
      <c r="H608" s="253"/>
      <c r="I608" s="253"/>
      <c r="J608" s="253"/>
      <c r="K608" s="253"/>
      <c r="L608" s="253"/>
      <c r="M608" s="253"/>
      <c r="N608" s="253"/>
      <c r="O608" s="253"/>
      <c r="P608" s="253"/>
      <c r="Q608" s="253"/>
      <c r="R608" s="253"/>
      <c r="S608" s="253"/>
      <c r="T608" s="253"/>
      <c r="U608" s="253"/>
      <c r="V608" s="253"/>
      <c r="W608" s="253"/>
      <c r="X608" s="253"/>
      <c r="Y608" s="253"/>
    </row>
    <row r="609" spans="1:26" x14ac:dyDescent="0.25">
      <c r="A609" s="249" t="s">
        <v>555</v>
      </c>
      <c r="B609" s="253"/>
      <c r="C609" s="253"/>
      <c r="D609" s="253"/>
      <c r="E609" s="253"/>
      <c r="F609" s="253"/>
      <c r="G609" s="253"/>
      <c r="H609" s="253"/>
      <c r="I609" s="253"/>
      <c r="J609" s="253"/>
      <c r="K609" s="253"/>
      <c r="L609" s="253"/>
      <c r="M609" s="253"/>
      <c r="N609" s="253"/>
      <c r="O609" s="253"/>
      <c r="P609" s="253"/>
      <c r="Q609" s="253"/>
      <c r="R609" s="253"/>
      <c r="S609" s="253"/>
      <c r="T609" s="253"/>
      <c r="U609" s="253"/>
      <c r="V609" s="253"/>
      <c r="W609" s="253"/>
      <c r="X609" s="253"/>
      <c r="Y609" s="253"/>
    </row>
    <row r="610" spans="1:26" x14ac:dyDescent="0.25">
      <c r="A610" s="249" t="s">
        <v>556</v>
      </c>
      <c r="B610" s="253"/>
      <c r="C610" s="253"/>
      <c r="D610" s="253"/>
      <c r="E610" s="253"/>
      <c r="F610" s="253"/>
      <c r="G610" s="253"/>
      <c r="H610" s="253"/>
      <c r="I610" s="253"/>
      <c r="J610" s="253"/>
      <c r="K610" s="253"/>
      <c r="L610" s="253"/>
      <c r="M610" s="253"/>
      <c r="N610" s="253"/>
      <c r="O610" s="253"/>
      <c r="P610" s="253"/>
      <c r="Q610" s="253"/>
      <c r="R610" s="253"/>
      <c r="S610" s="253"/>
      <c r="T610" s="253"/>
      <c r="U610" s="253"/>
      <c r="V610" s="253"/>
      <c r="W610" s="253"/>
      <c r="X610" s="253"/>
      <c r="Y610" s="253"/>
    </row>
    <row r="611" spans="1:26" x14ac:dyDescent="0.25">
      <c r="A611" s="249" t="s">
        <v>557</v>
      </c>
      <c r="B611" s="253"/>
      <c r="C611" s="253"/>
      <c r="D611" s="253"/>
      <c r="E611" s="253"/>
      <c r="F611" s="253"/>
      <c r="G611" s="253"/>
      <c r="H611" s="253"/>
      <c r="I611" s="253"/>
      <c r="J611" s="253"/>
      <c r="K611" s="253"/>
      <c r="L611" s="253"/>
      <c r="M611" s="253"/>
      <c r="N611" s="253"/>
      <c r="O611" s="253"/>
      <c r="P611" s="253"/>
      <c r="Q611" s="253"/>
      <c r="R611" s="253"/>
      <c r="S611" s="253"/>
      <c r="T611" s="253"/>
      <c r="U611" s="253"/>
      <c r="V611" s="253"/>
      <c r="W611" s="253"/>
      <c r="X611" s="253"/>
      <c r="Y611" s="253"/>
    </row>
    <row r="612" spans="1:26" x14ac:dyDescent="0.25">
      <c r="A612" s="249" t="s">
        <v>558</v>
      </c>
      <c r="B612" s="253"/>
      <c r="C612" s="253"/>
      <c r="D612" s="253"/>
      <c r="E612" s="253"/>
      <c r="F612" s="253"/>
      <c r="G612" s="253"/>
      <c r="H612" s="253"/>
      <c r="I612" s="253"/>
      <c r="J612" s="253"/>
      <c r="K612" s="253"/>
      <c r="L612" s="253"/>
      <c r="M612" s="253"/>
      <c r="N612" s="253"/>
      <c r="O612" s="253"/>
      <c r="P612" s="253"/>
      <c r="Q612" s="253"/>
      <c r="R612" s="253"/>
      <c r="S612" s="253"/>
      <c r="T612" s="253"/>
      <c r="U612" s="253"/>
      <c r="V612" s="253"/>
      <c r="W612" s="253"/>
      <c r="X612" s="253"/>
      <c r="Y612" s="253"/>
    </row>
    <row r="613" spans="1:26" x14ac:dyDescent="0.25">
      <c r="A613" s="249" t="s">
        <v>559</v>
      </c>
      <c r="B613" s="253"/>
      <c r="C613" s="253"/>
      <c r="D613" s="253"/>
      <c r="E613" s="253"/>
      <c r="F613" s="253"/>
      <c r="G613" s="253"/>
      <c r="H613" s="253"/>
      <c r="I613" s="253"/>
      <c r="J613" s="253"/>
      <c r="K613" s="253"/>
      <c r="L613" s="253"/>
      <c r="M613" s="253"/>
      <c r="N613" s="253"/>
      <c r="O613" s="253"/>
      <c r="P613" s="253"/>
      <c r="Q613" s="253"/>
      <c r="R613" s="253"/>
      <c r="S613" s="253"/>
      <c r="T613" s="253"/>
      <c r="U613" s="253"/>
      <c r="V613" s="253"/>
      <c r="W613" s="253"/>
      <c r="X613" s="253"/>
      <c r="Y613" s="253"/>
    </row>
    <row r="614" spans="1:26" ht="13" thickBot="1" x14ac:dyDescent="0.3">
      <c r="A614" s="254" t="s">
        <v>560</v>
      </c>
      <c r="B614" s="255"/>
      <c r="C614" s="255"/>
      <c r="D614" s="255"/>
      <c r="E614" s="255"/>
      <c r="F614" s="255"/>
      <c r="G614" s="255"/>
      <c r="H614" s="255"/>
      <c r="I614" s="255"/>
      <c r="J614" s="255"/>
      <c r="K614" s="255"/>
      <c r="L614" s="255"/>
      <c r="M614" s="255"/>
      <c r="N614" s="255"/>
      <c r="O614" s="255"/>
      <c r="P614" s="255"/>
      <c r="Q614" s="255"/>
      <c r="R614" s="255"/>
      <c r="S614" s="255"/>
      <c r="T614" s="255"/>
      <c r="U614" s="255"/>
      <c r="V614" s="255"/>
      <c r="W614" s="255"/>
      <c r="X614" s="255"/>
      <c r="Y614" s="255"/>
    </row>
    <row r="615" spans="1:26" x14ac:dyDescent="0.25">
      <c r="A615" s="39"/>
      <c r="B615" s="39"/>
      <c r="C615" s="39"/>
      <c r="D615" s="39"/>
      <c r="E615" s="39"/>
      <c r="F615" s="39"/>
      <c r="G615" s="39"/>
      <c r="H615" s="39"/>
      <c r="I615" s="39"/>
      <c r="J615" s="39"/>
      <c r="K615" s="39"/>
      <c r="L615" s="39"/>
      <c r="M615" s="39"/>
      <c r="N615" s="39"/>
      <c r="O615" s="39"/>
      <c r="P615" s="39"/>
      <c r="Q615" s="39"/>
      <c r="R615" s="39"/>
      <c r="S615" s="39"/>
      <c r="T615" s="39"/>
      <c r="U615" s="39"/>
      <c r="V615" s="39"/>
      <c r="W615" s="39"/>
      <c r="X615" s="39"/>
      <c r="Y615" s="39"/>
      <c r="Z615" s="39"/>
    </row>
    <row r="616" spans="1:26" x14ac:dyDescent="0.25">
      <c r="A616" s="39"/>
      <c r="B616" s="39"/>
      <c r="C616" s="39"/>
      <c r="D616" s="39"/>
      <c r="E616" s="39"/>
      <c r="F616" s="39"/>
      <c r="G616" s="39"/>
      <c r="H616" s="39"/>
      <c r="I616" s="39"/>
      <c r="J616" s="39"/>
      <c r="K616" s="39"/>
      <c r="L616" s="39"/>
      <c r="M616" s="39"/>
      <c r="N616" s="39"/>
      <c r="O616" s="39"/>
      <c r="P616" s="39"/>
      <c r="Q616" s="39"/>
      <c r="R616" s="39"/>
      <c r="S616" s="39"/>
      <c r="T616" s="39"/>
      <c r="U616" s="39"/>
      <c r="V616" s="39"/>
      <c r="W616" s="39"/>
      <c r="X616" s="39"/>
      <c r="Y616" s="39"/>
      <c r="Z616" s="39"/>
    </row>
    <row r="617" spans="1:26" ht="13" thickBot="1" x14ac:dyDescent="0.3">
      <c r="A617" s="39"/>
      <c r="B617" s="39"/>
      <c r="C617" s="39"/>
      <c r="D617" s="39"/>
      <c r="E617" s="39"/>
      <c r="F617" s="39"/>
      <c r="G617" s="39"/>
      <c r="H617" s="39"/>
      <c r="I617" s="39"/>
      <c r="J617" s="39"/>
      <c r="K617" s="39"/>
      <c r="L617" s="39"/>
      <c r="M617" s="39"/>
      <c r="N617" s="39"/>
      <c r="O617" s="39"/>
      <c r="P617" s="39"/>
      <c r="Q617" s="39"/>
      <c r="R617" s="39"/>
      <c r="S617" s="39"/>
      <c r="T617" s="39"/>
      <c r="U617" s="39"/>
      <c r="V617" s="39"/>
      <c r="W617" s="39"/>
      <c r="X617" s="39"/>
      <c r="Y617" s="39"/>
      <c r="Z617" s="39"/>
    </row>
    <row r="618" spans="1:26" ht="13" x14ac:dyDescent="0.3">
      <c r="A618" s="256" t="s">
        <v>561</v>
      </c>
      <c r="B618" s="257"/>
      <c r="C618" s="257" t="s">
        <v>861</v>
      </c>
      <c r="D618" s="257"/>
      <c r="E618" s="257"/>
      <c r="F618" s="257"/>
      <c r="G618" s="257"/>
      <c r="H618" s="257"/>
      <c r="I618" s="257"/>
      <c r="J618" s="257"/>
      <c r="K618" s="257"/>
      <c r="L618" s="257"/>
      <c r="M618" s="257"/>
      <c r="N618" s="257"/>
      <c r="O618" s="257"/>
      <c r="P618" s="257"/>
      <c r="Q618" s="257"/>
      <c r="R618" s="257"/>
      <c r="S618" s="257"/>
      <c r="T618" s="257"/>
      <c r="U618" s="257"/>
      <c r="V618" s="257"/>
      <c r="W618" s="257"/>
      <c r="X618" s="257"/>
      <c r="Y618" s="257"/>
    </row>
    <row r="619" spans="1:26" ht="13" x14ac:dyDescent="0.3">
      <c r="A619" s="258" t="s">
        <v>562</v>
      </c>
      <c r="B619" s="250"/>
      <c r="C619" s="1638" t="s">
        <v>866</v>
      </c>
      <c r="D619" s="1638"/>
      <c r="E619" s="1638"/>
      <c r="F619" s="1638"/>
      <c r="G619" s="1638"/>
      <c r="H619" s="1638"/>
      <c r="I619" s="1638"/>
      <c r="J619" s="1638"/>
      <c r="K619" s="1638"/>
      <c r="L619" s="1638"/>
      <c r="M619" s="1638"/>
      <c r="N619" s="1638"/>
      <c r="O619" s="1638"/>
      <c r="P619" s="1638"/>
      <c r="Q619" s="1638"/>
      <c r="R619" s="1638"/>
      <c r="S619" s="1638"/>
      <c r="T619" s="1638"/>
      <c r="U619" s="1638"/>
      <c r="V619" s="1638"/>
      <c r="W619" s="1638"/>
      <c r="X619" s="1638"/>
      <c r="Y619" s="1638"/>
    </row>
    <row r="620" spans="1:26" x14ac:dyDescent="0.25">
      <c r="A620" s="249" t="s">
        <v>563</v>
      </c>
      <c r="B620" s="250"/>
      <c r="C620" s="1638" t="s">
        <v>867</v>
      </c>
      <c r="D620" s="1638"/>
      <c r="E620" s="1638"/>
      <c r="F620" s="1638"/>
      <c r="G620" s="1638"/>
      <c r="H620" s="1638"/>
      <c r="I620" s="1638"/>
      <c r="J620" s="1638"/>
      <c r="K620" s="1638"/>
      <c r="L620" s="1638"/>
      <c r="M620" s="1638"/>
      <c r="N620" s="1638"/>
      <c r="O620" s="1638"/>
      <c r="P620" s="1638"/>
      <c r="Q620" s="1638"/>
      <c r="R620" s="1638"/>
      <c r="S620" s="1638"/>
      <c r="T620" s="1638"/>
      <c r="U620" s="1638"/>
      <c r="V620" s="1638"/>
      <c r="W620" s="1638"/>
      <c r="X620" s="1638"/>
      <c r="Y620" s="1638"/>
    </row>
    <row r="621" spans="1:26" x14ac:dyDescent="0.25">
      <c r="A621" s="251" t="s">
        <v>446</v>
      </c>
      <c r="B621" s="250"/>
      <c r="C621" s="250"/>
      <c r="D621" s="250"/>
      <c r="E621" s="250"/>
      <c r="F621" s="250"/>
      <c r="G621" s="250"/>
      <c r="H621" s="250"/>
      <c r="I621" s="250"/>
      <c r="J621" s="250"/>
      <c r="K621" s="250"/>
      <c r="L621" s="250"/>
      <c r="M621" s="250"/>
      <c r="N621" s="250"/>
      <c r="O621" s="250"/>
      <c r="P621" s="250"/>
      <c r="Q621" s="250"/>
      <c r="R621" s="250"/>
      <c r="S621" s="250"/>
      <c r="T621" s="250"/>
      <c r="U621" s="250"/>
      <c r="V621" s="250"/>
      <c r="W621" s="250"/>
      <c r="X621" s="250"/>
      <c r="Y621" s="250"/>
    </row>
    <row r="622" spans="1:26" x14ac:dyDescent="0.25">
      <c r="A622" s="249"/>
      <c r="B622" s="250"/>
      <c r="C622" s="295"/>
      <c r="D622" s="250"/>
      <c r="E622" s="250"/>
      <c r="F622" s="250"/>
      <c r="G622" s="250"/>
      <c r="H622" s="250"/>
      <c r="I622" s="250"/>
      <c r="J622" s="250"/>
      <c r="K622" s="250"/>
      <c r="L622" s="250"/>
      <c r="M622" s="250"/>
      <c r="N622" s="250"/>
      <c r="O622" s="250"/>
      <c r="P622" s="250"/>
      <c r="Q622" s="250"/>
      <c r="R622" s="250"/>
      <c r="S622" s="250"/>
      <c r="T622" s="250"/>
      <c r="U622" s="250"/>
      <c r="V622" s="250"/>
      <c r="W622" s="250"/>
      <c r="X622" s="250"/>
      <c r="Y622" s="250"/>
    </row>
    <row r="623" spans="1:26" x14ac:dyDescent="0.25">
      <c r="A623" s="249" t="s">
        <v>447</v>
      </c>
      <c r="B623" s="250"/>
      <c r="C623" s="250"/>
      <c r="D623" s="250"/>
      <c r="E623" s="250"/>
      <c r="F623" s="250"/>
      <c r="G623" s="250"/>
      <c r="H623" s="250"/>
      <c r="I623" s="250"/>
      <c r="J623" s="250"/>
      <c r="K623" s="250"/>
      <c r="L623" s="250"/>
      <c r="M623" s="250"/>
      <c r="N623" s="250"/>
      <c r="O623" s="250"/>
      <c r="P623" s="250"/>
      <c r="Q623" s="250"/>
      <c r="R623" s="250"/>
      <c r="S623" s="250"/>
      <c r="T623" s="250"/>
      <c r="U623" s="250"/>
      <c r="V623" s="250"/>
      <c r="W623" s="250"/>
      <c r="X623" s="250"/>
      <c r="Y623" s="250"/>
    </row>
    <row r="624" spans="1:26" x14ac:dyDescent="0.25">
      <c r="A624" s="249" t="s">
        <v>448</v>
      </c>
      <c r="B624" s="250"/>
      <c r="C624" s="250"/>
      <c r="D624" s="250"/>
      <c r="E624" s="250"/>
      <c r="F624" s="250"/>
      <c r="G624" s="250"/>
      <c r="H624" s="250"/>
      <c r="I624" s="250"/>
      <c r="J624" s="250"/>
      <c r="K624" s="250"/>
      <c r="L624" s="250"/>
      <c r="M624" s="250"/>
      <c r="N624" s="250"/>
      <c r="O624" s="250"/>
      <c r="P624" s="250"/>
      <c r="Q624" s="250"/>
      <c r="R624" s="250"/>
      <c r="S624" s="250"/>
      <c r="T624" s="250"/>
      <c r="U624" s="250"/>
      <c r="V624" s="250"/>
      <c r="W624" s="250"/>
      <c r="X624" s="250"/>
      <c r="Y624" s="250"/>
    </row>
    <row r="625" spans="1:26" x14ac:dyDescent="0.25">
      <c r="A625" s="249"/>
      <c r="B625" s="250"/>
      <c r="C625" s="250"/>
      <c r="D625" s="250"/>
      <c r="E625" s="250"/>
      <c r="F625" s="250"/>
      <c r="G625" s="250"/>
      <c r="H625" s="250"/>
      <c r="I625" s="250"/>
      <c r="J625" s="250"/>
      <c r="K625" s="250"/>
      <c r="L625" s="250"/>
      <c r="M625" s="250"/>
      <c r="N625" s="250"/>
      <c r="O625" s="250"/>
      <c r="P625" s="250"/>
      <c r="Q625" s="250"/>
      <c r="R625" s="250"/>
      <c r="S625" s="250"/>
      <c r="T625" s="250"/>
      <c r="U625" s="250"/>
      <c r="V625" s="250"/>
      <c r="W625" s="250"/>
      <c r="X625" s="250"/>
      <c r="Y625" s="250"/>
      <c r="Z625" t="s">
        <v>591</v>
      </c>
    </row>
    <row r="626" spans="1:26" x14ac:dyDescent="0.25">
      <c r="A626" s="249" t="s">
        <v>440</v>
      </c>
      <c r="B626" s="250" t="s">
        <v>449</v>
      </c>
      <c r="C626" s="250" t="s">
        <v>450</v>
      </c>
      <c r="D626" s="250" t="s">
        <v>451</v>
      </c>
      <c r="E626" s="250" t="s">
        <v>452</v>
      </c>
      <c r="F626" s="250" t="s">
        <v>453</v>
      </c>
      <c r="G626" s="250" t="s">
        <v>454</v>
      </c>
      <c r="H626" s="250" t="s">
        <v>455</v>
      </c>
      <c r="I626" s="250" t="s">
        <v>456</v>
      </c>
      <c r="J626" s="250" t="s">
        <v>457</v>
      </c>
      <c r="K626" s="250" t="s">
        <v>458</v>
      </c>
      <c r="L626" s="250" t="s">
        <v>459</v>
      </c>
      <c r="M626" s="250" t="s">
        <v>460</v>
      </c>
      <c r="N626" s="250" t="s">
        <v>461</v>
      </c>
      <c r="O626" s="250" t="s">
        <v>462</v>
      </c>
      <c r="P626" s="250" t="s">
        <v>463</v>
      </c>
      <c r="Q626" s="250" t="s">
        <v>464</v>
      </c>
      <c r="R626" s="250" t="s">
        <v>465</v>
      </c>
      <c r="S626" s="250" t="s">
        <v>466</v>
      </c>
      <c r="T626" s="250" t="s">
        <v>467</v>
      </c>
      <c r="U626" s="250" t="s">
        <v>468</v>
      </c>
      <c r="V626" s="250" t="s">
        <v>469</v>
      </c>
      <c r="W626" s="250" t="s">
        <v>470</v>
      </c>
      <c r="X626" s="250" t="s">
        <v>471</v>
      </c>
      <c r="Y626" s="250" t="s">
        <v>472</v>
      </c>
      <c r="Z626">
        <v>2026</v>
      </c>
    </row>
    <row r="627" spans="1:26" x14ac:dyDescent="0.25">
      <c r="A627" s="249" t="s">
        <v>440</v>
      </c>
      <c r="B627" s="250" t="s">
        <v>440</v>
      </c>
      <c r="C627" s="250" t="s">
        <v>440</v>
      </c>
      <c r="D627" s="250" t="s">
        <v>440</v>
      </c>
      <c r="E627" s="250" t="s">
        <v>440</v>
      </c>
      <c r="F627" s="250" t="s">
        <v>440</v>
      </c>
      <c r="G627" s="250" t="s">
        <v>440</v>
      </c>
      <c r="H627" s="250" t="s">
        <v>440</v>
      </c>
      <c r="I627" s="250" t="s">
        <v>440</v>
      </c>
      <c r="J627" s="250" t="s">
        <v>440</v>
      </c>
      <c r="K627" s="250" t="s">
        <v>440</v>
      </c>
      <c r="L627" s="250" t="s">
        <v>440</v>
      </c>
      <c r="M627" s="250" t="s">
        <v>440</v>
      </c>
      <c r="N627" s="250" t="s">
        <v>440</v>
      </c>
      <c r="O627" s="250" t="s">
        <v>440</v>
      </c>
      <c r="P627" s="250" t="s">
        <v>440</v>
      </c>
      <c r="Q627" s="250" t="s">
        <v>440</v>
      </c>
      <c r="R627" s="250" t="s">
        <v>440</v>
      </c>
      <c r="S627" s="250" t="s">
        <v>440</v>
      </c>
      <c r="T627" s="250" t="s">
        <v>440</v>
      </c>
      <c r="U627" s="250" t="s">
        <v>440</v>
      </c>
      <c r="V627" s="250" t="s">
        <v>440</v>
      </c>
      <c r="W627" s="250" t="s">
        <v>440</v>
      </c>
      <c r="X627" s="250" t="s">
        <v>440</v>
      </c>
      <c r="Y627" s="250" t="s">
        <v>440</v>
      </c>
    </row>
    <row r="628" spans="1:26" x14ac:dyDescent="0.25">
      <c r="A628" s="249" t="s">
        <v>473</v>
      </c>
      <c r="B628" s="253">
        <v>15.0220499038696</v>
      </c>
      <c r="C628" s="253">
        <v>15.811363220214799</v>
      </c>
      <c r="D628" s="253">
        <v>16.426000595092798</v>
      </c>
      <c r="E628" s="253">
        <v>16.4650573730469</v>
      </c>
      <c r="F628" s="253">
        <v>15.8399600982666</v>
      </c>
      <c r="G628" s="253">
        <v>15.268068313598601</v>
      </c>
      <c r="H628" s="253">
        <v>14.8466091156006</v>
      </c>
      <c r="I628" s="253">
        <v>14.7514638900757</v>
      </c>
      <c r="J628" s="253">
        <v>14.6550188064575</v>
      </c>
      <c r="K628" s="253">
        <v>14.6146650314331</v>
      </c>
      <c r="L628" s="253">
        <v>14.723385810852101</v>
      </c>
      <c r="M628" s="253">
        <v>14.890528678894</v>
      </c>
      <c r="N628" s="253">
        <v>15.1057291030884</v>
      </c>
      <c r="O628" s="253">
        <v>15.213768959045399</v>
      </c>
      <c r="P628" s="253">
        <v>15.3079509735107</v>
      </c>
      <c r="Q628" s="253">
        <v>15.3113193511963</v>
      </c>
      <c r="R628" s="253">
        <v>15.4291744232178</v>
      </c>
      <c r="S628" s="253">
        <v>15.6326360702515</v>
      </c>
      <c r="T628" s="253">
        <v>15.9024982452393</v>
      </c>
      <c r="U628" s="253">
        <v>16.1096382141113</v>
      </c>
      <c r="V628" s="253">
        <v>16.157627105712901</v>
      </c>
      <c r="W628" s="253">
        <v>16.2051906585693</v>
      </c>
      <c r="X628" s="253">
        <v>16.309419631958001</v>
      </c>
      <c r="Y628" s="253">
        <v>16.471462249755898</v>
      </c>
    </row>
    <row r="629" spans="1:26" x14ac:dyDescent="0.25">
      <c r="A629" s="249" t="s">
        <v>474</v>
      </c>
      <c r="B629" s="253">
        <v>8.3285751342773402</v>
      </c>
      <c r="C629" s="253">
        <v>9.67810153961182</v>
      </c>
      <c r="D629" s="253">
        <v>10.65163230896</v>
      </c>
      <c r="E629" s="253">
        <v>10.5740642547607</v>
      </c>
      <c r="F629" s="253">
        <v>9.9307842254638707</v>
      </c>
      <c r="G629" s="253">
        <v>9.5159215927124006</v>
      </c>
      <c r="H629" s="253">
        <v>9.1046285629272496</v>
      </c>
      <c r="I629" s="253">
        <v>8.8910932540893608</v>
      </c>
      <c r="J629" s="253">
        <v>8.7197055816650408</v>
      </c>
      <c r="K629" s="253">
        <v>8.6297874450683594</v>
      </c>
      <c r="L629" s="253">
        <v>8.6824674606323207</v>
      </c>
      <c r="M629" s="253">
        <v>8.7884712219238299</v>
      </c>
      <c r="N629" s="253">
        <v>8.9080095291137695</v>
      </c>
      <c r="O629" s="253">
        <v>9.0072793960571307</v>
      </c>
      <c r="P629" s="253">
        <v>9.0682640075683594</v>
      </c>
      <c r="Q629" s="253">
        <v>9.0415534973144496</v>
      </c>
      <c r="R629" s="253">
        <v>9.1060371398925799</v>
      </c>
      <c r="S629" s="253">
        <v>9.2553215026855504</v>
      </c>
      <c r="T629" s="253">
        <v>9.4607038497924805</v>
      </c>
      <c r="U629" s="253">
        <v>9.6327857971191406</v>
      </c>
      <c r="V629" s="253">
        <v>9.6968526840209996</v>
      </c>
      <c r="W629" s="253">
        <v>9.7728433609008807</v>
      </c>
      <c r="X629" s="253">
        <v>9.8535881042480504</v>
      </c>
      <c r="Y629" s="253">
        <v>9.9786624908447301</v>
      </c>
    </row>
    <row r="630" spans="1:26" x14ac:dyDescent="0.25">
      <c r="A630" s="249" t="s">
        <v>475</v>
      </c>
      <c r="B630" s="253">
        <v>10.0436496734619</v>
      </c>
      <c r="C630" s="253">
        <v>11.266843795776399</v>
      </c>
      <c r="D630" s="253">
        <v>13.0600233078003</v>
      </c>
      <c r="E630" s="253">
        <v>12.5262851715088</v>
      </c>
      <c r="F630" s="253">
        <v>12.207064628601101</v>
      </c>
      <c r="G630" s="253">
        <v>12.234001159668001</v>
      </c>
      <c r="H630" s="253">
        <v>12.201937675476101</v>
      </c>
      <c r="I630" s="253">
        <v>12.2015285491943</v>
      </c>
      <c r="J630" s="253">
        <v>12.262092590331999</v>
      </c>
      <c r="K630" s="253">
        <v>12.1512393951416</v>
      </c>
      <c r="L630" s="253">
        <v>12.1732091903687</v>
      </c>
      <c r="M630" s="253">
        <v>12.1968584060669</v>
      </c>
      <c r="N630" s="253">
        <v>12.177050590515099</v>
      </c>
      <c r="O630" s="253">
        <v>12.2115392684937</v>
      </c>
      <c r="P630" s="253">
        <v>12.3804988861084</v>
      </c>
      <c r="Q630" s="253">
        <v>12.519121170043899</v>
      </c>
      <c r="R630" s="253">
        <v>12.6585578918457</v>
      </c>
      <c r="S630" s="253">
        <v>12.798875808715801</v>
      </c>
      <c r="T630" s="253">
        <v>12.8676557540894</v>
      </c>
      <c r="U630" s="253">
        <v>13.13560962677</v>
      </c>
      <c r="V630" s="253">
        <v>13.328717231750501</v>
      </c>
      <c r="W630" s="253">
        <v>13.556846618652299</v>
      </c>
      <c r="X630" s="253">
        <v>13.722979545593301</v>
      </c>
      <c r="Y630" s="253">
        <v>13.940701484680201</v>
      </c>
    </row>
    <row r="631" spans="1:26" x14ac:dyDescent="0.25">
      <c r="A631" s="249" t="s">
        <v>476</v>
      </c>
      <c r="B631" s="253">
        <v>8.3698368072509801</v>
      </c>
      <c r="C631" s="253">
        <v>9.5702075958252006</v>
      </c>
      <c r="D631" s="253">
        <v>10.537187576293899</v>
      </c>
      <c r="E631" s="253">
        <v>10.120927810668899</v>
      </c>
      <c r="F631" s="253">
        <v>9.8627185821533203</v>
      </c>
      <c r="G631" s="253">
        <v>9.8399791717529297</v>
      </c>
      <c r="H631" s="253">
        <v>9.8302927017211896</v>
      </c>
      <c r="I631" s="253">
        <v>9.8297405242919904</v>
      </c>
      <c r="J631" s="253">
        <v>9.8252134323120099</v>
      </c>
      <c r="K631" s="253">
        <v>9.7093524932861293</v>
      </c>
      <c r="L631" s="253">
        <v>9.7021694183349592</v>
      </c>
      <c r="M631" s="253">
        <v>9.7383060455322301</v>
      </c>
      <c r="N631" s="253">
        <v>9.80072116851807</v>
      </c>
      <c r="O631" s="253">
        <v>9.7244081497192401</v>
      </c>
      <c r="P631" s="253">
        <v>9.8378829956054705</v>
      </c>
      <c r="Q631" s="253">
        <v>9.8340024948120099</v>
      </c>
      <c r="R631" s="253">
        <v>9.9226865768432599</v>
      </c>
      <c r="S631" s="253">
        <v>10.0213985443115</v>
      </c>
      <c r="T631" s="253">
        <v>10.078977584838899</v>
      </c>
      <c r="U631" s="253">
        <v>10.280327796936</v>
      </c>
      <c r="V631" s="253">
        <v>10.3802833557129</v>
      </c>
      <c r="W631" s="253">
        <v>10.4678192138672</v>
      </c>
      <c r="X631" s="253">
        <v>10.5482635498047</v>
      </c>
      <c r="Y631" s="253">
        <v>10.6469841003418</v>
      </c>
    </row>
    <row r="632" spans="1:26" x14ac:dyDescent="0.25">
      <c r="A632" s="249" t="s">
        <v>477</v>
      </c>
      <c r="B632" s="253">
        <v>12.976583480835</v>
      </c>
      <c r="C632" s="253">
        <v>14.582922935485801</v>
      </c>
      <c r="D632" s="253">
        <v>17.570188522338899</v>
      </c>
      <c r="E632" s="253">
        <v>17.073205947876001</v>
      </c>
      <c r="F632" s="253">
        <v>16.564285278320298</v>
      </c>
      <c r="G632" s="253">
        <v>16.581449508666999</v>
      </c>
      <c r="H632" s="253">
        <v>16.4250888824463</v>
      </c>
      <c r="I632" s="253">
        <v>16.346086502075199</v>
      </c>
      <c r="J632" s="253">
        <v>16.4532871246338</v>
      </c>
      <c r="K632" s="253">
        <v>16.288703918456999</v>
      </c>
      <c r="L632" s="253">
        <v>16.298521041870099</v>
      </c>
      <c r="M632" s="253">
        <v>16.236286163330099</v>
      </c>
      <c r="N632" s="253">
        <v>15.99489402771</v>
      </c>
      <c r="O632" s="253">
        <v>16.1197624206543</v>
      </c>
      <c r="P632" s="253">
        <v>16.286623001098601</v>
      </c>
      <c r="Q632" s="253">
        <v>16.56103515625</v>
      </c>
      <c r="R632" s="253">
        <v>16.690963745117202</v>
      </c>
      <c r="S632" s="253">
        <v>16.804660797119102</v>
      </c>
      <c r="T632" s="253">
        <v>16.7820129394531</v>
      </c>
      <c r="U632" s="253">
        <v>17.028240203857401</v>
      </c>
      <c r="V632" s="253">
        <v>17.2251377105713</v>
      </c>
      <c r="W632" s="253">
        <v>17.515983581543001</v>
      </c>
      <c r="X632" s="253">
        <v>17.670423507690401</v>
      </c>
      <c r="Y632" s="253">
        <v>17.9113578796387</v>
      </c>
    </row>
    <row r="633" spans="1:26" x14ac:dyDescent="0.25">
      <c r="A633" s="249" t="s">
        <v>478</v>
      </c>
      <c r="B633" s="253">
        <v>7.8179483413696298</v>
      </c>
      <c r="C633" s="253">
        <v>9.2187824249267596</v>
      </c>
      <c r="D633" s="253">
        <v>9.9373655319213903</v>
      </c>
      <c r="E633" s="253">
        <v>10.036292076110801</v>
      </c>
      <c r="F633" s="253">
        <v>9.3139858245849592</v>
      </c>
      <c r="G633" s="253">
        <v>8.7959203720092791</v>
      </c>
      <c r="H633" s="253">
        <v>8.3035001754760707</v>
      </c>
      <c r="I633" s="253">
        <v>8.0470056533813494</v>
      </c>
      <c r="J633" s="253">
        <v>7.8287873268127397</v>
      </c>
      <c r="K633" s="253">
        <v>7.7531881332397496</v>
      </c>
      <c r="L633" s="253">
        <v>7.8190288543701199</v>
      </c>
      <c r="M633" s="253">
        <v>7.9488449096679696</v>
      </c>
      <c r="N633" s="253">
        <v>8.1063919067382795</v>
      </c>
      <c r="O633" s="253">
        <v>8.2242641448974592</v>
      </c>
      <c r="P633" s="253">
        <v>8.2648267745971697</v>
      </c>
      <c r="Q633" s="253">
        <v>8.2073183059692401</v>
      </c>
      <c r="R633" s="253">
        <v>8.2647809982299805</v>
      </c>
      <c r="S633" s="253">
        <v>8.4262142181396502</v>
      </c>
      <c r="T633" s="253">
        <v>8.6721630096435494</v>
      </c>
      <c r="U633" s="253">
        <v>8.83197021484375</v>
      </c>
      <c r="V633" s="253">
        <v>8.8790025711059606</v>
      </c>
      <c r="W633" s="253">
        <v>8.93493747711182</v>
      </c>
      <c r="X633" s="253">
        <v>9.0109558105468803</v>
      </c>
      <c r="Y633" s="253">
        <v>9.1305398941040004</v>
      </c>
    </row>
    <row r="634" spans="1:26" x14ac:dyDescent="0.25">
      <c r="A634" s="249" t="s">
        <v>479</v>
      </c>
      <c r="B634" s="253">
        <v>25.222642898559599</v>
      </c>
      <c r="C634" s="253">
        <v>25.415189743041999</v>
      </c>
      <c r="D634" s="253">
        <v>25.1915378570557</v>
      </c>
      <c r="E634" s="253">
        <v>25.148117065429702</v>
      </c>
      <c r="F634" s="253">
        <v>24.4542636871338</v>
      </c>
      <c r="G634" s="253">
        <v>23.578901290893601</v>
      </c>
      <c r="H634" s="253">
        <v>23.091381072998001</v>
      </c>
      <c r="I634" s="253">
        <v>23.1348171234131</v>
      </c>
      <c r="J634" s="253">
        <v>23.120912551879901</v>
      </c>
      <c r="K634" s="253">
        <v>23.118898391723601</v>
      </c>
      <c r="L634" s="253">
        <v>23.2529602050781</v>
      </c>
      <c r="M634" s="253">
        <v>23.4250183105469</v>
      </c>
      <c r="N634" s="253">
        <v>23.684103012085</v>
      </c>
      <c r="O634" s="253">
        <v>23.7079162597656</v>
      </c>
      <c r="P634" s="253">
        <v>23.7613220214844</v>
      </c>
      <c r="Q634" s="253">
        <v>23.722099304199201</v>
      </c>
      <c r="R634" s="253">
        <v>23.8309440612793</v>
      </c>
      <c r="S634" s="253">
        <v>24.013486862182599</v>
      </c>
      <c r="T634" s="253">
        <v>24.267650604248001</v>
      </c>
      <c r="U634" s="253">
        <v>24.4126377105713</v>
      </c>
      <c r="V634" s="253">
        <v>24.3365364074707</v>
      </c>
      <c r="W634" s="253">
        <v>24.2477512359619</v>
      </c>
      <c r="X634" s="253">
        <v>24.2885627746582</v>
      </c>
      <c r="Y634" s="253">
        <v>24.396659851074201</v>
      </c>
    </row>
    <row r="635" spans="1:26" x14ac:dyDescent="0.25">
      <c r="A635" s="249" t="s">
        <v>440</v>
      </c>
      <c r="B635" s="253" t="s">
        <v>440</v>
      </c>
      <c r="C635" s="253" t="s">
        <v>440</v>
      </c>
      <c r="D635" s="253" t="s">
        <v>440</v>
      </c>
      <c r="E635" s="253" t="s">
        <v>440</v>
      </c>
      <c r="F635" s="253" t="s">
        <v>440</v>
      </c>
      <c r="G635" s="253" t="s">
        <v>440</v>
      </c>
      <c r="H635" s="253" t="s">
        <v>440</v>
      </c>
      <c r="I635" s="253" t="s">
        <v>440</v>
      </c>
      <c r="J635" s="253" t="s">
        <v>440</v>
      </c>
      <c r="K635" s="253" t="s">
        <v>440</v>
      </c>
      <c r="L635" s="253" t="s">
        <v>440</v>
      </c>
      <c r="M635" s="253" t="s">
        <v>440</v>
      </c>
      <c r="N635" s="253" t="s">
        <v>440</v>
      </c>
      <c r="O635" s="253" t="s">
        <v>440</v>
      </c>
      <c r="P635" s="253" t="s">
        <v>440</v>
      </c>
      <c r="Q635" s="253" t="s">
        <v>440</v>
      </c>
      <c r="R635" s="253" t="s">
        <v>440</v>
      </c>
      <c r="S635" s="253" t="s">
        <v>440</v>
      </c>
      <c r="T635" s="253" t="s">
        <v>440</v>
      </c>
      <c r="U635" s="253" t="s">
        <v>440</v>
      </c>
      <c r="V635" s="253" t="s">
        <v>440</v>
      </c>
      <c r="W635" s="253" t="s">
        <v>440</v>
      </c>
      <c r="X635" s="253" t="s">
        <v>440</v>
      </c>
      <c r="Y635" s="253" t="s">
        <v>440</v>
      </c>
    </row>
    <row r="636" spans="1:26" x14ac:dyDescent="0.25">
      <c r="A636" s="249" t="s">
        <v>480</v>
      </c>
      <c r="B636" s="253">
        <v>15.064169883728001</v>
      </c>
      <c r="C636" s="253">
        <v>15.629265785217299</v>
      </c>
      <c r="D636" s="253">
        <v>15.835695266723601</v>
      </c>
      <c r="E636" s="253">
        <v>15.918652534484901</v>
      </c>
      <c r="F636" s="253">
        <v>15.2065124511719</v>
      </c>
      <c r="G636" s="253">
        <v>14.526217460632299</v>
      </c>
      <c r="H636" s="253">
        <v>14.119109153747599</v>
      </c>
      <c r="I636" s="253">
        <v>14.0872592926025</v>
      </c>
      <c r="J636" s="253">
        <v>14.0534925460815</v>
      </c>
      <c r="K636" s="253">
        <v>14.108097076416</v>
      </c>
      <c r="L636" s="253">
        <v>14.338217735290501</v>
      </c>
      <c r="M636" s="253">
        <v>14.584888458251999</v>
      </c>
      <c r="N636" s="253">
        <v>14.9309749603271</v>
      </c>
      <c r="O636" s="253">
        <v>15.096228599548301</v>
      </c>
      <c r="P636" s="253">
        <v>15.2413949966431</v>
      </c>
      <c r="Q636" s="253">
        <v>15.255002975463899</v>
      </c>
      <c r="R636" s="253">
        <v>15.399823188781699</v>
      </c>
      <c r="S636" s="253">
        <v>15.6329202651978</v>
      </c>
      <c r="T636" s="253">
        <v>15.9477081298828</v>
      </c>
      <c r="U636" s="253">
        <v>16.179660797119102</v>
      </c>
      <c r="V636" s="253">
        <v>16.227045059204102</v>
      </c>
      <c r="W636" s="253">
        <v>16.249193191528299</v>
      </c>
      <c r="X636" s="253">
        <v>16.367641448974599</v>
      </c>
      <c r="Y636" s="253">
        <v>16.5326118469238</v>
      </c>
    </row>
    <row r="637" spans="1:26" x14ac:dyDescent="0.25">
      <c r="A637" s="249" t="s">
        <v>474</v>
      </c>
      <c r="B637" s="253">
        <v>6.5697088241577104</v>
      </c>
      <c r="C637" s="253">
        <v>7.9157042503356898</v>
      </c>
      <c r="D637" s="253">
        <v>8.3734045028686506</v>
      </c>
      <c r="E637" s="253">
        <v>8.3685989379882795</v>
      </c>
      <c r="F637" s="253">
        <v>7.9054894447326696</v>
      </c>
      <c r="G637" s="253">
        <v>7.6067800521850604</v>
      </c>
      <c r="H637" s="253">
        <v>7.3189792633056596</v>
      </c>
      <c r="I637" s="253">
        <v>7.2159371376037598</v>
      </c>
      <c r="J637" s="253">
        <v>7.1498117446899396</v>
      </c>
      <c r="K637" s="253">
        <v>7.1872353553771999</v>
      </c>
      <c r="L637" s="253">
        <v>7.2290387153625497</v>
      </c>
      <c r="M637" s="253">
        <v>7.30631303787231</v>
      </c>
      <c r="N637" s="253">
        <v>7.4108529090881303</v>
      </c>
      <c r="O637" s="253">
        <v>7.4683656692504901</v>
      </c>
      <c r="P637" s="253">
        <v>7.4930505752563503</v>
      </c>
      <c r="Q637" s="253">
        <v>7.43192434310913</v>
      </c>
      <c r="R637" s="253">
        <v>7.4779849052429199</v>
      </c>
      <c r="S637" s="253">
        <v>7.60019826889038</v>
      </c>
      <c r="T637" s="253">
        <v>7.7867598533630398</v>
      </c>
      <c r="U637" s="253">
        <v>7.91162109375</v>
      </c>
      <c r="V637" s="253">
        <v>7.9430484771728498</v>
      </c>
      <c r="W637" s="253">
        <v>7.9890594482421902</v>
      </c>
      <c r="X637" s="253">
        <v>8.0587644577026403</v>
      </c>
      <c r="Y637" s="253">
        <v>8.1779403686523402</v>
      </c>
    </row>
    <row r="638" spans="1:26" x14ac:dyDescent="0.25">
      <c r="A638" s="249" t="s">
        <v>475</v>
      </c>
      <c r="B638" s="253">
        <v>6.9482707977294904</v>
      </c>
      <c r="C638" s="253">
        <v>8.0266513824462908</v>
      </c>
      <c r="D638" s="253">
        <v>8.9197740554809606</v>
      </c>
      <c r="E638" s="253">
        <v>8.6532411575317401</v>
      </c>
      <c r="F638" s="253">
        <v>8.7558631896972692</v>
      </c>
      <c r="G638" s="253">
        <v>8.8328323364257795</v>
      </c>
      <c r="H638" s="253">
        <v>8.8167963027954102</v>
      </c>
      <c r="I638" s="253">
        <v>8.8182945251464808</v>
      </c>
      <c r="J638" s="253">
        <v>8.8873138427734393</v>
      </c>
      <c r="K638" s="253">
        <v>8.9125509262084996</v>
      </c>
      <c r="L638" s="253">
        <v>8.9192247390747106</v>
      </c>
      <c r="M638" s="253">
        <v>8.8803482055664098</v>
      </c>
      <c r="N638" s="253">
        <v>8.8586578369140607</v>
      </c>
      <c r="O638" s="253">
        <v>8.7692289352416992</v>
      </c>
      <c r="P638" s="253">
        <v>8.7682600021362305</v>
      </c>
      <c r="Q638" s="253">
        <v>8.7373514175415004</v>
      </c>
      <c r="R638" s="253">
        <v>8.7862501144409197</v>
      </c>
      <c r="S638" s="253">
        <v>8.8491783142089808</v>
      </c>
      <c r="T638" s="253">
        <v>8.8908815383911097</v>
      </c>
      <c r="U638" s="253">
        <v>9.0514831542968803</v>
      </c>
      <c r="V638" s="253">
        <v>9.1475715637206996</v>
      </c>
      <c r="W638" s="253">
        <v>9.2663307189941406</v>
      </c>
      <c r="X638" s="253">
        <v>9.3906812667846697</v>
      </c>
      <c r="Y638" s="253">
        <v>9.6513500213622994</v>
      </c>
    </row>
    <row r="639" spans="1:26" x14ac:dyDescent="0.25">
      <c r="A639" s="249" t="s">
        <v>476</v>
      </c>
      <c r="B639" s="253">
        <v>6.1493649482727104</v>
      </c>
      <c r="C639" s="253">
        <v>7.03082323074341</v>
      </c>
      <c r="D639" s="253">
        <v>7.7272830009460396</v>
      </c>
      <c r="E639" s="253">
        <v>7.4210705757141104</v>
      </c>
      <c r="F639" s="253">
        <v>7.6805524826049796</v>
      </c>
      <c r="G639" s="253">
        <v>7.8215904235839799</v>
      </c>
      <c r="H639" s="253">
        <v>7.8266153335571298</v>
      </c>
      <c r="I639" s="253">
        <v>7.8668313026428196</v>
      </c>
      <c r="J639" s="253">
        <v>7.9658513069152797</v>
      </c>
      <c r="K639" s="253">
        <v>8.0328092575073207</v>
      </c>
      <c r="L639" s="253">
        <v>8.0569534301757795</v>
      </c>
      <c r="M639" s="253">
        <v>8.0234899520874006</v>
      </c>
      <c r="N639" s="253">
        <v>8.0314903259277308</v>
      </c>
      <c r="O639" s="253">
        <v>7.91062688827515</v>
      </c>
      <c r="P639" s="253">
        <v>7.8695487976074201</v>
      </c>
      <c r="Q639" s="253">
        <v>7.7933855056762704</v>
      </c>
      <c r="R639" s="253">
        <v>7.8344025611877397</v>
      </c>
      <c r="S639" s="253">
        <v>7.89571285247803</v>
      </c>
      <c r="T639" s="253">
        <v>7.9562859535217303</v>
      </c>
      <c r="U639" s="253">
        <v>8.1191616058349592</v>
      </c>
      <c r="V639" s="253">
        <v>8.2043952941894496</v>
      </c>
      <c r="W639" s="253">
        <v>8.3111848831176793</v>
      </c>
      <c r="X639" s="253">
        <v>8.4434480667114293</v>
      </c>
      <c r="Y639" s="253">
        <v>8.7515277862548793</v>
      </c>
    </row>
    <row r="640" spans="1:26" x14ac:dyDescent="0.25">
      <c r="A640" s="249" t="s">
        <v>481</v>
      </c>
      <c r="B640" s="253">
        <v>4.2683343887329102</v>
      </c>
      <c r="C640" s="253">
        <v>4.9646224975585902</v>
      </c>
      <c r="D640" s="253">
        <v>5.0606441497802699</v>
      </c>
      <c r="E640" s="253">
        <v>5.3499693870544398</v>
      </c>
      <c r="F640" s="253">
        <v>5.6657009124755904</v>
      </c>
      <c r="G640" s="253">
        <v>5.6566004753112802</v>
      </c>
      <c r="H640" s="253">
        <v>5.6533966064453098</v>
      </c>
      <c r="I640" s="253">
        <v>5.65053033828735</v>
      </c>
      <c r="J640" s="253">
        <v>5.6487455368042001</v>
      </c>
      <c r="K640" s="253">
        <v>5.6555466651916504</v>
      </c>
      <c r="L640" s="253">
        <v>5.6602473258972203</v>
      </c>
      <c r="M640" s="253">
        <v>5.6679368019104004</v>
      </c>
      <c r="N640" s="253">
        <v>5.6729874610900897</v>
      </c>
      <c r="O640" s="253">
        <v>5.6782984733581499</v>
      </c>
      <c r="P640" s="253">
        <v>5.7556295394897496</v>
      </c>
      <c r="Q640" s="253">
        <v>5.8296666145324698</v>
      </c>
      <c r="R640" s="253">
        <v>5.9058866500854501</v>
      </c>
      <c r="S640" s="253">
        <v>5.9829258918762198</v>
      </c>
      <c r="T640" s="253">
        <v>6.0580596923828098</v>
      </c>
      <c r="U640" s="253">
        <v>6.1354246139526403</v>
      </c>
      <c r="V640" s="253">
        <v>6.2122497558593803</v>
      </c>
      <c r="W640" s="253">
        <v>6.2891340255737296</v>
      </c>
      <c r="X640" s="253">
        <v>6.3645572662353498</v>
      </c>
      <c r="Y640" s="253">
        <v>6.4413762092590297</v>
      </c>
    </row>
    <row r="641" spans="1:26" x14ac:dyDescent="0.25">
      <c r="A641" s="274" t="s">
        <v>478</v>
      </c>
      <c r="B641" s="253">
        <v>6.6170339584350604</v>
      </c>
      <c r="C641" s="253">
        <v>8.0769119262695295</v>
      </c>
      <c r="D641" s="253">
        <v>8.4473829269409197</v>
      </c>
      <c r="E641" s="253">
        <v>8.5046024322509801</v>
      </c>
      <c r="F641" s="253">
        <v>7.8886041641235396</v>
      </c>
      <c r="G641" s="253">
        <v>7.4893965721130398</v>
      </c>
      <c r="H641" s="253">
        <v>7.1298856735229501</v>
      </c>
      <c r="I641" s="253">
        <v>7.0003471374511701</v>
      </c>
      <c r="J641" s="253">
        <v>6.9035739898681596</v>
      </c>
      <c r="K641" s="253">
        <v>6.94567918777466</v>
      </c>
      <c r="L641" s="253">
        <v>6.9973711967468297</v>
      </c>
      <c r="M641" s="253">
        <v>7.1022868156433097</v>
      </c>
      <c r="N641" s="253">
        <v>7.2368607521057102</v>
      </c>
      <c r="O641" s="253">
        <v>7.3275256156921396</v>
      </c>
      <c r="P641" s="253">
        <v>7.3574790954589799</v>
      </c>
      <c r="Q641" s="253">
        <v>7.2871475219726598</v>
      </c>
      <c r="R641" s="253">
        <v>7.3330197334289604</v>
      </c>
      <c r="S641" s="253">
        <v>7.4703903198242196</v>
      </c>
      <c r="T641" s="253">
        <v>7.6915035247802699</v>
      </c>
      <c r="U641" s="253">
        <v>7.8109488487243697</v>
      </c>
      <c r="V641" s="253">
        <v>7.8279361724853498</v>
      </c>
      <c r="W641" s="253">
        <v>7.8590941429138201</v>
      </c>
      <c r="X641" s="253">
        <v>7.9183402061462402</v>
      </c>
      <c r="Y641" s="253">
        <v>8.0110416412353498</v>
      </c>
      <c r="Z641" s="283">
        <f>Y641+($AI$471-$Y$641)/10</f>
        <v>8.0591226890564176</v>
      </c>
    </row>
    <row r="642" spans="1:26" x14ac:dyDescent="0.25">
      <c r="A642" s="276" t="s">
        <v>479</v>
      </c>
      <c r="B642" s="253">
        <v>23.353584289550799</v>
      </c>
      <c r="C642" s="253">
        <v>23.2374382019043</v>
      </c>
      <c r="D642" s="253">
        <v>23.0424194335938</v>
      </c>
      <c r="E642" s="253">
        <v>22.939121246337901</v>
      </c>
      <c r="F642" s="253">
        <v>21.907506942748999</v>
      </c>
      <c r="G642" s="253">
        <v>20.807579040527301</v>
      </c>
      <c r="H642" s="253">
        <v>20.2319431304932</v>
      </c>
      <c r="I642" s="253">
        <v>20.2009677886963</v>
      </c>
      <c r="J642" s="253">
        <v>20.132976531982401</v>
      </c>
      <c r="K642" s="253">
        <v>20.128959655761701</v>
      </c>
      <c r="L642" s="253">
        <v>20.445728302001999</v>
      </c>
      <c r="M642" s="253">
        <v>20.757715225219702</v>
      </c>
      <c r="N642" s="253">
        <v>21.231256484985401</v>
      </c>
      <c r="O642" s="253">
        <v>21.404373168945298</v>
      </c>
      <c r="P642" s="253">
        <v>21.571121215820298</v>
      </c>
      <c r="Q642" s="253">
        <v>21.578863143920898</v>
      </c>
      <c r="R642" s="253">
        <v>21.739751815795898</v>
      </c>
      <c r="S642" s="253">
        <v>21.989313125610401</v>
      </c>
      <c r="T642" s="253">
        <v>22.322486877441399</v>
      </c>
      <c r="U642" s="253">
        <v>22.5522785186768</v>
      </c>
      <c r="V642" s="253">
        <v>22.5369548797607</v>
      </c>
      <c r="W642" s="253">
        <v>22.469936370849599</v>
      </c>
      <c r="X642" s="253">
        <v>22.555665969848601</v>
      </c>
      <c r="Y642" s="253">
        <v>22.682601928710898</v>
      </c>
      <c r="Z642" s="285">
        <f>Y642+($AI$472-$Y$642)/10</f>
        <v>22.586698480675594</v>
      </c>
    </row>
    <row r="643" spans="1:26" x14ac:dyDescent="0.25">
      <c r="A643" s="249" t="s">
        <v>440</v>
      </c>
      <c r="B643" s="253" t="s">
        <v>440</v>
      </c>
      <c r="C643" s="253" t="s">
        <v>440</v>
      </c>
      <c r="D643" s="253" t="s">
        <v>440</v>
      </c>
      <c r="E643" s="253" t="s">
        <v>440</v>
      </c>
      <c r="F643" s="253" t="s">
        <v>440</v>
      </c>
      <c r="G643" s="253" t="s">
        <v>440</v>
      </c>
      <c r="H643" s="253" t="s">
        <v>440</v>
      </c>
      <c r="I643" s="253" t="s">
        <v>440</v>
      </c>
      <c r="J643" s="253" t="s">
        <v>440</v>
      </c>
      <c r="K643" s="253" t="s">
        <v>440</v>
      </c>
      <c r="L643" s="253" t="s">
        <v>440</v>
      </c>
      <c r="M643" s="253" t="s">
        <v>440</v>
      </c>
      <c r="N643" s="253" t="s">
        <v>440</v>
      </c>
      <c r="O643" s="253" t="s">
        <v>440</v>
      </c>
      <c r="P643" s="253" t="s">
        <v>440</v>
      </c>
      <c r="Q643" s="253" t="s">
        <v>440</v>
      </c>
      <c r="R643" s="253" t="s">
        <v>440</v>
      </c>
      <c r="S643" s="253" t="s">
        <v>440</v>
      </c>
      <c r="T643" s="253" t="s">
        <v>440</v>
      </c>
      <c r="U643" s="253" t="s">
        <v>440</v>
      </c>
      <c r="V643" s="253" t="s">
        <v>440</v>
      </c>
      <c r="W643" s="253" t="s">
        <v>440</v>
      </c>
      <c r="X643" s="253" t="s">
        <v>440</v>
      </c>
      <c r="Y643" s="253" t="s">
        <v>440</v>
      </c>
    </row>
    <row r="644" spans="1:26" x14ac:dyDescent="0.25">
      <c r="A644" s="249" t="s">
        <v>482</v>
      </c>
      <c r="B644" s="253">
        <v>6.3922061920165998</v>
      </c>
      <c r="C644" s="253">
        <v>7.7839651107788104</v>
      </c>
      <c r="D644" s="253">
        <v>8.7313165664672905</v>
      </c>
      <c r="E644" s="253">
        <v>8.5384979248046893</v>
      </c>
      <c r="F644" s="253">
        <v>8.1135501861572301</v>
      </c>
      <c r="G644" s="253">
        <v>7.8849329948425302</v>
      </c>
      <c r="H644" s="253">
        <v>7.7104330062866202</v>
      </c>
      <c r="I644" s="253">
        <v>7.6478543281555202</v>
      </c>
      <c r="J644" s="253">
        <v>7.5814275741577104</v>
      </c>
      <c r="K644" s="253">
        <v>7.5381202697753897</v>
      </c>
      <c r="L644" s="253">
        <v>7.5780467987060502</v>
      </c>
      <c r="M644" s="253">
        <v>7.6416735649108896</v>
      </c>
      <c r="N644" s="253">
        <v>7.7132387161254901</v>
      </c>
      <c r="O644" s="253">
        <v>7.8013410568237296</v>
      </c>
      <c r="P644" s="253">
        <v>7.8755207061767596</v>
      </c>
      <c r="Q644" s="253">
        <v>7.9062352180481001</v>
      </c>
      <c r="R644" s="253">
        <v>7.9948873519897496</v>
      </c>
      <c r="S644" s="253">
        <v>8.1163215637206996</v>
      </c>
      <c r="T644" s="253">
        <v>8.2487821578979492</v>
      </c>
      <c r="U644" s="253">
        <v>8.4059162139892596</v>
      </c>
      <c r="V644" s="253">
        <v>8.4608268737793004</v>
      </c>
      <c r="W644" s="253">
        <v>8.5343141555786097</v>
      </c>
      <c r="X644" s="253">
        <v>8.6114902496337908</v>
      </c>
      <c r="Y644" s="253">
        <v>8.7719221115112305</v>
      </c>
    </row>
    <row r="645" spans="1:26" x14ac:dyDescent="0.25">
      <c r="A645" s="249" t="s">
        <v>483</v>
      </c>
      <c r="B645" s="253">
        <v>4.9298634529113796</v>
      </c>
      <c r="C645" s="253">
        <v>6.4939708709716797</v>
      </c>
      <c r="D645" s="253">
        <v>7.4592781066894496</v>
      </c>
      <c r="E645" s="253">
        <v>7.2447438240051296</v>
      </c>
      <c r="F645" s="253">
        <v>6.84521436691284</v>
      </c>
      <c r="G645" s="253">
        <v>6.6732459068298304</v>
      </c>
      <c r="H645" s="253">
        <v>6.51676225662231</v>
      </c>
      <c r="I645" s="253">
        <v>6.4484291076660201</v>
      </c>
      <c r="J645" s="253">
        <v>6.3966798782348597</v>
      </c>
      <c r="K645" s="253">
        <v>6.3644347190856898</v>
      </c>
      <c r="L645" s="253">
        <v>6.3782010078430202</v>
      </c>
      <c r="M645" s="253">
        <v>6.3993859291076696</v>
      </c>
      <c r="N645" s="253">
        <v>6.4120607376098597</v>
      </c>
      <c r="O645" s="253">
        <v>6.4825568199157697</v>
      </c>
      <c r="P645" s="253">
        <v>6.5450062751770002</v>
      </c>
      <c r="Q645" s="253">
        <v>6.5706739425659197</v>
      </c>
      <c r="R645" s="253">
        <v>6.6389350891113299</v>
      </c>
      <c r="S645" s="253">
        <v>6.7355680465698198</v>
      </c>
      <c r="T645" s="253">
        <v>6.8303794860839799</v>
      </c>
      <c r="U645" s="253">
        <v>6.9826822280883798</v>
      </c>
      <c r="V645" s="253">
        <v>7.0502834320068404</v>
      </c>
      <c r="W645" s="253">
        <v>7.1402068138122603</v>
      </c>
      <c r="X645" s="253">
        <v>7.2155933380126998</v>
      </c>
      <c r="Y645" s="253">
        <v>7.3827753067016602</v>
      </c>
    </row>
    <row r="646" spans="1:26" x14ac:dyDescent="0.25">
      <c r="A646" s="249" t="s">
        <v>475</v>
      </c>
      <c r="B646" s="253">
        <v>6.5291514396667498</v>
      </c>
      <c r="C646" s="253">
        <v>8.2850980758666992</v>
      </c>
      <c r="D646" s="253">
        <v>9.8001213073730504</v>
      </c>
      <c r="E646" s="253">
        <v>9.3321943283081108</v>
      </c>
      <c r="F646" s="253">
        <v>9.0226831436157209</v>
      </c>
      <c r="G646" s="253">
        <v>9.0089912414550799</v>
      </c>
      <c r="H646" s="253">
        <v>8.9738616943359393</v>
      </c>
      <c r="I646" s="253">
        <v>8.8902368545532209</v>
      </c>
      <c r="J646" s="253">
        <v>8.9552536010742205</v>
      </c>
      <c r="K646" s="253">
        <v>8.9079008102416992</v>
      </c>
      <c r="L646" s="253">
        <v>8.89520359039307</v>
      </c>
      <c r="M646" s="253">
        <v>8.8468990325927699</v>
      </c>
      <c r="N646" s="253">
        <v>8.7482786178588903</v>
      </c>
      <c r="O646" s="253">
        <v>8.7885036468505895</v>
      </c>
      <c r="P646" s="253">
        <v>8.8624305725097692</v>
      </c>
      <c r="Q646" s="253">
        <v>8.9473028182983398</v>
      </c>
      <c r="R646" s="253">
        <v>9.0262336730956996</v>
      </c>
      <c r="S646" s="253">
        <v>9.1055555343627894</v>
      </c>
      <c r="T646" s="253">
        <v>9.0882310867309606</v>
      </c>
      <c r="U646" s="253">
        <v>9.3312444686889595</v>
      </c>
      <c r="V646" s="253">
        <v>9.4788913726806605</v>
      </c>
      <c r="W646" s="253">
        <v>9.6528720855712908</v>
      </c>
      <c r="X646" s="253">
        <v>9.7811794281005895</v>
      </c>
      <c r="Y646" s="253">
        <v>10.0579071044922</v>
      </c>
    </row>
    <row r="647" spans="1:26" x14ac:dyDescent="0.25">
      <c r="A647" s="249" t="s">
        <v>476</v>
      </c>
      <c r="B647" s="253">
        <v>6.3323707580566397</v>
      </c>
      <c r="C647" s="253">
        <v>7.2384452819824201</v>
      </c>
      <c r="D647" s="253">
        <v>7.96527099609375</v>
      </c>
      <c r="E647" s="253">
        <v>7.6527161598205602</v>
      </c>
      <c r="F647" s="253">
        <v>7.9603652954101598</v>
      </c>
      <c r="G647" s="253">
        <v>8.0741472244262695</v>
      </c>
      <c r="H647" s="253">
        <v>8.2605934143066406</v>
      </c>
      <c r="I647" s="253">
        <v>8.3100318908691406</v>
      </c>
      <c r="J647" s="253">
        <v>8.4493141174316406</v>
      </c>
      <c r="K647" s="253">
        <v>8.8189620971679705</v>
      </c>
      <c r="L647" s="253">
        <v>8.8862495422363299</v>
      </c>
      <c r="M647" s="253">
        <v>8.8418188095092791</v>
      </c>
      <c r="N647" s="253">
        <v>8.8337812423706108</v>
      </c>
      <c r="O647" s="253">
        <v>8.6748180389404297</v>
      </c>
      <c r="P647" s="253">
        <v>8.5509977340698207</v>
      </c>
      <c r="Q647" s="253">
        <v>8.4207677841186506</v>
      </c>
      <c r="R647" s="253">
        <v>8.4376201629638707</v>
      </c>
      <c r="S647" s="253">
        <v>8.4841489791870099</v>
      </c>
      <c r="T647" s="253">
        <v>8.5509052276611293</v>
      </c>
      <c r="U647" s="253">
        <v>8.6700105667114293</v>
      </c>
      <c r="V647" s="253">
        <v>8.74859523773193</v>
      </c>
      <c r="W647" s="253">
        <v>8.8432664871215803</v>
      </c>
      <c r="X647" s="253">
        <v>9.0058250427246094</v>
      </c>
      <c r="Y647" s="253">
        <v>9.3929624557495099</v>
      </c>
    </row>
    <row r="648" spans="1:26" x14ac:dyDescent="0.25">
      <c r="A648" s="249" t="s">
        <v>477</v>
      </c>
      <c r="B648" s="253">
        <v>8.4833917617797905</v>
      </c>
      <c r="C648" s="253">
        <v>12.566796302795399</v>
      </c>
      <c r="D648" s="253">
        <v>15.1471004486084</v>
      </c>
      <c r="E648" s="253">
        <v>13.237501144409199</v>
      </c>
      <c r="F648" s="253">
        <v>12.375891685485801</v>
      </c>
      <c r="G648" s="253">
        <v>12.379506111145</v>
      </c>
      <c r="H648" s="253">
        <v>12.2225999832153</v>
      </c>
      <c r="I648" s="253">
        <v>12.080751419067401</v>
      </c>
      <c r="J648" s="253">
        <v>12.212836265564</v>
      </c>
      <c r="K648" s="253">
        <v>12.0270395278931</v>
      </c>
      <c r="L648" s="253">
        <v>11.9549217224121</v>
      </c>
      <c r="M648" s="253">
        <v>11.879666328430201</v>
      </c>
      <c r="N648" s="253">
        <v>11.6303720474243</v>
      </c>
      <c r="O648" s="253">
        <v>11.7905416488647</v>
      </c>
      <c r="P648" s="253">
        <v>11.941043853759799</v>
      </c>
      <c r="Q648" s="253">
        <v>12.1426992416382</v>
      </c>
      <c r="R648" s="253">
        <v>12.289721488952599</v>
      </c>
      <c r="S648" s="253">
        <v>12.378883361816399</v>
      </c>
      <c r="T648" s="253">
        <v>12.2595558166504</v>
      </c>
      <c r="U648" s="253">
        <v>12.590350151061999</v>
      </c>
      <c r="V648" s="253">
        <v>12.7815389633179</v>
      </c>
      <c r="W648" s="253">
        <v>12.973883628845201</v>
      </c>
      <c r="X648" s="253">
        <v>13.0949363708496</v>
      </c>
      <c r="Y648" s="253">
        <v>13.367587089538601</v>
      </c>
    </row>
    <row r="649" spans="1:26" x14ac:dyDescent="0.25">
      <c r="A649" s="249" t="s">
        <v>481</v>
      </c>
      <c r="B649" s="253">
        <v>3.9384419918060298</v>
      </c>
      <c r="C649" s="253">
        <v>4.5867881774902299</v>
      </c>
      <c r="D649" s="253">
        <v>4.6800308227539098</v>
      </c>
      <c r="E649" s="253">
        <v>4.9388952255248997</v>
      </c>
      <c r="F649" s="253">
        <v>5.2859730720520002</v>
      </c>
      <c r="G649" s="253">
        <v>5.2723593711853001</v>
      </c>
      <c r="H649" s="253">
        <v>5.2104086875915501</v>
      </c>
      <c r="I649" s="253">
        <v>5.1732821464538601</v>
      </c>
      <c r="J649" s="253">
        <v>5.1717634201049796</v>
      </c>
      <c r="K649" s="253">
        <v>5.17871141433716</v>
      </c>
      <c r="L649" s="253">
        <v>5.1878075599670401</v>
      </c>
      <c r="M649" s="253">
        <v>5.1966009140014604</v>
      </c>
      <c r="N649" s="253">
        <v>5.2060360908508301</v>
      </c>
      <c r="O649" s="253">
        <v>5.2088470458984402</v>
      </c>
      <c r="P649" s="253">
        <v>5.2896075248718297</v>
      </c>
      <c r="Q649" s="253">
        <v>5.3583388328552202</v>
      </c>
      <c r="R649" s="253">
        <v>5.44156694412231</v>
      </c>
      <c r="S649" s="253">
        <v>5.5192761421203604</v>
      </c>
      <c r="T649" s="253">
        <v>5.5953726768493697</v>
      </c>
      <c r="U649" s="253">
        <v>5.6724872589111301</v>
      </c>
      <c r="V649" s="253">
        <v>5.7441039085388201</v>
      </c>
      <c r="W649" s="253">
        <v>5.8200716972351101</v>
      </c>
      <c r="X649" s="253">
        <v>5.9009070396423304</v>
      </c>
      <c r="Y649" s="253">
        <v>5.9898118972778303</v>
      </c>
    </row>
    <row r="650" spans="1:26" x14ac:dyDescent="0.25">
      <c r="A650" s="274" t="s">
        <v>484</v>
      </c>
      <c r="B650" s="253">
        <v>3.88655662536621</v>
      </c>
      <c r="C650" s="253">
        <v>5.55936574935913</v>
      </c>
      <c r="D650" s="253">
        <v>6.0491261482238796</v>
      </c>
      <c r="E650" s="253">
        <v>6.0771641731262198</v>
      </c>
      <c r="F650" s="253">
        <v>5.4298515319824201</v>
      </c>
      <c r="G650" s="253">
        <v>5.0030980110168501</v>
      </c>
      <c r="H650" s="253">
        <v>4.6280007362365696</v>
      </c>
      <c r="I650" s="253">
        <v>4.5291852951049796</v>
      </c>
      <c r="J650" s="253">
        <v>4.41147708892822</v>
      </c>
      <c r="K650" s="253">
        <v>4.4342226982116699</v>
      </c>
      <c r="L650" s="253">
        <v>4.4864263534545898</v>
      </c>
      <c r="M650" s="253">
        <v>4.5912823677062997</v>
      </c>
      <c r="N650" s="253">
        <v>4.7218933105468803</v>
      </c>
      <c r="O650" s="253">
        <v>4.8130536079406703</v>
      </c>
      <c r="P650" s="253">
        <v>4.8621869087219203</v>
      </c>
      <c r="Q650" s="253">
        <v>4.81842041015625</v>
      </c>
      <c r="R650" s="253">
        <v>4.8841061592102104</v>
      </c>
      <c r="S650" s="253">
        <v>5.0232949256896999</v>
      </c>
      <c r="T650" s="253">
        <v>5.2583932876586896</v>
      </c>
      <c r="U650" s="253">
        <v>5.3567323684692401</v>
      </c>
      <c r="V650" s="253">
        <v>5.3575921058654803</v>
      </c>
      <c r="W650" s="253">
        <v>5.37701320648193</v>
      </c>
      <c r="X650" s="253">
        <v>5.4306664466857901</v>
      </c>
      <c r="Y650" s="253">
        <v>5.5327925682067898</v>
      </c>
      <c r="Z650" s="283">
        <f>Y650+($AI$480-$Y$650)/10</f>
        <v>5.5600694801614594</v>
      </c>
    </row>
    <row r="651" spans="1:26" x14ac:dyDescent="0.25">
      <c r="A651" s="249" t="s">
        <v>485</v>
      </c>
      <c r="B651" s="253">
        <v>1.88388228416443</v>
      </c>
      <c r="C651" s="253">
        <v>1.8499996662139899</v>
      </c>
      <c r="D651" s="253">
        <v>1.9633457660675</v>
      </c>
      <c r="E651" s="253">
        <v>1.8999761343002299</v>
      </c>
      <c r="F651" s="253">
        <v>1.88347840309143</v>
      </c>
      <c r="G651" s="253">
        <v>1.8588999509811399</v>
      </c>
      <c r="H651" s="253">
        <v>1.8578026294708301</v>
      </c>
      <c r="I651" s="253">
        <v>1.85227739810944</v>
      </c>
      <c r="J651" s="253">
        <v>1.8239538669586199</v>
      </c>
      <c r="K651" s="253">
        <v>1.79700314998627</v>
      </c>
      <c r="L651" s="253">
        <v>1.78184306621552</v>
      </c>
      <c r="M651" s="253">
        <v>1.7756989002227801</v>
      </c>
      <c r="N651" s="253">
        <v>1.77074086666107</v>
      </c>
      <c r="O651" s="253">
        <v>1.7668309211730999</v>
      </c>
      <c r="P651" s="253">
        <v>1.7627635002136199</v>
      </c>
      <c r="Q651" s="253">
        <v>1.7565006017684901</v>
      </c>
      <c r="R651" s="253">
        <v>1.75614774227142</v>
      </c>
      <c r="S651" s="253">
        <v>1.7571268081664999</v>
      </c>
      <c r="T651" s="253">
        <v>1.75483202934265</v>
      </c>
      <c r="U651" s="253">
        <v>1.7449706792831401</v>
      </c>
      <c r="V651" s="253">
        <v>1.72660219669342</v>
      </c>
      <c r="W651" s="253">
        <v>1.70969367027283</v>
      </c>
      <c r="X651" s="253">
        <v>1.70006084442139</v>
      </c>
      <c r="Y651" s="253">
        <v>1.6866580247878999</v>
      </c>
    </row>
    <row r="652" spans="1:26" x14ac:dyDescent="0.25">
      <c r="A652" s="249" t="s">
        <v>486</v>
      </c>
      <c r="B652" s="253">
        <v>1.5976041555404701</v>
      </c>
      <c r="C652" s="253">
        <v>1.5543407201767001</v>
      </c>
      <c r="D652" s="253">
        <v>1.5670678615570099</v>
      </c>
      <c r="E652" s="253">
        <v>1.6038056612014799</v>
      </c>
      <c r="F652" s="253">
        <v>1.6009258031845099</v>
      </c>
      <c r="G652" s="253">
        <v>1.58739173412323</v>
      </c>
      <c r="H652" s="253">
        <v>1.58863317966461</v>
      </c>
      <c r="I652" s="253">
        <v>1.5846539735794101</v>
      </c>
      <c r="J652" s="253">
        <v>1.5799860954284699</v>
      </c>
      <c r="K652" s="253">
        <v>1.5764416456222501</v>
      </c>
      <c r="L652" s="253">
        <v>1.5679914951324501</v>
      </c>
      <c r="M652" s="253">
        <v>1.5610833168029801</v>
      </c>
      <c r="N652" s="253">
        <v>1.5600349903106701</v>
      </c>
      <c r="O652" s="253">
        <v>1.56054711341858</v>
      </c>
      <c r="P652" s="253">
        <v>1.56748187541962</v>
      </c>
      <c r="Q652" s="253">
        <v>1.5675091743469201</v>
      </c>
      <c r="R652" s="253">
        <v>1.5641727447509799</v>
      </c>
      <c r="S652" s="253">
        <v>1.5615659952163701</v>
      </c>
      <c r="T652" s="253">
        <v>1.58828938007355</v>
      </c>
      <c r="U652" s="253">
        <v>1.58737933635712</v>
      </c>
      <c r="V652" s="253">
        <v>1.59387278556824</v>
      </c>
      <c r="W652" s="253">
        <v>1.5848928689956701</v>
      </c>
      <c r="X652" s="253">
        <v>1.5860744714736901</v>
      </c>
      <c r="Y652" s="253">
        <v>1.5880702733993499</v>
      </c>
    </row>
    <row r="653" spans="1:26" x14ac:dyDescent="0.25">
      <c r="A653" s="276" t="s">
        <v>479</v>
      </c>
      <c r="B653" s="253">
        <v>14.734835624694799</v>
      </c>
      <c r="C653" s="253">
        <v>15.0261535644531</v>
      </c>
      <c r="D653" s="253">
        <v>15.722662925720201</v>
      </c>
      <c r="E653" s="253">
        <v>15.5983018875122</v>
      </c>
      <c r="F653" s="253">
        <v>15.078427314758301</v>
      </c>
      <c r="G653" s="253">
        <v>14.4692840576172</v>
      </c>
      <c r="H653" s="253">
        <v>14.1632738113403</v>
      </c>
      <c r="I653" s="253">
        <v>14.081834793090801</v>
      </c>
      <c r="J653" s="253">
        <v>13.919806480407701</v>
      </c>
      <c r="K653" s="253">
        <v>13.785112380981399</v>
      </c>
      <c r="L653" s="253">
        <v>13.931169509887701</v>
      </c>
      <c r="M653" s="253">
        <v>14.1889085769653</v>
      </c>
      <c r="N653" s="253">
        <v>14.5255270004272</v>
      </c>
      <c r="O653" s="253">
        <v>14.681715965271</v>
      </c>
      <c r="P653" s="253">
        <v>14.814373970031699</v>
      </c>
      <c r="Q653" s="253">
        <v>14.8553409576416</v>
      </c>
      <c r="R653" s="253">
        <v>15.0255784988403</v>
      </c>
      <c r="S653" s="253">
        <v>15.2628774642944</v>
      </c>
      <c r="T653" s="253">
        <v>15.5799751281738</v>
      </c>
      <c r="U653" s="253">
        <v>15.7510900497437</v>
      </c>
      <c r="V653" s="253">
        <v>15.7371273040771</v>
      </c>
      <c r="W653" s="253">
        <v>15.705772399902299</v>
      </c>
      <c r="X653" s="253">
        <v>15.779216766357401</v>
      </c>
      <c r="Y653" s="253">
        <v>15.8933115005493</v>
      </c>
      <c r="Z653" s="285">
        <f>Y653+($AI$483-$Y$653)/10</f>
        <v>15.820176294068443</v>
      </c>
    </row>
    <row r="654" spans="1:26" x14ac:dyDescent="0.25">
      <c r="A654" s="249" t="s">
        <v>440</v>
      </c>
      <c r="B654" s="253" t="s">
        <v>440</v>
      </c>
      <c r="C654" s="253" t="s">
        <v>440</v>
      </c>
      <c r="D654" s="253" t="s">
        <v>440</v>
      </c>
      <c r="E654" s="253" t="s">
        <v>440</v>
      </c>
      <c r="F654" s="253" t="s">
        <v>440</v>
      </c>
      <c r="G654" s="253" t="s">
        <v>440</v>
      </c>
      <c r="H654" s="253" t="s">
        <v>440</v>
      </c>
      <c r="I654" s="253" t="s">
        <v>440</v>
      </c>
      <c r="J654" s="253" t="s">
        <v>440</v>
      </c>
      <c r="K654" s="253" t="s">
        <v>440</v>
      </c>
      <c r="L654" s="253" t="s">
        <v>440</v>
      </c>
      <c r="M654" s="253" t="s">
        <v>440</v>
      </c>
      <c r="N654" s="253" t="s">
        <v>440</v>
      </c>
      <c r="O654" s="253" t="s">
        <v>440</v>
      </c>
      <c r="P654" s="253" t="s">
        <v>440</v>
      </c>
      <c r="Q654" s="253" t="s">
        <v>440</v>
      </c>
      <c r="R654" s="253" t="s">
        <v>440</v>
      </c>
      <c r="S654" s="253" t="s">
        <v>440</v>
      </c>
      <c r="T654" s="253" t="s">
        <v>440</v>
      </c>
      <c r="U654" s="253" t="s">
        <v>440</v>
      </c>
      <c r="V654" s="253" t="s">
        <v>440</v>
      </c>
      <c r="W654" s="253" t="s">
        <v>440</v>
      </c>
      <c r="X654" s="253" t="s">
        <v>440</v>
      </c>
      <c r="Y654" s="253" t="s">
        <v>440</v>
      </c>
    </row>
    <row r="655" spans="1:26" x14ac:dyDescent="0.25">
      <c r="A655" s="249" t="s">
        <v>487</v>
      </c>
      <c r="B655" s="253">
        <v>10.068477630615201</v>
      </c>
      <c r="C655" s="253">
        <v>11.4567165374756</v>
      </c>
      <c r="D655" s="253">
        <v>12.984992980956999</v>
      </c>
      <c r="E655" s="253">
        <v>12.648449897766101</v>
      </c>
      <c r="F655" s="253">
        <v>12.9899549484253</v>
      </c>
      <c r="G655" s="253">
        <v>12.831539154052701</v>
      </c>
      <c r="H655" s="253">
        <v>12.772025108337401</v>
      </c>
      <c r="I655" s="253">
        <v>12.778377532959</v>
      </c>
      <c r="J655" s="253">
        <v>12.6527404785156</v>
      </c>
      <c r="K655" s="253">
        <v>12.633409500122101</v>
      </c>
      <c r="L655" s="253">
        <v>12.627567291259799</v>
      </c>
      <c r="M655" s="253">
        <v>12.5634212493896</v>
      </c>
      <c r="N655" s="253">
        <v>12.5677394866943</v>
      </c>
      <c r="O655" s="253">
        <v>12.4416351318359</v>
      </c>
      <c r="P655" s="253">
        <v>12.463407516479499</v>
      </c>
      <c r="Q655" s="253">
        <v>12.3592376708984</v>
      </c>
      <c r="R655" s="253">
        <v>12.3700494766235</v>
      </c>
      <c r="S655" s="253">
        <v>12.4214639663696</v>
      </c>
      <c r="T655" s="253">
        <v>12.406385421752899</v>
      </c>
      <c r="U655" s="253">
        <v>12.599157333374</v>
      </c>
      <c r="V655" s="253">
        <v>12.7199811935425</v>
      </c>
      <c r="W655" s="253">
        <v>12.8404388427734</v>
      </c>
      <c r="X655" s="253">
        <v>12.9761352539063</v>
      </c>
      <c r="Y655" s="253">
        <v>13.180356025695801</v>
      </c>
    </row>
    <row r="656" spans="1:26" x14ac:dyDescent="0.25">
      <c r="A656" s="249" t="s">
        <v>483</v>
      </c>
      <c r="B656" s="253">
        <v>10.0396184921265</v>
      </c>
      <c r="C656" s="253">
        <v>11.4297380447388</v>
      </c>
      <c r="D656" s="253">
        <v>12.961000442504901</v>
      </c>
      <c r="E656" s="253">
        <v>12.6243276596069</v>
      </c>
      <c r="F656" s="253">
        <v>12.9694175720215</v>
      </c>
      <c r="G656" s="253">
        <v>12.812975883483899</v>
      </c>
      <c r="H656" s="253">
        <v>12.7542219161987</v>
      </c>
      <c r="I656" s="253">
        <v>12.7604532241821</v>
      </c>
      <c r="J656" s="253">
        <v>12.634376525878899</v>
      </c>
      <c r="K656" s="253">
        <v>12.614933013916</v>
      </c>
      <c r="L656" s="253">
        <v>12.6084880828857</v>
      </c>
      <c r="M656" s="253">
        <v>12.543541908264199</v>
      </c>
      <c r="N656" s="253">
        <v>12.546923637390099</v>
      </c>
      <c r="O656" s="253">
        <v>12.4202537536621</v>
      </c>
      <c r="P656" s="253">
        <v>12.441800117492701</v>
      </c>
      <c r="Q656" s="253">
        <v>12.3374538421631</v>
      </c>
      <c r="R656" s="253">
        <v>12.3479681015015</v>
      </c>
      <c r="S656" s="253">
        <v>12.3989114761353</v>
      </c>
      <c r="T656" s="253">
        <v>12.3829250335693</v>
      </c>
      <c r="U656" s="253">
        <v>12.575768470764199</v>
      </c>
      <c r="V656" s="253">
        <v>12.6970834732056</v>
      </c>
      <c r="W656" s="253">
        <v>12.8181715011597</v>
      </c>
      <c r="X656" s="253">
        <v>12.9540061950684</v>
      </c>
      <c r="Y656" s="253">
        <v>13.1585645675659</v>
      </c>
    </row>
    <row r="657" spans="1:26" x14ac:dyDescent="0.25">
      <c r="A657" s="249" t="s">
        <v>475</v>
      </c>
      <c r="B657" s="253">
        <v>10.0409812927246</v>
      </c>
      <c r="C657" s="253">
        <v>11.431476593017599</v>
      </c>
      <c r="D657" s="253">
        <v>12.9638833999634</v>
      </c>
      <c r="E657" s="253">
        <v>12.6272735595703</v>
      </c>
      <c r="F657" s="253">
        <v>12.9738121032715</v>
      </c>
      <c r="G657" s="253">
        <v>12.8180704116821</v>
      </c>
      <c r="H657" s="253">
        <v>12.7602338790894</v>
      </c>
      <c r="I657" s="253">
        <v>12.7672443389893</v>
      </c>
      <c r="J657" s="253">
        <v>12.6416578292847</v>
      </c>
      <c r="K657" s="253">
        <v>12.622591972351101</v>
      </c>
      <c r="L657" s="253">
        <v>12.616462707519499</v>
      </c>
      <c r="M657" s="253">
        <v>12.551496505737299</v>
      </c>
      <c r="N657" s="253">
        <v>12.554883956909199</v>
      </c>
      <c r="O657" s="253">
        <v>12.4279336929321</v>
      </c>
      <c r="P657" s="253">
        <v>12.4496717453003</v>
      </c>
      <c r="Q657" s="253">
        <v>12.3454332351685</v>
      </c>
      <c r="R657" s="253">
        <v>12.356036186218301</v>
      </c>
      <c r="S657" s="253">
        <v>12.4068956375122</v>
      </c>
      <c r="T657" s="253">
        <v>12.3903903961182</v>
      </c>
      <c r="U657" s="253">
        <v>12.5835561752319</v>
      </c>
      <c r="V657" s="253">
        <v>12.7052898406982</v>
      </c>
      <c r="W657" s="253">
        <v>12.826750755310099</v>
      </c>
      <c r="X657" s="253">
        <v>12.9629173278809</v>
      </c>
      <c r="Y657" s="253">
        <v>13.167941093444799</v>
      </c>
    </row>
    <row r="658" spans="1:26" x14ac:dyDescent="0.25">
      <c r="A658" s="280" t="s">
        <v>488</v>
      </c>
      <c r="B658" s="253">
        <v>9.5535230636596697</v>
      </c>
      <c r="C658" s="253">
        <v>10.9202365875244</v>
      </c>
      <c r="D658" s="253">
        <v>12.0208587646484</v>
      </c>
      <c r="E658" s="253">
        <v>11.5461339950562</v>
      </c>
      <c r="F658" s="253">
        <v>12.0997161865234</v>
      </c>
      <c r="G658" s="253">
        <v>12.488727569580099</v>
      </c>
      <c r="H658" s="253">
        <v>12.3829002380371</v>
      </c>
      <c r="I658" s="253">
        <v>12.4196271896362</v>
      </c>
      <c r="J658" s="253">
        <v>12.508094787597701</v>
      </c>
      <c r="K658" s="253">
        <v>12.555921554565399</v>
      </c>
      <c r="L658" s="253">
        <v>12.5986595153809</v>
      </c>
      <c r="M658" s="253">
        <v>12.507498741149901</v>
      </c>
      <c r="N658" s="253">
        <v>12.460197448730501</v>
      </c>
      <c r="O658" s="253">
        <v>12.2335548400879</v>
      </c>
      <c r="P658" s="253">
        <v>12.028847694396999</v>
      </c>
      <c r="Q658" s="253">
        <v>11.832740783691399</v>
      </c>
      <c r="R658" s="253">
        <v>11.7916069030762</v>
      </c>
      <c r="S658" s="253">
        <v>11.803469657897899</v>
      </c>
      <c r="T658" s="253">
        <v>11.8377895355225</v>
      </c>
      <c r="U658" s="253">
        <v>11.9129686355591</v>
      </c>
      <c r="V658" s="253">
        <v>11.9319505691528</v>
      </c>
      <c r="W658" s="253">
        <v>11.983411788940399</v>
      </c>
      <c r="X658" s="253">
        <v>12.11021900177</v>
      </c>
      <c r="Y658" s="253">
        <v>12.4955101013184</v>
      </c>
      <c r="Z658" s="287">
        <f>Y658+($AI$488-$Y$658)/10</f>
        <v>12.860153747735882</v>
      </c>
    </row>
    <row r="659" spans="1:26" x14ac:dyDescent="0.25">
      <c r="A659" s="249" t="s">
        <v>489</v>
      </c>
      <c r="B659" s="253">
        <v>6.0538434982299796</v>
      </c>
      <c r="C659" s="253">
        <v>6.4578518867492702</v>
      </c>
      <c r="D659" s="253">
        <v>8.1168746948242205</v>
      </c>
      <c r="E659" s="253">
        <v>7.6875567436218297</v>
      </c>
      <c r="F659" s="253">
        <v>7.8739576339721697</v>
      </c>
      <c r="G659" s="253">
        <v>7.8265089988708496</v>
      </c>
      <c r="H659" s="253">
        <v>7.9840884208679199</v>
      </c>
      <c r="I659" s="253">
        <v>8.0166091918945295</v>
      </c>
      <c r="J659" s="253">
        <v>7.8608303070068404</v>
      </c>
      <c r="K659" s="253">
        <v>7.81276655197144</v>
      </c>
      <c r="L659" s="253">
        <v>7.8045797348022496</v>
      </c>
      <c r="M659" s="253">
        <v>7.7928524017334002</v>
      </c>
      <c r="N659" s="253">
        <v>7.7725591659545898</v>
      </c>
      <c r="O659" s="253">
        <v>7.7157216072082502</v>
      </c>
      <c r="P659" s="253">
        <v>7.7164225578308097</v>
      </c>
      <c r="Q659" s="253">
        <v>7.6991229057312003</v>
      </c>
      <c r="R659" s="253">
        <v>7.7546834945678702</v>
      </c>
      <c r="S659" s="253">
        <v>7.8412432670593297</v>
      </c>
      <c r="T659" s="253">
        <v>7.8916783332824698</v>
      </c>
      <c r="U659" s="253">
        <v>8.0530261993408203</v>
      </c>
      <c r="V659" s="253">
        <v>8.1459932327270508</v>
      </c>
      <c r="W659" s="253">
        <v>8.2922735214233398</v>
      </c>
      <c r="X659" s="253">
        <v>8.4199304580688494</v>
      </c>
      <c r="Y659" s="253">
        <v>8.7479171752929705</v>
      </c>
    </row>
    <row r="660" spans="1:26" x14ac:dyDescent="0.25">
      <c r="A660" s="280" t="s">
        <v>490</v>
      </c>
      <c r="B660" s="253">
        <v>11.3207235336304</v>
      </c>
      <c r="C660" s="253">
        <v>12.9284992218018</v>
      </c>
      <c r="D660" s="253">
        <v>14.6530704498291</v>
      </c>
      <c r="E660" s="253">
        <v>14.346966743469199</v>
      </c>
      <c r="F660" s="253">
        <v>14.7094535827637</v>
      </c>
      <c r="G660" s="253">
        <v>14.3600215911865</v>
      </c>
      <c r="H660" s="253">
        <v>14.2510118484497</v>
      </c>
      <c r="I660" s="253">
        <v>14.250683784484901</v>
      </c>
      <c r="J660" s="253">
        <v>14.0786781311035</v>
      </c>
      <c r="K660" s="253">
        <v>14.0637760162354</v>
      </c>
      <c r="L660" s="253">
        <v>14.0259552001953</v>
      </c>
      <c r="M660" s="253">
        <v>13.906542778015099</v>
      </c>
      <c r="N660" s="253">
        <v>13.9343166351318</v>
      </c>
      <c r="O660" s="253">
        <v>13.819755554199199</v>
      </c>
      <c r="P660" s="253">
        <v>13.920813560485801</v>
      </c>
      <c r="Q660" s="253">
        <v>13.821713447570801</v>
      </c>
      <c r="R660" s="253">
        <v>13.8340721130371</v>
      </c>
      <c r="S660" s="253">
        <v>13.8936500549316</v>
      </c>
      <c r="T660" s="253">
        <v>13.8356838226318</v>
      </c>
      <c r="U660" s="253">
        <v>14.0806474685669</v>
      </c>
      <c r="V660" s="253">
        <v>14.2383365631104</v>
      </c>
      <c r="W660" s="253">
        <v>14.3749399185181</v>
      </c>
      <c r="X660" s="253">
        <v>14.5092010498047</v>
      </c>
      <c r="Y660" s="253">
        <v>14.605681419372599</v>
      </c>
      <c r="Z660" s="287">
        <f>Y660+($AI$490-$Y$660)/10</f>
        <v>15.03173973157025</v>
      </c>
    </row>
    <row r="661" spans="1:26" x14ac:dyDescent="0.25">
      <c r="A661" s="249" t="s">
        <v>481</v>
      </c>
      <c r="B661" s="253">
        <v>3.83150410652161</v>
      </c>
      <c r="C661" s="253">
        <v>4.4939312934875497</v>
      </c>
      <c r="D661" s="253">
        <v>4.5839381217956499</v>
      </c>
      <c r="E661" s="253">
        <v>4.8374896049499503</v>
      </c>
      <c r="F661" s="253">
        <v>5.1729192733764604</v>
      </c>
      <c r="G661" s="253">
        <v>5.1682701110839799</v>
      </c>
      <c r="H661" s="253">
        <v>5.1688323020935103</v>
      </c>
      <c r="I661" s="253">
        <v>5.1695828437805202</v>
      </c>
      <c r="J661" s="253">
        <v>5.16760349273682</v>
      </c>
      <c r="K661" s="253">
        <v>5.1733479499816903</v>
      </c>
      <c r="L661" s="253">
        <v>5.1798586845397896</v>
      </c>
      <c r="M661" s="253">
        <v>5.1877336502075204</v>
      </c>
      <c r="N661" s="253">
        <v>5.1953010559081996</v>
      </c>
      <c r="O661" s="253">
        <v>5.2001247406005904</v>
      </c>
      <c r="P661" s="253">
        <v>5.2810626029968297</v>
      </c>
      <c r="Q661" s="253">
        <v>5.3552770614623997</v>
      </c>
      <c r="R661" s="253">
        <v>5.4362750053405797</v>
      </c>
      <c r="S661" s="253">
        <v>5.5152239799499503</v>
      </c>
      <c r="T661" s="253">
        <v>5.5921721458435103</v>
      </c>
      <c r="U661" s="253">
        <v>5.6705627441406303</v>
      </c>
      <c r="V661" s="253">
        <v>5.7475032806396502</v>
      </c>
      <c r="W661" s="253">
        <v>5.8269476890564</v>
      </c>
      <c r="X661" s="253">
        <v>5.9046044349670401</v>
      </c>
      <c r="Y661" s="253">
        <v>5.9824995994567898</v>
      </c>
    </row>
    <row r="662" spans="1:26" x14ac:dyDescent="0.25">
      <c r="A662" s="249" t="s">
        <v>491</v>
      </c>
      <c r="B662" s="253">
        <v>15.146578788757299</v>
      </c>
      <c r="C662" s="253">
        <v>16.654964447021499</v>
      </c>
      <c r="D662" s="253">
        <v>20.603065490722699</v>
      </c>
      <c r="E662" s="253">
        <v>20.419296264648398</v>
      </c>
      <c r="F662" s="253">
        <v>17.4092102050781</v>
      </c>
      <c r="G662" s="253">
        <v>17.409763336181602</v>
      </c>
      <c r="H662" s="253">
        <v>17.1964435577393</v>
      </c>
      <c r="I662" s="253">
        <v>17.156021118164102</v>
      </c>
      <c r="J662" s="253">
        <v>17.248268127441399</v>
      </c>
      <c r="K662" s="253">
        <v>17.105394363403299</v>
      </c>
      <c r="L662" s="253">
        <v>17.085474014282202</v>
      </c>
      <c r="M662" s="253">
        <v>16.997465133666999</v>
      </c>
      <c r="N662" s="253">
        <v>16.7497043609619</v>
      </c>
      <c r="O662" s="253">
        <v>16.830522537231399</v>
      </c>
      <c r="P662" s="253">
        <v>16.954969406127901</v>
      </c>
      <c r="Q662" s="253">
        <v>17.1650085449219</v>
      </c>
      <c r="R662" s="253">
        <v>17.2562961578369</v>
      </c>
      <c r="S662" s="253">
        <v>17.321376800537099</v>
      </c>
      <c r="T662" s="253">
        <v>17.262313842773398</v>
      </c>
      <c r="U662" s="253">
        <v>17.454835891723601</v>
      </c>
      <c r="V662" s="253">
        <v>17.584600448608398</v>
      </c>
      <c r="W662" s="253">
        <v>17.847267150878899</v>
      </c>
      <c r="X662" s="253">
        <v>17.9585571289063</v>
      </c>
      <c r="Y662" s="253">
        <v>18.1527404785156</v>
      </c>
    </row>
    <row r="663" spans="1:26" x14ac:dyDescent="0.25">
      <c r="A663" s="249" t="s">
        <v>492</v>
      </c>
      <c r="B663" s="253">
        <v>7.2317700386047399</v>
      </c>
      <c r="C663" s="253">
        <v>9.0444478988647496</v>
      </c>
      <c r="D663" s="253">
        <v>9.7142210006713903</v>
      </c>
      <c r="E663" s="253">
        <v>9.7955017089843803</v>
      </c>
      <c r="F663" s="253">
        <v>9.2987012863159197</v>
      </c>
      <c r="G663" s="253">
        <v>9.0087041854858398</v>
      </c>
      <c r="H663" s="253">
        <v>8.73461818695068</v>
      </c>
      <c r="I663" s="253">
        <v>8.6602125167846697</v>
      </c>
      <c r="J663" s="253">
        <v>8.6087532043456996</v>
      </c>
      <c r="K663" s="253">
        <v>8.6854057312011701</v>
      </c>
      <c r="L663" s="253">
        <v>8.7734069824218803</v>
      </c>
      <c r="M663" s="253">
        <v>8.9131555557250994</v>
      </c>
      <c r="N663" s="253">
        <v>9.0697097778320295</v>
      </c>
      <c r="O663" s="253">
        <v>9.1761322021484393</v>
      </c>
      <c r="P663" s="253">
        <v>9.2086582183837908</v>
      </c>
      <c r="Q663" s="253">
        <v>9.1414461135864293</v>
      </c>
      <c r="R663" s="253">
        <v>9.1881532669067401</v>
      </c>
      <c r="S663" s="253">
        <v>9.3183298110961896</v>
      </c>
      <c r="T663" s="253">
        <v>9.5262966156005895</v>
      </c>
      <c r="U663" s="253">
        <v>9.6340904235839808</v>
      </c>
      <c r="V663" s="253">
        <v>9.6386470794677699</v>
      </c>
      <c r="W663" s="253">
        <v>9.6553201675415004</v>
      </c>
      <c r="X663" s="253">
        <v>9.7052288055419904</v>
      </c>
      <c r="Y663" s="253">
        <v>9.7829256057739293</v>
      </c>
    </row>
    <row r="664" spans="1:26" x14ac:dyDescent="0.25">
      <c r="A664" s="282" t="s">
        <v>497</v>
      </c>
      <c r="B664" s="253">
        <v>14.6543264389038</v>
      </c>
      <c r="C664" s="253">
        <v>16.232709884643601</v>
      </c>
      <c r="D664" s="253">
        <v>19.6646022796631</v>
      </c>
      <c r="E664" s="253">
        <v>19.716905593872099</v>
      </c>
      <c r="F664" s="253">
        <v>20.910398483276399</v>
      </c>
      <c r="G664" s="253">
        <v>20.088336944580099</v>
      </c>
      <c r="H664" s="253">
        <v>20.034643173217798</v>
      </c>
      <c r="I664" s="253">
        <v>19.876234054565401</v>
      </c>
      <c r="J664" s="253">
        <v>19.0899848937988</v>
      </c>
      <c r="K664" s="253">
        <v>19.0770473480225</v>
      </c>
      <c r="L664" s="253">
        <v>18.9334907531738</v>
      </c>
      <c r="M664" s="253">
        <v>18.8203315734863</v>
      </c>
      <c r="N664" s="253">
        <v>18.8769016265869</v>
      </c>
      <c r="O664" s="253">
        <v>18.733657836914102</v>
      </c>
      <c r="P664" s="253">
        <v>18.836368560791001</v>
      </c>
      <c r="Q664" s="253">
        <v>18.717578887939499</v>
      </c>
      <c r="R664" s="253">
        <v>18.677961349487301</v>
      </c>
      <c r="S664" s="253">
        <v>18.768825531005898</v>
      </c>
      <c r="T664" s="253">
        <v>18.702945709228501</v>
      </c>
      <c r="U664" s="253">
        <v>19.039726257324201</v>
      </c>
      <c r="V664" s="253">
        <v>19.213029861450199</v>
      </c>
      <c r="W664" s="253">
        <v>19.429216384887699</v>
      </c>
      <c r="X664" s="253">
        <v>19.537574768066399</v>
      </c>
      <c r="Y664" s="253">
        <v>19.6945476531982</v>
      </c>
      <c r="Z664" s="289">
        <f>Y664+($AI$494-$Y$664)/10</f>
        <v>19.593947309306923</v>
      </c>
    </row>
    <row r="665" spans="1:26" x14ac:dyDescent="0.25">
      <c r="A665" s="249" t="s">
        <v>479</v>
      </c>
      <c r="B665" s="253">
        <v>20.034517288208001</v>
      </c>
      <c r="C665" s="253">
        <v>20.636144638061499</v>
      </c>
      <c r="D665" s="253">
        <v>21.2071418762207</v>
      </c>
      <c r="E665" s="253">
        <v>20.9249382019043</v>
      </c>
      <c r="F665" s="253">
        <v>20.016746520996101</v>
      </c>
      <c r="G665" s="253">
        <v>19.1842136383057</v>
      </c>
      <c r="H665" s="253">
        <v>18.876358032226602</v>
      </c>
      <c r="I665" s="253">
        <v>18.930015563964801</v>
      </c>
      <c r="J665" s="253">
        <v>18.9569396972656</v>
      </c>
      <c r="K665" s="253">
        <v>18.971715927123999</v>
      </c>
      <c r="L665" s="253">
        <v>19.161241531372099</v>
      </c>
      <c r="M665" s="253">
        <v>19.352525711059599</v>
      </c>
      <c r="N665" s="253">
        <v>19.6624240875244</v>
      </c>
      <c r="O665" s="253">
        <v>19.699916839599599</v>
      </c>
      <c r="P665" s="253">
        <v>19.754545211791999</v>
      </c>
      <c r="Q665" s="253">
        <v>19.6803493499756</v>
      </c>
      <c r="R665" s="253">
        <v>19.749149322509801</v>
      </c>
      <c r="S665" s="253">
        <v>19.913064956665</v>
      </c>
      <c r="T665" s="253">
        <v>20.148523330688501</v>
      </c>
      <c r="U665" s="253">
        <v>20.261070251464801</v>
      </c>
      <c r="V665" s="253">
        <v>20.168498992919901</v>
      </c>
      <c r="W665" s="253">
        <v>20.043989181518601</v>
      </c>
      <c r="X665" s="253">
        <v>20.096965789794901</v>
      </c>
      <c r="Y665" s="253">
        <v>20.154518127441399</v>
      </c>
    </row>
    <row r="666" spans="1:26" x14ac:dyDescent="0.25">
      <c r="A666" s="249" t="s">
        <v>440</v>
      </c>
      <c r="B666" s="253" t="s">
        <v>440</v>
      </c>
      <c r="C666" s="253" t="s">
        <v>440</v>
      </c>
      <c r="D666" s="253" t="s">
        <v>440</v>
      </c>
      <c r="E666" s="253" t="s">
        <v>440</v>
      </c>
      <c r="F666" s="253" t="s">
        <v>440</v>
      </c>
      <c r="G666" s="253" t="s">
        <v>440</v>
      </c>
      <c r="H666" s="253" t="s">
        <v>440</v>
      </c>
      <c r="I666" s="253" t="s">
        <v>440</v>
      </c>
      <c r="J666" s="253" t="s">
        <v>440</v>
      </c>
      <c r="K666" s="253" t="s">
        <v>440</v>
      </c>
      <c r="L666" s="253" t="s">
        <v>440</v>
      </c>
      <c r="M666" s="253" t="s">
        <v>440</v>
      </c>
      <c r="N666" s="253" t="s">
        <v>440</v>
      </c>
      <c r="O666" s="253" t="s">
        <v>440</v>
      </c>
      <c r="P666" s="253" t="s">
        <v>440</v>
      </c>
      <c r="Q666" s="253" t="s">
        <v>440</v>
      </c>
      <c r="R666" s="253" t="s">
        <v>440</v>
      </c>
      <c r="S666" s="253" t="s">
        <v>440</v>
      </c>
      <c r="T666" s="253" t="s">
        <v>440</v>
      </c>
      <c r="U666" s="253" t="s">
        <v>440</v>
      </c>
      <c r="V666" s="253" t="s">
        <v>440</v>
      </c>
      <c r="W666" s="253" t="s">
        <v>440</v>
      </c>
      <c r="X666" s="253" t="s">
        <v>440</v>
      </c>
      <c r="Y666" s="253" t="s">
        <v>440</v>
      </c>
    </row>
    <row r="667" spans="1:26" x14ac:dyDescent="0.25">
      <c r="A667" s="249" t="s">
        <v>498</v>
      </c>
      <c r="B667" s="253">
        <v>10.2607097625732</v>
      </c>
      <c r="C667" s="253">
        <v>11.4965677261353</v>
      </c>
      <c r="D667" s="253">
        <v>12.4990587234497</v>
      </c>
      <c r="E667" s="253">
        <v>12.3170623779297</v>
      </c>
      <c r="F667" s="253">
        <v>12.135007858276399</v>
      </c>
      <c r="G667" s="253">
        <v>11.845267295837401</v>
      </c>
      <c r="H667" s="253">
        <v>11.6573295593262</v>
      </c>
      <c r="I667" s="253">
        <v>11.6295518875122</v>
      </c>
      <c r="J667" s="253">
        <v>11.5503234863281</v>
      </c>
      <c r="K667" s="253">
        <v>11.540096282959</v>
      </c>
      <c r="L667" s="253">
        <v>11.6076335906982</v>
      </c>
      <c r="M667" s="253">
        <v>11.667243003845201</v>
      </c>
      <c r="N667" s="253">
        <v>11.774538040161101</v>
      </c>
      <c r="O667" s="253">
        <v>11.796236991882299</v>
      </c>
      <c r="P667" s="253">
        <v>11.871965408325201</v>
      </c>
      <c r="Q667" s="253">
        <v>11.843188285827599</v>
      </c>
      <c r="R667" s="253">
        <v>11.9137773513794</v>
      </c>
      <c r="S667" s="253">
        <v>12.034348487854</v>
      </c>
      <c r="T667" s="253">
        <v>12.153738975524901</v>
      </c>
      <c r="U667" s="253">
        <v>12.3460960388184</v>
      </c>
      <c r="V667" s="253">
        <v>12.4321403503418</v>
      </c>
      <c r="W667" s="253">
        <v>12.5191946029663</v>
      </c>
      <c r="X667" s="253">
        <v>12.636996269226101</v>
      </c>
      <c r="Y667" s="253">
        <v>12.8200740814209</v>
      </c>
    </row>
    <row r="668" spans="1:26" x14ac:dyDescent="0.25">
      <c r="A668" s="249" t="s">
        <v>483</v>
      </c>
      <c r="B668" s="253">
        <v>7.8488264083862296</v>
      </c>
      <c r="C668" s="253">
        <v>9.3171482086181605</v>
      </c>
      <c r="D668" s="253">
        <v>10.527009010314901</v>
      </c>
      <c r="E668" s="253">
        <v>10.2968044281006</v>
      </c>
      <c r="F668" s="253">
        <v>10.2268390655518</v>
      </c>
      <c r="G668" s="253">
        <v>10.0435380935669</v>
      </c>
      <c r="H668" s="253">
        <v>9.9028997421264595</v>
      </c>
      <c r="I668" s="253">
        <v>9.8629217147827095</v>
      </c>
      <c r="J668" s="253">
        <v>9.7728738784790004</v>
      </c>
      <c r="K668" s="253">
        <v>9.75823974609375</v>
      </c>
      <c r="L668" s="253">
        <v>9.7822933197021502</v>
      </c>
      <c r="M668" s="253">
        <v>9.7888011932372994</v>
      </c>
      <c r="N668" s="253">
        <v>9.8279809951782209</v>
      </c>
      <c r="O668" s="253">
        <v>9.8149814605712908</v>
      </c>
      <c r="P668" s="253">
        <v>9.8643417358398402</v>
      </c>
      <c r="Q668" s="253">
        <v>9.8190460205078107</v>
      </c>
      <c r="R668" s="253">
        <v>9.8615427017211896</v>
      </c>
      <c r="S668" s="253">
        <v>9.9469861984252894</v>
      </c>
      <c r="T668" s="253">
        <v>10.0096731185913</v>
      </c>
      <c r="U668" s="253">
        <v>10.190193176269499</v>
      </c>
      <c r="V668" s="253">
        <v>10.288735389709499</v>
      </c>
      <c r="W668" s="253">
        <v>10.396104812622101</v>
      </c>
      <c r="X668" s="253">
        <v>10.5091648101807</v>
      </c>
      <c r="Y668" s="253">
        <v>10.694952964782701</v>
      </c>
    </row>
    <row r="669" spans="1:26" x14ac:dyDescent="0.25">
      <c r="A669" s="249" t="s">
        <v>479</v>
      </c>
      <c r="B669" s="253">
        <v>21.599882125854499</v>
      </c>
      <c r="C669" s="253">
        <v>21.735733032226602</v>
      </c>
      <c r="D669" s="253">
        <v>21.731866836547901</v>
      </c>
      <c r="E669" s="253">
        <v>21.659553527831999</v>
      </c>
      <c r="F669" s="253">
        <v>20.918876647949201</v>
      </c>
      <c r="G669" s="253">
        <v>20.055833816528299</v>
      </c>
      <c r="H669" s="253">
        <v>19.596654891967798</v>
      </c>
      <c r="I669" s="253">
        <v>19.579929351806602</v>
      </c>
      <c r="J669" s="253">
        <v>19.517631530761701</v>
      </c>
      <c r="K669" s="253">
        <v>19.486770629882798</v>
      </c>
      <c r="L669" s="253">
        <v>19.702039718627901</v>
      </c>
      <c r="M669" s="253">
        <v>19.955158233642599</v>
      </c>
      <c r="N669" s="253">
        <v>20.317079544067401</v>
      </c>
      <c r="O669" s="253">
        <v>20.442613601684599</v>
      </c>
      <c r="P669" s="253">
        <v>20.578334808349599</v>
      </c>
      <c r="Q669" s="253">
        <v>20.580734252929702</v>
      </c>
      <c r="R669" s="253">
        <v>20.7274265289307</v>
      </c>
      <c r="S669" s="253">
        <v>20.953577041626001</v>
      </c>
      <c r="T669" s="253">
        <v>21.262916564941399</v>
      </c>
      <c r="U669" s="253">
        <v>21.454774856567401</v>
      </c>
      <c r="V669" s="253">
        <v>21.4308891296387</v>
      </c>
      <c r="W669" s="253">
        <v>21.3733520507813</v>
      </c>
      <c r="X669" s="253">
        <v>21.452013015747099</v>
      </c>
      <c r="Y669" s="253">
        <v>21.5757865905762</v>
      </c>
    </row>
    <row r="670" spans="1:26" x14ac:dyDescent="0.25">
      <c r="A670" s="249" t="s">
        <v>440</v>
      </c>
      <c r="B670" s="253" t="s">
        <v>440</v>
      </c>
      <c r="C670" s="253" t="s">
        <v>440</v>
      </c>
      <c r="D670" s="253" t="s">
        <v>440</v>
      </c>
      <c r="E670" s="253" t="s">
        <v>440</v>
      </c>
      <c r="F670" s="253" t="s">
        <v>440</v>
      </c>
      <c r="G670" s="253" t="s">
        <v>440</v>
      </c>
      <c r="H670" s="253" t="s">
        <v>440</v>
      </c>
      <c r="I670" s="253" t="s">
        <v>440</v>
      </c>
      <c r="J670" s="253" t="s">
        <v>440</v>
      </c>
      <c r="K670" s="253" t="s">
        <v>440</v>
      </c>
      <c r="L670" s="253" t="s">
        <v>440</v>
      </c>
      <c r="M670" s="253" t="s">
        <v>440</v>
      </c>
      <c r="N670" s="253" t="s">
        <v>440</v>
      </c>
      <c r="O670" s="253" t="s">
        <v>440</v>
      </c>
      <c r="P670" s="253" t="s">
        <v>440</v>
      </c>
      <c r="Q670" s="253" t="s">
        <v>440</v>
      </c>
      <c r="R670" s="253" t="s">
        <v>440</v>
      </c>
      <c r="S670" s="253" t="s">
        <v>440</v>
      </c>
      <c r="T670" s="253" t="s">
        <v>440</v>
      </c>
      <c r="U670" s="253" t="s">
        <v>440</v>
      </c>
      <c r="V670" s="253" t="s">
        <v>440</v>
      </c>
      <c r="W670" s="253" t="s">
        <v>440</v>
      </c>
      <c r="X670" s="253" t="s">
        <v>440</v>
      </c>
      <c r="Y670" s="253" t="s">
        <v>440</v>
      </c>
    </row>
    <row r="671" spans="1:26" x14ac:dyDescent="0.25">
      <c r="A671" s="249" t="s">
        <v>499</v>
      </c>
      <c r="B671" s="253" t="s">
        <v>440</v>
      </c>
      <c r="C671" s="253" t="s">
        <v>440</v>
      </c>
      <c r="D671" s="253" t="s">
        <v>440</v>
      </c>
      <c r="E671" s="253" t="s">
        <v>440</v>
      </c>
      <c r="F671" s="253" t="s">
        <v>440</v>
      </c>
      <c r="G671" s="253" t="s">
        <v>440</v>
      </c>
      <c r="H671" s="253" t="s">
        <v>440</v>
      </c>
      <c r="I671" s="253" t="s">
        <v>440</v>
      </c>
      <c r="J671" s="253" t="s">
        <v>440</v>
      </c>
      <c r="K671" s="253" t="s">
        <v>440</v>
      </c>
      <c r="L671" s="253" t="s">
        <v>440</v>
      </c>
      <c r="M671" s="253" t="s">
        <v>440</v>
      </c>
      <c r="N671" s="253" t="s">
        <v>440</v>
      </c>
      <c r="O671" s="253" t="s">
        <v>440</v>
      </c>
      <c r="P671" s="253" t="s">
        <v>440</v>
      </c>
      <c r="Q671" s="253" t="s">
        <v>440</v>
      </c>
      <c r="R671" s="253" t="s">
        <v>440</v>
      </c>
      <c r="S671" s="253" t="s">
        <v>440</v>
      </c>
      <c r="T671" s="253" t="s">
        <v>440</v>
      </c>
      <c r="U671" s="253" t="s">
        <v>440</v>
      </c>
      <c r="V671" s="253" t="s">
        <v>440</v>
      </c>
      <c r="W671" s="253" t="s">
        <v>440</v>
      </c>
      <c r="X671" s="253" t="s">
        <v>440</v>
      </c>
      <c r="Y671" s="253" t="s">
        <v>440</v>
      </c>
    </row>
    <row r="672" spans="1:26" x14ac:dyDescent="0.25">
      <c r="A672" s="249" t="s">
        <v>500</v>
      </c>
      <c r="B672" s="253">
        <v>1.8996955156326301</v>
      </c>
      <c r="C672" s="253">
        <v>2.2409727573394802</v>
      </c>
      <c r="D672" s="253">
        <v>2.4239859580993701</v>
      </c>
      <c r="E672" s="253">
        <v>2.3793189525604199</v>
      </c>
      <c r="F672" s="253">
        <v>2.2557969093322798</v>
      </c>
      <c r="G672" s="253">
        <v>2.16659760475159</v>
      </c>
      <c r="H672" s="253">
        <v>2.1260316371917698</v>
      </c>
      <c r="I672" s="253">
        <v>2.1242508888244598</v>
      </c>
      <c r="J672" s="253">
        <v>2.1216156482696502</v>
      </c>
      <c r="K672" s="253">
        <v>2.1531240940093999</v>
      </c>
      <c r="L672" s="253">
        <v>2.1922359466552699</v>
      </c>
      <c r="M672" s="253">
        <v>2.2451419830322301</v>
      </c>
      <c r="N672" s="253">
        <v>2.2968165874481201</v>
      </c>
      <c r="O672" s="253">
        <v>2.3293662071228001</v>
      </c>
      <c r="P672" s="253">
        <v>2.3501963615417498</v>
      </c>
      <c r="Q672" s="253">
        <v>2.3520054817199698</v>
      </c>
      <c r="R672" s="253">
        <v>2.3871843814849898</v>
      </c>
      <c r="S672" s="253">
        <v>2.4302341938018799</v>
      </c>
      <c r="T672" s="253">
        <v>2.5017471313476598</v>
      </c>
      <c r="U672" s="253">
        <v>2.5190291404724099</v>
      </c>
      <c r="V672" s="253">
        <v>2.50686860084534</v>
      </c>
      <c r="W672" s="253">
        <v>2.48747658729553</v>
      </c>
      <c r="X672" s="253">
        <v>2.5030989646911599</v>
      </c>
      <c r="Y672" s="253">
        <v>2.5170097351074201</v>
      </c>
    </row>
    <row r="673" spans="1:26" x14ac:dyDescent="0.25">
      <c r="A673" s="249" t="s">
        <v>502</v>
      </c>
      <c r="B673" s="253">
        <v>4.3748912811279297</v>
      </c>
      <c r="C673" s="253">
        <v>5.2786889076232901</v>
      </c>
      <c r="D673" s="253">
        <v>5.9517350196838397</v>
      </c>
      <c r="E673" s="253">
        <v>5.8146204948425302</v>
      </c>
      <c r="F673" s="253">
        <v>6.06520652770996</v>
      </c>
      <c r="G673" s="253">
        <v>6.0658583641052202</v>
      </c>
      <c r="H673" s="253">
        <v>6.0610094070434597</v>
      </c>
      <c r="I673" s="253">
        <v>6.0499844551086399</v>
      </c>
      <c r="J673" s="253">
        <v>6.0430412292480504</v>
      </c>
      <c r="K673" s="253">
        <v>6.00789546966553</v>
      </c>
      <c r="L673" s="253">
        <v>5.9784431457519496</v>
      </c>
      <c r="M673" s="253">
        <v>5.9840416908264196</v>
      </c>
      <c r="N673" s="253">
        <v>6.0042037963867196</v>
      </c>
      <c r="O673" s="253">
        <v>6.0128812789917001</v>
      </c>
      <c r="P673" s="253">
        <v>6.0971722602844203</v>
      </c>
      <c r="Q673" s="253">
        <v>6.1627969741821298</v>
      </c>
      <c r="R673" s="253">
        <v>6.2556800842285201</v>
      </c>
      <c r="S673" s="253">
        <v>6.3419466018676802</v>
      </c>
      <c r="T673" s="253">
        <v>6.4189195632934597</v>
      </c>
      <c r="U673" s="253">
        <v>6.5561437606811497</v>
      </c>
      <c r="V673" s="253">
        <v>6.6497230529785201</v>
      </c>
      <c r="W673" s="253">
        <v>6.7551417350768999</v>
      </c>
      <c r="X673" s="253">
        <v>6.8526744842529297</v>
      </c>
      <c r="Y673" s="253">
        <v>6.9808459281921396</v>
      </c>
    </row>
    <row r="674" spans="1:26" x14ac:dyDescent="0.25">
      <c r="A674" s="249" t="s">
        <v>476</v>
      </c>
      <c r="B674" s="253">
        <v>5.6938004493713397</v>
      </c>
      <c r="C674" s="253">
        <v>6.4773354530334499</v>
      </c>
      <c r="D674" s="253">
        <v>7.1750593185424796</v>
      </c>
      <c r="E674" s="253">
        <v>6.8899416923522896</v>
      </c>
      <c r="F674" s="253">
        <v>7.0708780288696298</v>
      </c>
      <c r="G674" s="253">
        <v>7.0249619483947798</v>
      </c>
      <c r="H674" s="253">
        <v>6.9838500022888201</v>
      </c>
      <c r="I674" s="253">
        <v>6.9665460586547896</v>
      </c>
      <c r="J674" s="253">
        <v>6.9450497627258301</v>
      </c>
      <c r="K674" s="253">
        <v>6.8211231231689498</v>
      </c>
      <c r="L674" s="253">
        <v>6.8083920478820801</v>
      </c>
      <c r="M674" s="253">
        <v>6.7952175140380904</v>
      </c>
      <c r="N674" s="253">
        <v>6.8354115486145002</v>
      </c>
      <c r="O674" s="253">
        <v>6.8402228355407697</v>
      </c>
      <c r="P674" s="253">
        <v>6.9283905029296902</v>
      </c>
      <c r="Q674" s="253">
        <v>6.9566001892089799</v>
      </c>
      <c r="R674" s="253">
        <v>7.0452814102172896</v>
      </c>
      <c r="S674" s="253">
        <v>7.1418867111206099</v>
      </c>
      <c r="T674" s="253">
        <v>7.2127375602722203</v>
      </c>
      <c r="U674" s="253">
        <v>7.4472899436950701</v>
      </c>
      <c r="V674" s="253">
        <v>7.5714774131774902</v>
      </c>
      <c r="W674" s="253">
        <v>7.7267389297485396</v>
      </c>
      <c r="X674" s="253">
        <v>7.8528199195861799</v>
      </c>
      <c r="Y674" s="253">
        <v>8.0614786148071307</v>
      </c>
    </row>
    <row r="675" spans="1:26" x14ac:dyDescent="0.25">
      <c r="A675" s="249" t="s">
        <v>481</v>
      </c>
      <c r="B675" s="253">
        <v>3.9850425720214799</v>
      </c>
      <c r="C675" s="253">
        <v>4.7911210060119602</v>
      </c>
      <c r="D675" s="253">
        <v>5.5054440498352104</v>
      </c>
      <c r="E675" s="253">
        <v>5.3836627006530797</v>
      </c>
      <c r="F675" s="253">
        <v>5.6116971969604501</v>
      </c>
      <c r="G675" s="253">
        <v>5.6101722717285201</v>
      </c>
      <c r="H675" s="253">
        <v>5.61515140533447</v>
      </c>
      <c r="I675" s="253">
        <v>5.6134881973266602</v>
      </c>
      <c r="J675" s="253">
        <v>5.6123900413513201</v>
      </c>
      <c r="K675" s="253">
        <v>5.6186213493347203</v>
      </c>
      <c r="L675" s="253">
        <v>5.6204733848571804</v>
      </c>
      <c r="M675" s="253">
        <v>5.6265015602111799</v>
      </c>
      <c r="N675" s="253">
        <v>5.6295571327209499</v>
      </c>
      <c r="O675" s="253">
        <v>5.6379580497741699</v>
      </c>
      <c r="P675" s="253">
        <v>5.71999168395996</v>
      </c>
      <c r="Q675" s="253">
        <v>5.7965455055236799</v>
      </c>
      <c r="R675" s="253">
        <v>5.8776378631591797</v>
      </c>
      <c r="S675" s="253">
        <v>5.9570369720459002</v>
      </c>
      <c r="T675" s="253">
        <v>6.0351238250732404</v>
      </c>
      <c r="U675" s="253">
        <v>6.1149992942810103</v>
      </c>
      <c r="V675" s="253">
        <v>6.1950988769531303</v>
      </c>
      <c r="W675" s="253">
        <v>6.27585792541504</v>
      </c>
      <c r="X675" s="253">
        <v>6.3545475006103498</v>
      </c>
      <c r="Y675" s="253">
        <v>6.4353322982788104</v>
      </c>
    </row>
    <row r="676" spans="1:26" x14ac:dyDescent="0.25">
      <c r="A676" s="274" t="s">
        <v>478</v>
      </c>
      <c r="B676" s="253">
        <v>3.6857740879058798</v>
      </c>
      <c r="C676" s="253">
        <v>5.4593739509582502</v>
      </c>
      <c r="D676" s="253">
        <v>5.9836130142211896</v>
      </c>
      <c r="E676" s="253">
        <v>5.9218006134033203</v>
      </c>
      <c r="F676" s="253">
        <v>5.2758417129516602</v>
      </c>
      <c r="G676" s="253">
        <v>4.86041164398193</v>
      </c>
      <c r="H676" s="253">
        <v>4.5085921287536603</v>
      </c>
      <c r="I676" s="253">
        <v>4.4009499549865696</v>
      </c>
      <c r="J676" s="253">
        <v>4.3143215179443404</v>
      </c>
      <c r="K676" s="253">
        <v>4.3619651794433603</v>
      </c>
      <c r="L676" s="253">
        <v>4.4577717781066903</v>
      </c>
      <c r="M676" s="253">
        <v>4.5935211181640598</v>
      </c>
      <c r="N676" s="253">
        <v>4.72908592224121</v>
      </c>
      <c r="O676" s="253">
        <v>4.8101162910461399</v>
      </c>
      <c r="P676" s="253">
        <v>4.8377823829650897</v>
      </c>
      <c r="Q676" s="253">
        <v>4.7923994064331099</v>
      </c>
      <c r="R676" s="253">
        <v>4.8652648925781303</v>
      </c>
      <c r="S676" s="253">
        <v>5.0083761215209996</v>
      </c>
      <c r="T676" s="253">
        <v>5.2321648597717303</v>
      </c>
      <c r="U676" s="253">
        <v>5.32541704177856</v>
      </c>
      <c r="V676" s="253">
        <v>5.3230118751525897</v>
      </c>
      <c r="W676" s="253">
        <v>5.3357062339782697</v>
      </c>
      <c r="X676" s="253">
        <v>5.3972234725952104</v>
      </c>
      <c r="Y676" s="253">
        <v>5.4970946311950701</v>
      </c>
      <c r="Z676" s="283">
        <f>Y676+($AI$506-$Y$676)/10</f>
        <v>5.5250455710201605</v>
      </c>
    </row>
    <row r="677" spans="1:26" x14ac:dyDescent="0.25">
      <c r="A677" s="278" t="s">
        <v>486</v>
      </c>
      <c r="B677" s="253">
        <v>1.2699717283248899</v>
      </c>
      <c r="C677" s="253">
        <v>1.27919089794159</v>
      </c>
      <c r="D677" s="253">
        <v>1.2835900783538801</v>
      </c>
      <c r="E677" s="253">
        <v>1.28959560394287</v>
      </c>
      <c r="F677" s="253">
        <v>1.29778397083282</v>
      </c>
      <c r="G677" s="253">
        <v>1.28695380687714</v>
      </c>
      <c r="H677" s="253">
        <v>1.28577756881714</v>
      </c>
      <c r="I677" s="253">
        <v>1.27679371833801</v>
      </c>
      <c r="J677" s="253">
        <v>1.26281106472015</v>
      </c>
      <c r="K677" s="253">
        <v>1.25397908687592</v>
      </c>
      <c r="L677" s="253">
        <v>1.2489364147186299</v>
      </c>
      <c r="M677" s="253">
        <v>1.2449804544448899</v>
      </c>
      <c r="N677" s="253">
        <v>1.2430621385574301</v>
      </c>
      <c r="O677" s="253">
        <v>1.24259686470032</v>
      </c>
      <c r="P677" s="253">
        <v>1.24424111843109</v>
      </c>
      <c r="Q677" s="253">
        <v>1.2428184747695901</v>
      </c>
      <c r="R677" s="253">
        <v>1.24728739261627</v>
      </c>
      <c r="S677" s="253">
        <v>1.2513284683227499</v>
      </c>
      <c r="T677" s="253">
        <v>1.2762980461120601</v>
      </c>
      <c r="U677" s="253">
        <v>1.2851967811584499</v>
      </c>
      <c r="V677" s="253">
        <v>1.2969329357147199</v>
      </c>
      <c r="W677" s="253">
        <v>1.3016670942306501</v>
      </c>
      <c r="X677" s="253">
        <v>1.31676089763641</v>
      </c>
      <c r="Y677" s="253">
        <v>1.3290703296661399</v>
      </c>
      <c r="Z677" s="291">
        <f>Y677+($AI$507-$Y$677)/10</f>
        <v>1.3327822261431892</v>
      </c>
    </row>
    <row r="678" spans="1:26" x14ac:dyDescent="0.25">
      <c r="A678" s="249" t="s">
        <v>440</v>
      </c>
      <c r="B678" s="253" t="s">
        <v>440</v>
      </c>
      <c r="C678" s="253" t="s">
        <v>440</v>
      </c>
      <c r="D678" s="253" t="s">
        <v>440</v>
      </c>
      <c r="E678" s="253" t="s">
        <v>440</v>
      </c>
      <c r="F678" s="253" t="s">
        <v>440</v>
      </c>
      <c r="G678" s="253" t="s">
        <v>440</v>
      </c>
      <c r="H678" s="253" t="s">
        <v>440</v>
      </c>
      <c r="I678" s="253" t="s">
        <v>440</v>
      </c>
      <c r="J678" s="253" t="s">
        <v>440</v>
      </c>
      <c r="K678" s="253" t="s">
        <v>440</v>
      </c>
      <c r="L678" s="253" t="s">
        <v>440</v>
      </c>
      <c r="M678" s="253" t="s">
        <v>440</v>
      </c>
      <c r="N678" s="253" t="s">
        <v>440</v>
      </c>
      <c r="O678" s="253" t="s">
        <v>440</v>
      </c>
      <c r="P678" s="253" t="s">
        <v>440</v>
      </c>
      <c r="Q678" s="253" t="s">
        <v>440</v>
      </c>
      <c r="R678" s="253" t="s">
        <v>440</v>
      </c>
      <c r="S678" s="253" t="s">
        <v>440</v>
      </c>
      <c r="T678" s="253" t="s">
        <v>440</v>
      </c>
      <c r="U678" s="253" t="s">
        <v>440</v>
      </c>
      <c r="V678" s="253" t="s">
        <v>440</v>
      </c>
      <c r="W678" s="253" t="s">
        <v>440</v>
      </c>
      <c r="X678" s="253" t="s">
        <v>440</v>
      </c>
      <c r="Y678" s="253" t="s">
        <v>440</v>
      </c>
    </row>
    <row r="679" spans="1:26" x14ac:dyDescent="0.25">
      <c r="A679" s="249" t="s">
        <v>503</v>
      </c>
      <c r="B679" s="253" t="s">
        <v>440</v>
      </c>
      <c r="C679" s="253" t="s">
        <v>440</v>
      </c>
      <c r="D679" s="253" t="s">
        <v>440</v>
      </c>
      <c r="E679" s="253" t="s">
        <v>440</v>
      </c>
      <c r="F679" s="253" t="s">
        <v>440</v>
      </c>
      <c r="G679" s="253" t="s">
        <v>440</v>
      </c>
      <c r="H679" s="253" t="s">
        <v>440</v>
      </c>
      <c r="I679" s="253" t="s">
        <v>440</v>
      </c>
      <c r="J679" s="253" t="s">
        <v>440</v>
      </c>
      <c r="K679" s="253" t="s">
        <v>440</v>
      </c>
      <c r="L679" s="253" t="s">
        <v>440</v>
      </c>
      <c r="M679" s="253" t="s">
        <v>440</v>
      </c>
      <c r="N679" s="253" t="s">
        <v>440</v>
      </c>
      <c r="O679" s="253" t="s">
        <v>440</v>
      </c>
      <c r="P679" s="253" t="s">
        <v>440</v>
      </c>
      <c r="Q679" s="253" t="s">
        <v>440</v>
      </c>
      <c r="R679" s="253" t="s">
        <v>440</v>
      </c>
      <c r="S679" s="253" t="s">
        <v>440</v>
      </c>
      <c r="T679" s="253" t="s">
        <v>440</v>
      </c>
      <c r="U679" s="253" t="s">
        <v>440</v>
      </c>
      <c r="V679" s="253" t="s">
        <v>440</v>
      </c>
      <c r="W679" s="253" t="s">
        <v>440</v>
      </c>
      <c r="X679" s="253" t="s">
        <v>440</v>
      </c>
      <c r="Y679" s="253" t="s">
        <v>440</v>
      </c>
    </row>
    <row r="680" spans="1:26" x14ac:dyDescent="0.25">
      <c r="A680" s="249" t="s">
        <v>504</v>
      </c>
      <c r="B680" s="253">
        <v>9.0916013717651403</v>
      </c>
      <c r="C680" s="253">
        <v>10.5092258453369</v>
      </c>
      <c r="D680" s="253">
        <v>12.005053520202599</v>
      </c>
      <c r="E680" s="253">
        <v>11.6376342773438</v>
      </c>
      <c r="F680" s="253">
        <v>11.8251142501831</v>
      </c>
      <c r="G680" s="253">
        <v>11.7351989746094</v>
      </c>
      <c r="H680" s="253">
        <v>11.6926622390747</v>
      </c>
      <c r="I680" s="253">
        <v>11.6848964691162</v>
      </c>
      <c r="J680" s="253">
        <v>11.6311902999878</v>
      </c>
      <c r="K680" s="253">
        <v>11.6124935150146</v>
      </c>
      <c r="L680" s="253">
        <v>11.616386413574199</v>
      </c>
      <c r="M680" s="253">
        <v>11.566198348999</v>
      </c>
      <c r="N680" s="253">
        <v>11.5507049560547</v>
      </c>
      <c r="O680" s="253">
        <v>11.475526809692401</v>
      </c>
      <c r="P680" s="253">
        <v>11.520403861999499</v>
      </c>
      <c r="Q680" s="253">
        <v>11.477831840515099</v>
      </c>
      <c r="R680" s="253">
        <v>11.5152139663696</v>
      </c>
      <c r="S680" s="253">
        <v>11.577165603637701</v>
      </c>
      <c r="T680" s="253">
        <v>11.5678558349609</v>
      </c>
      <c r="U680" s="253">
        <v>11.7752237319946</v>
      </c>
      <c r="V680" s="253">
        <v>11.90793800354</v>
      </c>
      <c r="W680" s="253">
        <v>12.0465354919434</v>
      </c>
      <c r="X680" s="253">
        <v>12.1843271255493</v>
      </c>
      <c r="Y680" s="253">
        <v>12.407506942749</v>
      </c>
    </row>
    <row r="681" spans="1:26" x14ac:dyDescent="0.25">
      <c r="A681" s="249" t="s">
        <v>505</v>
      </c>
      <c r="B681" s="253">
        <v>8.7129955291747994</v>
      </c>
      <c r="C681" s="253">
        <v>9.89868068695068</v>
      </c>
      <c r="D681" s="253">
        <v>10.9323635101318</v>
      </c>
      <c r="E681" s="253">
        <v>10.516573905944799</v>
      </c>
      <c r="F681" s="253">
        <v>10.8896884918213</v>
      </c>
      <c r="G681" s="253">
        <v>11.1545400619507</v>
      </c>
      <c r="H681" s="253">
        <v>11.1602163314819</v>
      </c>
      <c r="I681" s="253">
        <v>11.210696220397899</v>
      </c>
      <c r="J681" s="253">
        <v>11.2655477523804</v>
      </c>
      <c r="K681" s="253">
        <v>11.312797546386699</v>
      </c>
      <c r="L681" s="253">
        <v>11.4240579605103</v>
      </c>
      <c r="M681" s="253">
        <v>11.453408241271999</v>
      </c>
      <c r="N681" s="253">
        <v>11.43030834198</v>
      </c>
      <c r="O681" s="253">
        <v>11.241268157959</v>
      </c>
      <c r="P681" s="253">
        <v>11.0996809005737</v>
      </c>
      <c r="Q681" s="253">
        <v>10.9476537704468</v>
      </c>
      <c r="R681" s="253">
        <v>10.947796821594199</v>
      </c>
      <c r="S681" s="253">
        <v>10.974308013916</v>
      </c>
      <c r="T681" s="253">
        <v>11.019621849060099</v>
      </c>
      <c r="U681" s="253">
        <v>11.1190385818481</v>
      </c>
      <c r="V681" s="253">
        <v>11.172901153564499</v>
      </c>
      <c r="W681" s="253">
        <v>11.2430562973022</v>
      </c>
      <c r="X681" s="253">
        <v>11.376879692077599</v>
      </c>
      <c r="Y681" s="253">
        <v>11.7449541091919</v>
      </c>
    </row>
    <row r="682" spans="1:26" x14ac:dyDescent="0.25">
      <c r="A682" s="249" t="s">
        <v>506</v>
      </c>
      <c r="B682" s="253">
        <v>6.0538434982299796</v>
      </c>
      <c r="C682" s="253">
        <v>6.4578518867492702</v>
      </c>
      <c r="D682" s="253">
        <v>8.1168746948242205</v>
      </c>
      <c r="E682" s="253">
        <v>7.6875567436218297</v>
      </c>
      <c r="F682" s="253">
        <v>7.8739576339721697</v>
      </c>
      <c r="G682" s="253">
        <v>7.8265089988708496</v>
      </c>
      <c r="H682" s="253">
        <v>7.9840884208679199</v>
      </c>
      <c r="I682" s="253">
        <v>8.0166091918945295</v>
      </c>
      <c r="J682" s="253">
        <v>7.8608303070068404</v>
      </c>
      <c r="K682" s="253">
        <v>7.81276655197144</v>
      </c>
      <c r="L682" s="253">
        <v>7.8045797348022496</v>
      </c>
      <c r="M682" s="253">
        <v>7.7928524017334002</v>
      </c>
      <c r="N682" s="253">
        <v>7.7725591659545898</v>
      </c>
      <c r="O682" s="253">
        <v>7.7157216072082502</v>
      </c>
      <c r="P682" s="253">
        <v>7.7164225578308097</v>
      </c>
      <c r="Q682" s="253">
        <v>7.6991229057312003</v>
      </c>
      <c r="R682" s="253">
        <v>7.7546834945678702</v>
      </c>
      <c r="S682" s="253">
        <v>7.8412432670593297</v>
      </c>
      <c r="T682" s="253">
        <v>7.8916783332824698</v>
      </c>
      <c r="U682" s="253">
        <v>8.0530261993408203</v>
      </c>
      <c r="V682" s="253">
        <v>8.1459932327270508</v>
      </c>
      <c r="W682" s="253">
        <v>8.2922735214233398</v>
      </c>
      <c r="X682" s="253">
        <v>8.4199304580688494</v>
      </c>
      <c r="Y682" s="253">
        <v>8.7479171752929705</v>
      </c>
    </row>
    <row r="683" spans="1:26" x14ac:dyDescent="0.25">
      <c r="A683" s="249" t="s">
        <v>507</v>
      </c>
      <c r="B683" s="253">
        <v>9.5166797637939506</v>
      </c>
      <c r="C683" s="253">
        <v>13.0396432876587</v>
      </c>
      <c r="D683" s="253">
        <v>15.6858806610107</v>
      </c>
      <c r="E683" s="253">
        <v>14.0740518569946</v>
      </c>
      <c r="F683" s="253">
        <v>13.2904262542725</v>
      </c>
      <c r="G683" s="253">
        <v>13.309534072876</v>
      </c>
      <c r="H683" s="253">
        <v>13.149743080139199</v>
      </c>
      <c r="I683" s="253">
        <v>13.0244760513306</v>
      </c>
      <c r="J683" s="253">
        <v>13.1580867767334</v>
      </c>
      <c r="K683" s="253">
        <v>12.982262611389199</v>
      </c>
      <c r="L683" s="253">
        <v>12.9337568283081</v>
      </c>
      <c r="M683" s="253">
        <v>12.8646802902222</v>
      </c>
      <c r="N683" s="253">
        <v>12.621651649475099</v>
      </c>
      <c r="O683" s="253">
        <v>12.775475502014199</v>
      </c>
      <c r="P683" s="253">
        <v>12.937217712402299</v>
      </c>
      <c r="Q683" s="253">
        <v>13.1492967605591</v>
      </c>
      <c r="R683" s="253">
        <v>13.286898612976101</v>
      </c>
      <c r="S683" s="253">
        <v>13.3753395080566</v>
      </c>
      <c r="T683" s="253">
        <v>13.277045249939</v>
      </c>
      <c r="U683" s="253">
        <v>13.584378242492701</v>
      </c>
      <c r="V683" s="253">
        <v>13.775920867919901</v>
      </c>
      <c r="W683" s="253">
        <v>13.987989425659199</v>
      </c>
      <c r="X683" s="253">
        <v>14.116153717041</v>
      </c>
      <c r="Y683" s="253">
        <v>14.3756980895996</v>
      </c>
    </row>
    <row r="684" spans="1:26" x14ac:dyDescent="0.25">
      <c r="A684" s="249" t="s">
        <v>508</v>
      </c>
      <c r="B684" s="253">
        <v>11.3185987472534</v>
      </c>
      <c r="C684" s="253">
        <v>12.9258327484131</v>
      </c>
      <c r="D684" s="253">
        <v>14.650143623352101</v>
      </c>
      <c r="E684" s="253">
        <v>14.344244956970201</v>
      </c>
      <c r="F684" s="253">
        <v>14.6975507736206</v>
      </c>
      <c r="G684" s="253">
        <v>14.347893714904799</v>
      </c>
      <c r="H684" s="253">
        <v>14.238919258117701</v>
      </c>
      <c r="I684" s="253">
        <v>14.238542556762701</v>
      </c>
      <c r="J684" s="253">
        <v>14.0666351318359</v>
      </c>
      <c r="K684" s="253">
        <v>14.0516872406006</v>
      </c>
      <c r="L684" s="253">
        <v>14.0139780044556</v>
      </c>
      <c r="M684" s="253">
        <v>13.894681930541999</v>
      </c>
      <c r="N684" s="253">
        <v>13.9225015640259</v>
      </c>
      <c r="O684" s="253">
        <v>13.8080444335938</v>
      </c>
      <c r="P684" s="253">
        <v>13.9091501235962</v>
      </c>
      <c r="Q684" s="253">
        <v>13.810170173645</v>
      </c>
      <c r="R684" s="253">
        <v>13.822598457336399</v>
      </c>
      <c r="S684" s="253">
        <v>13.882239341735801</v>
      </c>
      <c r="T684" s="253">
        <v>13.824323654174799</v>
      </c>
      <c r="U684" s="253">
        <v>14.0693578720093</v>
      </c>
      <c r="V684" s="253">
        <v>14.2271223068237</v>
      </c>
      <c r="W684" s="253">
        <v>14.3637847900391</v>
      </c>
      <c r="X684" s="253">
        <v>14.4981489181519</v>
      </c>
      <c r="Y684" s="253">
        <v>14.5947113037109</v>
      </c>
    </row>
    <row r="685" spans="1:26" x14ac:dyDescent="0.25">
      <c r="A685" s="249" t="s">
        <v>509</v>
      </c>
      <c r="B685" s="253">
        <v>3.9308724403381299</v>
      </c>
      <c r="C685" s="253">
        <v>4.6628575325012198</v>
      </c>
      <c r="D685" s="253">
        <v>5.07232666015625</v>
      </c>
      <c r="E685" s="253">
        <v>5.1433587074279803</v>
      </c>
      <c r="F685" s="253">
        <v>5.4173622131347701</v>
      </c>
      <c r="G685" s="253">
        <v>5.4097323417663601</v>
      </c>
      <c r="H685" s="253">
        <v>5.3977632522582999</v>
      </c>
      <c r="I685" s="253">
        <v>5.3867764472961399</v>
      </c>
      <c r="J685" s="253">
        <v>5.3854241371154803</v>
      </c>
      <c r="K685" s="253">
        <v>5.3919448852539098</v>
      </c>
      <c r="L685" s="253">
        <v>5.3981180191040004</v>
      </c>
      <c r="M685" s="253">
        <v>5.4056487083435103</v>
      </c>
      <c r="N685" s="253">
        <v>5.4104261398315403</v>
      </c>
      <c r="O685" s="253">
        <v>5.4168543815612802</v>
      </c>
      <c r="P685" s="253">
        <v>5.4972262382507298</v>
      </c>
      <c r="Q685" s="253">
        <v>5.5698432922363299</v>
      </c>
      <c r="R685" s="253">
        <v>5.6456804275512704</v>
      </c>
      <c r="S685" s="253">
        <v>5.7250947952270499</v>
      </c>
      <c r="T685" s="253">
        <v>5.8020553588867196</v>
      </c>
      <c r="U685" s="253">
        <v>5.88106393814087</v>
      </c>
      <c r="V685" s="253">
        <v>5.9598326683044398</v>
      </c>
      <c r="W685" s="253">
        <v>6.0394186973571804</v>
      </c>
      <c r="X685" s="253">
        <v>6.11779880523682</v>
      </c>
      <c r="Y685" s="253">
        <v>6.2010583877563503</v>
      </c>
    </row>
    <row r="686" spans="1:26" x14ac:dyDescent="0.25">
      <c r="A686" s="249" t="s">
        <v>510</v>
      </c>
      <c r="B686" s="253">
        <v>5.1461992263793901</v>
      </c>
      <c r="C686" s="253">
        <v>6.8558807373046902</v>
      </c>
      <c r="D686" s="253">
        <v>7.3508062362670898</v>
      </c>
      <c r="E686" s="253">
        <v>7.3840570449829102</v>
      </c>
      <c r="F686" s="253">
        <v>6.7167382240295401</v>
      </c>
      <c r="G686" s="253">
        <v>6.27575588226318</v>
      </c>
      <c r="H686" s="253">
        <v>5.86295366287231</v>
      </c>
      <c r="I686" s="253">
        <v>5.7038016319274902</v>
      </c>
      <c r="J686" s="253">
        <v>5.5520119667053196</v>
      </c>
      <c r="K686" s="253">
        <v>5.5432248115539604</v>
      </c>
      <c r="L686" s="253">
        <v>5.5985813140869096</v>
      </c>
      <c r="M686" s="253">
        <v>5.70459079742432</v>
      </c>
      <c r="N686" s="253">
        <v>5.8318381309509304</v>
      </c>
      <c r="O686" s="253">
        <v>5.9191007614135698</v>
      </c>
      <c r="P686" s="253">
        <v>5.9519534111022896</v>
      </c>
      <c r="Q686" s="253">
        <v>5.8878293037414604</v>
      </c>
      <c r="R686" s="253">
        <v>5.94315385818481</v>
      </c>
      <c r="S686" s="253">
        <v>6.08443307876587</v>
      </c>
      <c r="T686" s="253">
        <v>6.3156557083129901</v>
      </c>
      <c r="U686" s="253">
        <v>6.4281539916992196</v>
      </c>
      <c r="V686" s="253">
        <v>6.4433326721191397</v>
      </c>
      <c r="W686" s="253">
        <v>6.4763746261596697</v>
      </c>
      <c r="X686" s="253">
        <v>6.5396862030029297</v>
      </c>
      <c r="Y686" s="253">
        <v>6.6462817192077601</v>
      </c>
    </row>
    <row r="687" spans="1:26" x14ac:dyDescent="0.25">
      <c r="A687" s="249" t="s">
        <v>511</v>
      </c>
      <c r="B687" s="253">
        <v>1.2938040494918801</v>
      </c>
      <c r="C687" s="253">
        <v>1.29924309253693</v>
      </c>
      <c r="D687" s="253">
        <v>1.3041912317276001</v>
      </c>
      <c r="E687" s="253">
        <v>1.3119194507598899</v>
      </c>
      <c r="F687" s="253">
        <v>1.3187216520309399</v>
      </c>
      <c r="G687" s="253">
        <v>1.3072546720504801</v>
      </c>
      <c r="H687" s="253">
        <v>1.3059933185577399</v>
      </c>
      <c r="I687" s="253">
        <v>1.2971544265747099</v>
      </c>
      <c r="J687" s="253">
        <v>1.2836289405822801</v>
      </c>
      <c r="K687" s="253">
        <v>1.2749706506729099</v>
      </c>
      <c r="L687" s="253">
        <v>1.26953566074371</v>
      </c>
      <c r="M687" s="253">
        <v>1.2652333974838299</v>
      </c>
      <c r="N687" s="253">
        <v>1.2631930112838701</v>
      </c>
      <c r="O687" s="253">
        <v>1.2626041173934901</v>
      </c>
      <c r="P687" s="253">
        <v>1.26433837413788</v>
      </c>
      <c r="Q687" s="253">
        <v>1.26277422904968</v>
      </c>
      <c r="R687" s="253">
        <v>1.2691743373870801</v>
      </c>
      <c r="S687" s="253">
        <v>1.27585673332214</v>
      </c>
      <c r="T687" s="253">
        <v>1.3034254312515301</v>
      </c>
      <c r="U687" s="253">
        <v>1.3139834403991699</v>
      </c>
      <c r="V687" s="253">
        <v>1.32844221591949</v>
      </c>
      <c r="W687" s="253">
        <v>1.3343856334686299</v>
      </c>
      <c r="X687" s="253">
        <v>1.3519768714904801</v>
      </c>
      <c r="Y687" s="253">
        <v>1.3668735027313199</v>
      </c>
    </row>
    <row r="688" spans="1:26" x14ac:dyDescent="0.25">
      <c r="A688" s="249" t="s">
        <v>512</v>
      </c>
      <c r="B688" s="253">
        <v>14.6543264389038</v>
      </c>
      <c r="C688" s="253">
        <v>16.232709884643601</v>
      </c>
      <c r="D688" s="253">
        <v>19.6646022796631</v>
      </c>
      <c r="E688" s="253">
        <v>19.716905593872099</v>
      </c>
      <c r="F688" s="253">
        <v>20.910398483276399</v>
      </c>
      <c r="G688" s="253">
        <v>20.088336944580099</v>
      </c>
      <c r="H688" s="253">
        <v>20.034643173217798</v>
      </c>
      <c r="I688" s="253">
        <v>19.876234054565401</v>
      </c>
      <c r="J688" s="253">
        <v>19.0899848937988</v>
      </c>
      <c r="K688" s="253">
        <v>19.0770473480225</v>
      </c>
      <c r="L688" s="253">
        <v>18.9334907531738</v>
      </c>
      <c r="M688" s="253">
        <v>18.8203315734863</v>
      </c>
      <c r="N688" s="253">
        <v>18.8769016265869</v>
      </c>
      <c r="O688" s="253">
        <v>18.733657836914102</v>
      </c>
      <c r="P688" s="253">
        <v>18.836368560791001</v>
      </c>
      <c r="Q688" s="253">
        <v>18.717578887939499</v>
      </c>
      <c r="R688" s="253">
        <v>18.677961349487301</v>
      </c>
      <c r="S688" s="253">
        <v>18.768825531005898</v>
      </c>
      <c r="T688" s="253">
        <v>18.702945709228501</v>
      </c>
      <c r="U688" s="253">
        <v>19.039726257324201</v>
      </c>
      <c r="V688" s="253">
        <v>19.213029861450199</v>
      </c>
      <c r="W688" s="253">
        <v>19.429216384887699</v>
      </c>
      <c r="X688" s="253">
        <v>19.537574768066399</v>
      </c>
      <c r="Y688" s="253">
        <v>19.6945476531982</v>
      </c>
    </row>
    <row r="689" spans="1:28" x14ac:dyDescent="0.25">
      <c r="A689" s="249" t="s">
        <v>479</v>
      </c>
      <c r="B689" s="253">
        <v>21.599882125854499</v>
      </c>
      <c r="C689" s="253">
        <v>21.735733032226602</v>
      </c>
      <c r="D689" s="253">
        <v>21.731866836547901</v>
      </c>
      <c r="E689" s="253">
        <v>21.659553527831999</v>
      </c>
      <c r="F689" s="253">
        <v>20.918876647949201</v>
      </c>
      <c r="G689" s="253">
        <v>20.055833816528299</v>
      </c>
      <c r="H689" s="253">
        <v>19.596654891967798</v>
      </c>
      <c r="I689" s="253">
        <v>19.579929351806602</v>
      </c>
      <c r="J689" s="253">
        <v>19.517631530761701</v>
      </c>
      <c r="K689" s="253">
        <v>19.486770629882798</v>
      </c>
      <c r="L689" s="253">
        <v>19.702039718627901</v>
      </c>
      <c r="M689" s="253">
        <v>19.955158233642599</v>
      </c>
      <c r="N689" s="253">
        <v>20.317079544067401</v>
      </c>
      <c r="O689" s="253">
        <v>20.442613601684599</v>
      </c>
      <c r="P689" s="253">
        <v>20.578334808349599</v>
      </c>
      <c r="Q689" s="253">
        <v>20.580734252929702</v>
      </c>
      <c r="R689" s="253">
        <v>20.7274265289307</v>
      </c>
      <c r="S689" s="253">
        <v>20.953577041626001</v>
      </c>
      <c r="T689" s="253">
        <v>21.262916564941399</v>
      </c>
      <c r="U689" s="253">
        <v>21.454774856567401</v>
      </c>
      <c r="V689" s="253">
        <v>21.4308891296387</v>
      </c>
      <c r="W689" s="253">
        <v>21.3733520507813</v>
      </c>
      <c r="X689" s="253">
        <v>21.452013015747099</v>
      </c>
      <c r="Y689" s="253">
        <v>21.5757865905762</v>
      </c>
    </row>
    <row r="690" spans="1:28" x14ac:dyDescent="0.25">
      <c r="A690" s="249" t="s">
        <v>440</v>
      </c>
      <c r="B690" s="253" t="s">
        <v>440</v>
      </c>
      <c r="C690" s="253" t="s">
        <v>440</v>
      </c>
      <c r="D690" s="253" t="s">
        <v>440</v>
      </c>
      <c r="E690" s="253" t="s">
        <v>440</v>
      </c>
      <c r="F690" s="253" t="s">
        <v>440</v>
      </c>
      <c r="G690" s="253" t="s">
        <v>440</v>
      </c>
      <c r="H690" s="253" t="s">
        <v>440</v>
      </c>
      <c r="I690" s="253" t="s">
        <v>440</v>
      </c>
      <c r="J690" s="253" t="s">
        <v>440</v>
      </c>
      <c r="K690" s="253" t="s">
        <v>440</v>
      </c>
      <c r="L690" s="253" t="s">
        <v>440</v>
      </c>
      <c r="M690" s="253" t="s">
        <v>440</v>
      </c>
      <c r="N690" s="253" t="s">
        <v>440</v>
      </c>
      <c r="O690" s="253" t="s">
        <v>440</v>
      </c>
      <c r="P690" s="253" t="s">
        <v>440</v>
      </c>
      <c r="Q690" s="253" t="s">
        <v>440</v>
      </c>
      <c r="R690" s="253" t="s">
        <v>440</v>
      </c>
      <c r="S690" s="253" t="s">
        <v>440</v>
      </c>
      <c r="T690" s="253" t="s">
        <v>440</v>
      </c>
      <c r="U690" s="253" t="s">
        <v>440</v>
      </c>
      <c r="V690" s="253" t="s">
        <v>440</v>
      </c>
      <c r="W690" s="253" t="s">
        <v>440</v>
      </c>
      <c r="X690" s="253" t="s">
        <v>440</v>
      </c>
      <c r="Y690" s="253" t="s">
        <v>440</v>
      </c>
    </row>
    <row r="691" spans="1:28" x14ac:dyDescent="0.25">
      <c r="A691" s="249" t="s">
        <v>513</v>
      </c>
      <c r="B691" s="253" t="s">
        <v>440</v>
      </c>
      <c r="C691" s="253" t="s">
        <v>440</v>
      </c>
      <c r="D691" s="253" t="s">
        <v>440</v>
      </c>
      <c r="E691" s="253" t="s">
        <v>440</v>
      </c>
      <c r="F691" s="253" t="s">
        <v>440</v>
      </c>
      <c r="G691" s="253" t="s">
        <v>440</v>
      </c>
      <c r="H691" s="253" t="s">
        <v>440</v>
      </c>
      <c r="I691" s="253" t="s">
        <v>440</v>
      </c>
      <c r="J691" s="253" t="s">
        <v>440</v>
      </c>
      <c r="K691" s="253" t="s">
        <v>440</v>
      </c>
      <c r="L691" s="253" t="s">
        <v>440</v>
      </c>
      <c r="M691" s="253" t="s">
        <v>440</v>
      </c>
      <c r="N691" s="253" t="s">
        <v>440</v>
      </c>
      <c r="O691" s="253" t="s">
        <v>440</v>
      </c>
      <c r="P691" s="253" t="s">
        <v>440</v>
      </c>
      <c r="Q691" s="253" t="s">
        <v>440</v>
      </c>
      <c r="R691" s="253" t="s">
        <v>440</v>
      </c>
      <c r="S691" s="253" t="s">
        <v>440</v>
      </c>
      <c r="T691" s="253" t="s">
        <v>440</v>
      </c>
      <c r="U691" s="253" t="s">
        <v>440</v>
      </c>
      <c r="V691" s="253" t="s">
        <v>440</v>
      </c>
      <c r="W691" s="253" t="s">
        <v>440</v>
      </c>
      <c r="X691" s="253" t="s">
        <v>440</v>
      </c>
      <c r="Y691" s="253" t="s">
        <v>440</v>
      </c>
    </row>
    <row r="692" spans="1:28" x14ac:dyDescent="0.25">
      <c r="A692" s="249" t="s">
        <v>514</v>
      </c>
      <c r="B692" s="253" t="s">
        <v>440</v>
      </c>
      <c r="C692" s="253" t="s">
        <v>440</v>
      </c>
      <c r="D692" s="253" t="s">
        <v>440</v>
      </c>
      <c r="E692" s="253" t="s">
        <v>440</v>
      </c>
      <c r="F692" s="253" t="s">
        <v>440</v>
      </c>
      <c r="G692" s="253" t="s">
        <v>440</v>
      </c>
      <c r="H692" s="253" t="s">
        <v>440</v>
      </c>
      <c r="I692" s="253" t="s">
        <v>440</v>
      </c>
      <c r="J692" s="253" t="s">
        <v>440</v>
      </c>
      <c r="K692" s="253" t="s">
        <v>440</v>
      </c>
      <c r="L692" s="253" t="s">
        <v>440</v>
      </c>
      <c r="M692" s="253" t="s">
        <v>440</v>
      </c>
      <c r="N692" s="253" t="s">
        <v>440</v>
      </c>
      <c r="O692" s="253" t="s">
        <v>440</v>
      </c>
      <c r="P692" s="253" t="s">
        <v>440</v>
      </c>
      <c r="Q692" s="253" t="s">
        <v>440</v>
      </c>
      <c r="R692" s="253" t="s">
        <v>440</v>
      </c>
      <c r="S692" s="253" t="s">
        <v>440</v>
      </c>
      <c r="T692" s="253" t="s">
        <v>440</v>
      </c>
      <c r="U692" s="253" t="s">
        <v>440</v>
      </c>
      <c r="V692" s="253" t="s">
        <v>440</v>
      </c>
      <c r="W692" s="253" t="s">
        <v>440</v>
      </c>
      <c r="X692" s="253" t="s">
        <v>440</v>
      </c>
      <c r="Y692" s="253" t="s">
        <v>440</v>
      </c>
    </row>
    <row r="693" spans="1:28" x14ac:dyDescent="0.25">
      <c r="A693" s="249" t="s">
        <v>473</v>
      </c>
      <c r="B693" s="253">
        <v>163.90481567382801</v>
      </c>
      <c r="C693" s="253">
        <v>177.16523742675801</v>
      </c>
      <c r="D693" s="253">
        <v>181.73590087890599</v>
      </c>
      <c r="E693" s="253">
        <v>185.241622924805</v>
      </c>
      <c r="F693" s="253">
        <v>180.05682373046901</v>
      </c>
      <c r="G693" s="253">
        <v>176.427001953125</v>
      </c>
      <c r="H693" s="253">
        <v>175.07618713378901</v>
      </c>
      <c r="I693" s="253">
        <v>176.51165771484401</v>
      </c>
      <c r="J693" s="253">
        <v>178.08059692382801</v>
      </c>
      <c r="K693" s="253">
        <v>180.014236450195</v>
      </c>
      <c r="L693" s="253">
        <v>183.85498046875</v>
      </c>
      <c r="M693" s="253">
        <v>187.18310546875</v>
      </c>
      <c r="N693" s="253">
        <v>191.43936157226599</v>
      </c>
      <c r="O693" s="253">
        <v>194.37899780273401</v>
      </c>
      <c r="P693" s="253">
        <v>197.52023315429699</v>
      </c>
      <c r="Q693" s="253">
        <v>198.76248168945301</v>
      </c>
      <c r="R693" s="253">
        <v>201.94073486328099</v>
      </c>
      <c r="S693" s="253">
        <v>206.017013549805</v>
      </c>
      <c r="T693" s="253">
        <v>211.20541381835901</v>
      </c>
      <c r="U693" s="253">
        <v>214.41099548339801</v>
      </c>
      <c r="V693" s="253">
        <v>216.40347290039099</v>
      </c>
      <c r="W693" s="253">
        <v>218.64796447753901</v>
      </c>
      <c r="X693" s="253">
        <v>222.25126647949199</v>
      </c>
      <c r="Y693" s="253">
        <v>225.36584472656301</v>
      </c>
      <c r="AA693" s="305"/>
      <c r="AB693" s="305"/>
    </row>
    <row r="694" spans="1:28" x14ac:dyDescent="0.25">
      <c r="A694" s="249" t="s">
        <v>480</v>
      </c>
      <c r="B694" s="253">
        <v>122.690147399902</v>
      </c>
      <c r="C694" s="253">
        <v>128.153732299805</v>
      </c>
      <c r="D694" s="253">
        <v>130.48612976074199</v>
      </c>
      <c r="E694" s="253">
        <v>132.29133605957</v>
      </c>
      <c r="F694" s="253">
        <v>129.27566528320301</v>
      </c>
      <c r="G694" s="253">
        <v>126.887260437012</v>
      </c>
      <c r="H694" s="253">
        <v>126.692184448242</v>
      </c>
      <c r="I694" s="253">
        <v>129.41491699218801</v>
      </c>
      <c r="J694" s="253">
        <v>131.90731811523401</v>
      </c>
      <c r="K694" s="253">
        <v>135.04089355468801</v>
      </c>
      <c r="L694" s="253">
        <v>139.741943359375</v>
      </c>
      <c r="M694" s="253">
        <v>144.63902282714801</v>
      </c>
      <c r="N694" s="253">
        <v>150.53921508789099</v>
      </c>
      <c r="O694" s="253">
        <v>154.864669799805</v>
      </c>
      <c r="P694" s="253">
        <v>159.25378417968801</v>
      </c>
      <c r="Q694" s="253">
        <v>162.59527587890599</v>
      </c>
      <c r="R694" s="253">
        <v>167.29981994628901</v>
      </c>
      <c r="S694" s="253">
        <v>172.854415893555</v>
      </c>
      <c r="T694" s="253">
        <v>179.18412780761699</v>
      </c>
      <c r="U694" s="253">
        <v>184.76553344726599</v>
      </c>
      <c r="V694" s="253">
        <v>188.65592956543</v>
      </c>
      <c r="W694" s="253">
        <v>192.56275939941401</v>
      </c>
      <c r="X694" s="253">
        <v>197.80290222168</v>
      </c>
      <c r="Y694" s="253">
        <v>203.64804077148401</v>
      </c>
    </row>
    <row r="695" spans="1:28" x14ac:dyDescent="0.25">
      <c r="A695" s="249" t="s">
        <v>515</v>
      </c>
      <c r="B695" s="253">
        <v>124.39901733398401</v>
      </c>
      <c r="C695" s="253">
        <v>147.11244201660199</v>
      </c>
      <c r="D695" s="253">
        <v>168.13270568847699</v>
      </c>
      <c r="E695" s="253">
        <v>167.53501892089801</v>
      </c>
      <c r="F695" s="253">
        <v>157.82022094726599</v>
      </c>
      <c r="G695" s="253">
        <v>152.842697143555</v>
      </c>
      <c r="H695" s="253">
        <v>151.28466796875</v>
      </c>
      <c r="I695" s="253">
        <v>151.59564208984401</v>
      </c>
      <c r="J695" s="253">
        <v>151.94683837890599</v>
      </c>
      <c r="K695" s="253">
        <v>152.62234497070301</v>
      </c>
      <c r="L695" s="253">
        <v>154.60144042968801</v>
      </c>
      <c r="M695" s="253">
        <v>156.88139343261699</v>
      </c>
      <c r="N695" s="253">
        <v>159.98997497558599</v>
      </c>
      <c r="O695" s="253">
        <v>162.62356567382801</v>
      </c>
      <c r="P695" s="253">
        <v>164.507247924805</v>
      </c>
      <c r="Q695" s="253">
        <v>166.59835815429699</v>
      </c>
      <c r="R695" s="253">
        <v>170.382568359375</v>
      </c>
      <c r="S695" s="253">
        <v>174.95167541503901</v>
      </c>
      <c r="T695" s="253">
        <v>179.57080078125</v>
      </c>
      <c r="U695" s="253">
        <v>184.12712097168</v>
      </c>
      <c r="V695" s="253">
        <v>186.42012023925801</v>
      </c>
      <c r="W695" s="253">
        <v>189.56260681152301</v>
      </c>
      <c r="X695" s="253">
        <v>192.98284912109401</v>
      </c>
      <c r="Y695" s="253">
        <v>198.25885009765599</v>
      </c>
    </row>
    <row r="696" spans="1:28" x14ac:dyDescent="0.25">
      <c r="A696" s="249" t="s">
        <v>487</v>
      </c>
      <c r="B696" s="253">
        <v>263.72879028320301</v>
      </c>
      <c r="C696" s="253">
        <v>302.59255981445301</v>
      </c>
      <c r="D696" s="253">
        <v>352.23825073242199</v>
      </c>
      <c r="E696" s="253">
        <v>351.13717651367199</v>
      </c>
      <c r="F696" s="253">
        <v>366.34793090820301</v>
      </c>
      <c r="G696" s="253">
        <v>368.76159667968801</v>
      </c>
      <c r="H696" s="253">
        <v>374.76626586914102</v>
      </c>
      <c r="I696" s="253">
        <v>382.39471435546898</v>
      </c>
      <c r="J696" s="253">
        <v>385.90115356445301</v>
      </c>
      <c r="K696" s="253">
        <v>392.12625122070301</v>
      </c>
      <c r="L696" s="253">
        <v>398.68222045898398</v>
      </c>
      <c r="M696" s="253">
        <v>403.06192016601602</v>
      </c>
      <c r="N696" s="253">
        <v>409.94515991210898</v>
      </c>
      <c r="O696" s="253">
        <v>412.30630493164102</v>
      </c>
      <c r="P696" s="253">
        <v>418.64147949218801</v>
      </c>
      <c r="Q696" s="253">
        <v>421.60382080078102</v>
      </c>
      <c r="R696" s="253">
        <v>428.44393920898398</v>
      </c>
      <c r="S696" s="253">
        <v>436.35858154296898</v>
      </c>
      <c r="T696" s="253">
        <v>441.71078491210898</v>
      </c>
      <c r="U696" s="253">
        <v>454.05059814453102</v>
      </c>
      <c r="V696" s="253">
        <v>464.07431030273398</v>
      </c>
      <c r="W696" s="253">
        <v>474.87463378906301</v>
      </c>
      <c r="X696" s="253">
        <v>486.72909545898398</v>
      </c>
      <c r="Y696" s="253">
        <v>501.322265625</v>
      </c>
    </row>
    <row r="697" spans="1:28" x14ac:dyDescent="0.25">
      <c r="A697" s="249" t="s">
        <v>516</v>
      </c>
      <c r="B697" s="253">
        <v>674.72277832031295</v>
      </c>
      <c r="C697" s="253">
        <v>755.02398681640602</v>
      </c>
      <c r="D697" s="253">
        <v>832.593017578125</v>
      </c>
      <c r="E697" s="253">
        <v>836.20513916015602</v>
      </c>
      <c r="F697" s="253">
        <v>833.50061035156295</v>
      </c>
      <c r="G697" s="253">
        <v>824.91857910156295</v>
      </c>
      <c r="H697" s="253">
        <v>827.8193359375</v>
      </c>
      <c r="I697" s="253">
        <v>839.91693115234398</v>
      </c>
      <c r="J697" s="253">
        <v>847.8359375</v>
      </c>
      <c r="K697" s="253">
        <v>859.8037109375</v>
      </c>
      <c r="L697" s="253">
        <v>876.880615234375</v>
      </c>
      <c r="M697" s="253">
        <v>891.76544189453102</v>
      </c>
      <c r="N697" s="253">
        <v>911.91369628906295</v>
      </c>
      <c r="O697" s="253">
        <v>924.17352294921898</v>
      </c>
      <c r="P697" s="253">
        <v>939.92272949218795</v>
      </c>
      <c r="Q697" s="253">
        <v>949.55993652343795</v>
      </c>
      <c r="R697" s="253">
        <v>968.06707763671898</v>
      </c>
      <c r="S697" s="253">
        <v>990.18170166015602</v>
      </c>
      <c r="T697" s="253">
        <v>1011.67114257813</v>
      </c>
      <c r="U697" s="253">
        <v>1037.35424804688</v>
      </c>
      <c r="V697" s="253">
        <v>1055.55383300781</v>
      </c>
      <c r="W697" s="253">
        <v>1075.64794921875</v>
      </c>
      <c r="X697" s="253">
        <v>1099.76611328125</v>
      </c>
      <c r="Y697" s="253">
        <v>1128.59497070313</v>
      </c>
    </row>
    <row r="698" spans="1:28" x14ac:dyDescent="0.25">
      <c r="A698" s="249" t="s">
        <v>517</v>
      </c>
      <c r="B698" s="253">
        <v>1.1704622767865699E-2</v>
      </c>
      <c r="C698" s="253">
        <v>1.72001253813505E-2</v>
      </c>
      <c r="D698" s="253">
        <v>2.0739471539855E-2</v>
      </c>
      <c r="E698" s="253">
        <v>2.2715086117386801E-2</v>
      </c>
      <c r="F698" s="253">
        <v>2.5078095495700801E-2</v>
      </c>
      <c r="G698" s="253">
        <v>2.8324941173195801E-2</v>
      </c>
      <c r="H698" s="253">
        <v>3.1410280615091303E-2</v>
      </c>
      <c r="I698" s="253">
        <v>3.5102743655443198E-2</v>
      </c>
      <c r="J698" s="253">
        <v>3.9645586162805599E-2</v>
      </c>
      <c r="K698" s="253">
        <v>4.3348435312509502E-2</v>
      </c>
      <c r="L698" s="253">
        <v>4.6531450003385502E-2</v>
      </c>
      <c r="M698" s="253">
        <v>4.9735426902771003E-2</v>
      </c>
      <c r="N698" s="253">
        <v>5.3442426025867497E-2</v>
      </c>
      <c r="O698" s="253">
        <v>5.6060969829559298E-2</v>
      </c>
      <c r="P698" s="253">
        <v>6.0336232185363797E-2</v>
      </c>
      <c r="Q698" s="253">
        <v>6.3296250998973805E-2</v>
      </c>
      <c r="R698" s="253">
        <v>6.6096656024455996E-2</v>
      </c>
      <c r="S698" s="253">
        <v>6.9950148463249207E-2</v>
      </c>
      <c r="T698" s="253">
        <v>7.2811737656593295E-2</v>
      </c>
      <c r="U698" s="253">
        <v>7.6670221984386402E-2</v>
      </c>
      <c r="V698" s="253">
        <v>8.0276548862457303E-2</v>
      </c>
      <c r="W698" s="253">
        <v>8.4626309573650402E-2</v>
      </c>
      <c r="X698" s="253">
        <v>8.8446177542209597E-2</v>
      </c>
      <c r="Y698" s="253">
        <v>9.2330038547515897E-2</v>
      </c>
    </row>
    <row r="699" spans="1:28" x14ac:dyDescent="0.25">
      <c r="A699" s="249" t="s">
        <v>518</v>
      </c>
      <c r="B699" s="253">
        <v>674.73449707031295</v>
      </c>
      <c r="C699" s="253">
        <v>755.04119873046898</v>
      </c>
      <c r="D699" s="253">
        <v>832.61376953125</v>
      </c>
      <c r="E699" s="253">
        <v>836.22784423828102</v>
      </c>
      <c r="F699" s="253">
        <v>833.52569580078102</v>
      </c>
      <c r="G699" s="253">
        <v>824.94689941406295</v>
      </c>
      <c r="H699" s="253">
        <v>827.85076904296898</v>
      </c>
      <c r="I699" s="253">
        <v>839.95202636718795</v>
      </c>
      <c r="J699" s="253">
        <v>847.87561035156295</v>
      </c>
      <c r="K699" s="253">
        <v>859.84704589843795</v>
      </c>
      <c r="L699" s="253">
        <v>876.92712402343795</v>
      </c>
      <c r="M699" s="253">
        <v>891.815185546875</v>
      </c>
      <c r="N699" s="253">
        <v>911.96716308593795</v>
      </c>
      <c r="O699" s="253">
        <v>924.22961425781295</v>
      </c>
      <c r="P699" s="253">
        <v>939.98309326171898</v>
      </c>
      <c r="Q699" s="253">
        <v>949.62322998046898</v>
      </c>
      <c r="R699" s="253">
        <v>968.13317871093795</v>
      </c>
      <c r="S699" s="253">
        <v>990.25164794921898</v>
      </c>
      <c r="T699" s="253">
        <v>1011.74395751953</v>
      </c>
      <c r="U699" s="253">
        <v>1037.43090820313</v>
      </c>
      <c r="V699" s="253">
        <v>1055.63415527344</v>
      </c>
      <c r="W699" s="253">
        <v>1075.73254394531</v>
      </c>
      <c r="X699" s="253">
        <v>1099.85461425781</v>
      </c>
      <c r="Y699" s="253">
        <v>1128.68725585938</v>
      </c>
    </row>
    <row r="700" spans="1:28" x14ac:dyDescent="0.25">
      <c r="A700" s="249" t="s">
        <v>592</v>
      </c>
      <c r="B700" s="253"/>
      <c r="C700" s="253"/>
      <c r="D700" s="253"/>
      <c r="E700" s="253"/>
      <c r="F700" s="253"/>
      <c r="G700" s="253"/>
      <c r="H700" s="253"/>
      <c r="I700" s="253"/>
      <c r="J700" s="253"/>
      <c r="K700" s="253"/>
      <c r="L700" s="253"/>
      <c r="M700" s="253"/>
      <c r="N700" s="253"/>
      <c r="O700" s="253"/>
      <c r="P700" s="253"/>
      <c r="Q700" s="253"/>
      <c r="R700" s="253"/>
      <c r="S700" s="253"/>
      <c r="T700" s="253"/>
      <c r="U700" s="253"/>
      <c r="V700" s="253"/>
      <c r="W700" s="253"/>
      <c r="X700" s="253"/>
      <c r="Y700" s="253"/>
    </row>
    <row r="701" spans="1:28" x14ac:dyDescent="0.25">
      <c r="A701" s="302" t="s">
        <v>1081</v>
      </c>
      <c r="B701" s="298">
        <v>1.1960935989170374</v>
      </c>
      <c r="C701" s="298">
        <v>1.1960935989170374</v>
      </c>
      <c r="D701" s="298">
        <v>1.1960935989170374</v>
      </c>
      <c r="E701" s="298">
        <v>1.1960935989170374</v>
      </c>
      <c r="F701" s="298">
        <v>1.1960935989170374</v>
      </c>
      <c r="G701" s="298">
        <v>1.1960935989170374</v>
      </c>
      <c r="H701" s="298">
        <v>1.1960935989170374</v>
      </c>
      <c r="I701" s="298">
        <v>1.1960935989170374</v>
      </c>
      <c r="J701" s="298">
        <v>1.1960935989170374</v>
      </c>
      <c r="K701" s="298">
        <v>1.198027460839296</v>
      </c>
      <c r="L701" s="298">
        <v>1.2067298394894606</v>
      </c>
      <c r="M701" s="298">
        <v>1.2415393540901181</v>
      </c>
      <c r="N701" s="298">
        <v>1.244440146973506</v>
      </c>
      <c r="O701" s="298">
        <v>1.2657126281183524</v>
      </c>
      <c r="P701" s="298">
        <v>1.2686134210017406</v>
      </c>
      <c r="Q701" s="298">
        <v>1.2840843163798106</v>
      </c>
      <c r="R701" s="298">
        <v>1.2792496615741635</v>
      </c>
      <c r="S701" s="298">
        <v>1.3034229356023981</v>
      </c>
      <c r="T701" s="298">
        <v>1.3217946238638563</v>
      </c>
      <c r="U701" s="298">
        <v>1.3759427576871011</v>
      </c>
      <c r="V701" s="298">
        <v>1.3943144459485595</v>
      </c>
      <c r="W701" s="299">
        <v>1.4001160317153356</v>
      </c>
      <c r="X701" s="299">
        <v>1.4242893057435699</v>
      </c>
      <c r="Y701" s="299">
        <v>1.4378263391993813</v>
      </c>
      <c r="Z701" s="296">
        <f>Y701+($AI$531-$Y$701)/10</f>
        <v>1.5542937052794432</v>
      </c>
    </row>
    <row r="702" spans="1:28" x14ac:dyDescent="0.25">
      <c r="A702" s="282" t="s">
        <v>311</v>
      </c>
      <c r="B702" s="298">
        <v>8.7353999999999985</v>
      </c>
      <c r="C702" s="298">
        <v>8.7353999999999985</v>
      </c>
      <c r="D702" s="298">
        <v>8.7353999999999985</v>
      </c>
      <c r="E702" s="298">
        <v>8.7353999999999985</v>
      </c>
      <c r="F702" s="298">
        <v>8.7353999999999985</v>
      </c>
      <c r="G702" s="298">
        <v>8.7353999999999985</v>
      </c>
      <c r="H702" s="298">
        <v>8.7353999999999985</v>
      </c>
      <c r="I702" s="298">
        <v>8.7353999999999985</v>
      </c>
      <c r="J702" s="298">
        <v>8.7353999999999985</v>
      </c>
      <c r="K702" s="298">
        <v>8.7353999999999985</v>
      </c>
      <c r="L702" s="298">
        <v>8.7353999999999985</v>
      </c>
      <c r="M702" s="298">
        <v>8.7353999999999985</v>
      </c>
      <c r="N702" s="298">
        <v>8.7353999999999985</v>
      </c>
      <c r="O702" s="298">
        <v>8.7353999999999985</v>
      </c>
      <c r="P702" s="298">
        <v>8.7353999999999985</v>
      </c>
      <c r="Q702" s="298">
        <v>8.7353999999999985</v>
      </c>
      <c r="R702" s="298">
        <v>8.7353999999999985</v>
      </c>
      <c r="S702" s="298">
        <v>8.7353999999999985</v>
      </c>
      <c r="T702" s="298">
        <v>8.7353999999999985</v>
      </c>
      <c r="U702" s="298">
        <v>8.7353999999999985</v>
      </c>
      <c r="V702" s="298">
        <v>8.7353999999999985</v>
      </c>
      <c r="W702" s="299">
        <v>8.7353999999999985</v>
      </c>
      <c r="X702" s="299">
        <v>8.7353999999999985</v>
      </c>
      <c r="Y702" s="299">
        <v>8.7353999999999985</v>
      </c>
      <c r="Z702" s="299">
        <v>8.7353999999999985</v>
      </c>
    </row>
    <row r="703" spans="1:28" x14ac:dyDescent="0.25">
      <c r="A703" s="303" t="s">
        <v>594</v>
      </c>
      <c r="B703" s="300">
        <v>4.78</v>
      </c>
      <c r="C703" s="300">
        <v>4.78</v>
      </c>
      <c r="D703" s="300">
        <v>4.78</v>
      </c>
      <c r="E703" s="300">
        <v>4.78</v>
      </c>
      <c r="F703" s="300">
        <v>4.78</v>
      </c>
      <c r="G703" s="300">
        <v>4.78</v>
      </c>
      <c r="H703" s="300">
        <v>4.78</v>
      </c>
      <c r="I703" s="300">
        <v>4.78</v>
      </c>
      <c r="J703" s="300">
        <v>4.78</v>
      </c>
      <c r="K703" s="300">
        <v>4.78</v>
      </c>
      <c r="L703" s="300">
        <v>4.78</v>
      </c>
      <c r="M703" s="300">
        <v>4.78</v>
      </c>
      <c r="N703" s="300">
        <v>4.78</v>
      </c>
      <c r="O703" s="300">
        <v>4.78</v>
      </c>
      <c r="P703" s="300">
        <v>4.78</v>
      </c>
      <c r="Q703" s="300">
        <v>4.78</v>
      </c>
      <c r="R703" s="300">
        <v>4.78</v>
      </c>
      <c r="S703" s="300">
        <v>4.78</v>
      </c>
      <c r="T703" s="300">
        <v>4.78</v>
      </c>
      <c r="U703" s="300">
        <v>4.78</v>
      </c>
      <c r="V703" s="300">
        <v>4.78</v>
      </c>
      <c r="W703" s="300">
        <v>4.78</v>
      </c>
      <c r="X703" s="300">
        <v>4.78</v>
      </c>
      <c r="Y703" s="300">
        <v>4.78</v>
      </c>
      <c r="Z703" s="300">
        <v>4.78</v>
      </c>
    </row>
    <row r="704" spans="1:28" x14ac:dyDescent="0.25">
      <c r="A704" s="304" t="s">
        <v>595</v>
      </c>
      <c r="B704" s="299" t="e">
        <f t="shared" ref="B704:Z704" si="81">B703*GJ_p_MMBtu</f>
        <v>#NAME?</v>
      </c>
      <c r="C704" s="299" t="e">
        <f t="shared" si="81"/>
        <v>#NAME?</v>
      </c>
      <c r="D704" s="299" t="e">
        <f t="shared" si="81"/>
        <v>#NAME?</v>
      </c>
      <c r="E704" s="299" t="e">
        <f t="shared" si="81"/>
        <v>#NAME?</v>
      </c>
      <c r="F704" s="299" t="e">
        <f t="shared" si="81"/>
        <v>#NAME?</v>
      </c>
      <c r="G704" s="299" t="e">
        <f t="shared" si="81"/>
        <v>#NAME?</v>
      </c>
      <c r="H704" s="299" t="e">
        <f t="shared" si="81"/>
        <v>#NAME?</v>
      </c>
      <c r="I704" s="299" t="e">
        <f t="shared" si="81"/>
        <v>#NAME?</v>
      </c>
      <c r="J704" s="299" t="e">
        <f t="shared" si="81"/>
        <v>#NAME?</v>
      </c>
      <c r="K704" s="299" t="e">
        <f t="shared" si="81"/>
        <v>#NAME?</v>
      </c>
      <c r="L704" s="299" t="e">
        <f t="shared" si="81"/>
        <v>#NAME?</v>
      </c>
      <c r="M704" s="299" t="e">
        <f t="shared" si="81"/>
        <v>#NAME?</v>
      </c>
      <c r="N704" s="299" t="e">
        <f t="shared" si="81"/>
        <v>#NAME?</v>
      </c>
      <c r="O704" s="299" t="e">
        <f t="shared" si="81"/>
        <v>#NAME?</v>
      </c>
      <c r="P704" s="299" t="e">
        <f t="shared" si="81"/>
        <v>#NAME?</v>
      </c>
      <c r="Q704" s="299" t="e">
        <f t="shared" si="81"/>
        <v>#NAME?</v>
      </c>
      <c r="R704" s="299" t="e">
        <f t="shared" si="81"/>
        <v>#NAME?</v>
      </c>
      <c r="S704" s="299" t="e">
        <f t="shared" si="81"/>
        <v>#NAME?</v>
      </c>
      <c r="T704" s="299" t="e">
        <f t="shared" si="81"/>
        <v>#NAME?</v>
      </c>
      <c r="U704" s="299" t="e">
        <f t="shared" si="81"/>
        <v>#NAME?</v>
      </c>
      <c r="V704" s="299" t="e">
        <f t="shared" si="81"/>
        <v>#NAME?</v>
      </c>
      <c r="W704" s="299" t="e">
        <f t="shared" si="81"/>
        <v>#NAME?</v>
      </c>
      <c r="X704" s="299" t="e">
        <f t="shared" si="81"/>
        <v>#NAME?</v>
      </c>
      <c r="Y704" s="299" t="e">
        <f t="shared" si="81"/>
        <v>#NAME?</v>
      </c>
      <c r="Z704" s="299" t="e">
        <f t="shared" si="81"/>
        <v>#NAME?</v>
      </c>
    </row>
    <row r="705" spans="1:26" x14ac:dyDescent="0.25">
      <c r="A705" s="302" t="s">
        <v>596</v>
      </c>
      <c r="B705" s="253"/>
      <c r="C705" s="253"/>
      <c r="D705" s="253"/>
      <c r="E705" s="253"/>
      <c r="F705" s="253"/>
      <c r="G705" s="253"/>
      <c r="H705" s="253"/>
      <c r="I705" s="253"/>
      <c r="J705" s="253"/>
      <c r="K705" s="253"/>
      <c r="L705" s="253"/>
      <c r="M705" s="253"/>
      <c r="N705" s="253"/>
      <c r="O705" s="253"/>
      <c r="P705" s="253"/>
      <c r="Q705" s="253"/>
      <c r="R705" s="253"/>
      <c r="S705" s="253"/>
      <c r="T705" s="253"/>
      <c r="U705" s="253"/>
      <c r="V705" s="253"/>
      <c r="W705" s="253"/>
      <c r="X705" s="253"/>
      <c r="Y705" s="253"/>
      <c r="Z705" s="253"/>
    </row>
    <row r="706" spans="1:26" x14ac:dyDescent="0.25">
      <c r="A706" s="249" t="s">
        <v>519</v>
      </c>
      <c r="B706" s="253"/>
      <c r="C706" s="253"/>
      <c r="D706" s="253"/>
      <c r="E706" s="253" t="s">
        <v>440</v>
      </c>
      <c r="F706" s="253" t="s">
        <v>440</v>
      </c>
      <c r="G706" s="253" t="s">
        <v>440</v>
      </c>
      <c r="H706" s="253" t="s">
        <v>440</v>
      </c>
      <c r="I706" s="253" t="s">
        <v>440</v>
      </c>
      <c r="J706" s="253" t="s">
        <v>440</v>
      </c>
      <c r="K706" s="253" t="s">
        <v>440</v>
      </c>
      <c r="L706" s="253" t="s">
        <v>440</v>
      </c>
      <c r="M706" s="253" t="s">
        <v>440</v>
      </c>
      <c r="N706" s="253" t="s">
        <v>440</v>
      </c>
      <c r="O706" s="253" t="s">
        <v>440</v>
      </c>
      <c r="P706" s="253" t="s">
        <v>440</v>
      </c>
      <c r="Q706" s="253" t="s">
        <v>440</v>
      </c>
      <c r="R706" s="253" t="s">
        <v>440</v>
      </c>
      <c r="S706" s="253" t="s">
        <v>440</v>
      </c>
      <c r="T706" s="253" t="s">
        <v>440</v>
      </c>
      <c r="U706" s="253" t="s">
        <v>440</v>
      </c>
      <c r="V706" s="253" t="s">
        <v>440</v>
      </c>
      <c r="W706" s="253" t="s">
        <v>440</v>
      </c>
      <c r="X706" s="253" t="s">
        <v>440</v>
      </c>
      <c r="Y706" s="253" t="s">
        <v>440</v>
      </c>
    </row>
    <row r="707" spans="1:26" x14ac:dyDescent="0.25">
      <c r="A707" s="249" t="s">
        <v>520</v>
      </c>
      <c r="B707" s="250"/>
      <c r="C707" s="250"/>
      <c r="D707" s="250"/>
      <c r="E707" s="250"/>
      <c r="F707" s="250"/>
      <c r="G707" s="250"/>
      <c r="H707" s="250"/>
      <c r="I707" s="250"/>
      <c r="J707" s="250"/>
      <c r="K707" s="250"/>
      <c r="L707" s="250"/>
      <c r="M707" s="250"/>
      <c r="N707" s="250"/>
      <c r="O707" s="250"/>
      <c r="P707" s="250"/>
      <c r="Q707" s="250"/>
      <c r="R707" s="250"/>
      <c r="S707" s="250"/>
      <c r="T707" s="250"/>
      <c r="U707" s="250"/>
      <c r="V707" s="250"/>
      <c r="W707" s="250"/>
      <c r="X707" s="250"/>
      <c r="Y707" s="250"/>
    </row>
    <row r="708" spans="1:26" x14ac:dyDescent="0.25">
      <c r="A708" s="249" t="s">
        <v>521</v>
      </c>
      <c r="B708" s="250"/>
      <c r="C708" s="250"/>
      <c r="D708" s="250"/>
      <c r="E708" s="250"/>
      <c r="F708" s="250"/>
      <c r="G708" s="250"/>
      <c r="H708" s="250"/>
      <c r="I708" s="250"/>
      <c r="J708" s="250"/>
      <c r="K708" s="250"/>
      <c r="L708" s="250"/>
      <c r="M708" s="250"/>
      <c r="N708" s="250"/>
      <c r="O708" s="250"/>
      <c r="P708" s="250"/>
      <c r="Q708" s="250"/>
      <c r="R708" s="250"/>
      <c r="S708" s="250"/>
      <c r="T708" s="250"/>
      <c r="U708" s="250"/>
      <c r="V708" s="250"/>
      <c r="W708" s="250"/>
      <c r="X708" s="250"/>
      <c r="Y708" s="250"/>
    </row>
    <row r="709" spans="1:26" x14ac:dyDescent="0.25">
      <c r="A709" s="249" t="s">
        <v>522</v>
      </c>
      <c r="B709" s="250"/>
      <c r="C709" s="250"/>
      <c r="D709" s="250"/>
      <c r="E709" s="250"/>
      <c r="F709" s="250"/>
      <c r="G709" s="250"/>
      <c r="H709" s="250"/>
      <c r="I709" s="250"/>
      <c r="J709" s="250"/>
      <c r="K709" s="250"/>
      <c r="L709" s="250"/>
      <c r="M709" s="250"/>
      <c r="N709" s="250"/>
      <c r="O709" s="250"/>
      <c r="P709" s="250"/>
      <c r="Q709" s="250"/>
      <c r="R709" s="250"/>
      <c r="S709" s="250"/>
      <c r="T709" s="250"/>
      <c r="U709" s="250"/>
      <c r="V709" s="250"/>
      <c r="W709" s="250"/>
      <c r="X709" s="250"/>
      <c r="Y709" s="250"/>
    </row>
    <row r="710" spans="1:26" x14ac:dyDescent="0.25">
      <c r="A710" s="249" t="s">
        <v>523</v>
      </c>
      <c r="B710" s="250"/>
      <c r="C710" s="250"/>
      <c r="D710" s="250"/>
      <c r="E710" s="250"/>
      <c r="F710" s="250"/>
      <c r="G710" s="250"/>
      <c r="H710" s="250"/>
      <c r="I710" s="250"/>
      <c r="J710" s="250"/>
      <c r="K710" s="250"/>
      <c r="L710" s="250"/>
      <c r="M710" s="250"/>
      <c r="N710" s="250"/>
      <c r="O710" s="250"/>
      <c r="P710" s="250"/>
      <c r="Q710" s="250"/>
      <c r="R710" s="250"/>
      <c r="S710" s="250"/>
      <c r="T710" s="250"/>
      <c r="U710" s="250"/>
      <c r="V710" s="250"/>
      <c r="W710" s="250"/>
      <c r="X710" s="250"/>
      <c r="Y710" s="250"/>
    </row>
    <row r="711" spans="1:26" x14ac:dyDescent="0.25">
      <c r="A711" s="249" t="s">
        <v>524</v>
      </c>
      <c r="B711" s="250"/>
      <c r="C711" s="250"/>
      <c r="D711" s="250"/>
      <c r="E711" s="250"/>
      <c r="F711" s="250"/>
      <c r="G711" s="250"/>
      <c r="H711" s="250"/>
      <c r="I711" s="250"/>
      <c r="J711" s="250"/>
      <c r="K711" s="250"/>
      <c r="L711" s="250"/>
      <c r="M711" s="250"/>
      <c r="N711" s="250"/>
      <c r="O711" s="250"/>
      <c r="P711" s="250"/>
      <c r="Q711" s="250"/>
      <c r="R711" s="250"/>
      <c r="S711" s="250"/>
      <c r="T711" s="250"/>
      <c r="U711" s="250"/>
      <c r="V711" s="250"/>
      <c r="W711" s="250"/>
      <c r="X711" s="250"/>
      <c r="Y711" s="250"/>
    </row>
    <row r="712" spans="1:26" x14ac:dyDescent="0.25">
      <c r="A712" s="249" t="s">
        <v>525</v>
      </c>
      <c r="B712" s="250"/>
      <c r="C712" s="250"/>
      <c r="D712" s="250"/>
      <c r="E712" s="250"/>
      <c r="F712" s="250"/>
      <c r="G712" s="250"/>
      <c r="H712" s="250"/>
      <c r="I712" s="250"/>
      <c r="J712" s="250"/>
      <c r="K712" s="250"/>
      <c r="L712" s="250"/>
      <c r="M712" s="250"/>
      <c r="N712" s="250"/>
      <c r="O712" s="250"/>
      <c r="P712" s="250"/>
      <c r="Q712" s="250"/>
      <c r="R712" s="250"/>
      <c r="S712" s="250"/>
      <c r="T712" s="250"/>
      <c r="U712" s="250"/>
      <c r="V712" s="250"/>
      <c r="W712" s="250"/>
      <c r="X712" s="250"/>
      <c r="Y712" s="250"/>
    </row>
    <row r="713" spans="1:26" x14ac:dyDescent="0.25">
      <c r="A713" s="249" t="s">
        <v>526</v>
      </c>
      <c r="B713" s="250"/>
      <c r="C713" s="250"/>
      <c r="D713" s="250"/>
      <c r="E713" s="250"/>
      <c r="F713" s="250"/>
      <c r="G713" s="250"/>
      <c r="H713" s="250"/>
      <c r="I713" s="250"/>
      <c r="J713" s="250"/>
      <c r="K713" s="250"/>
      <c r="L713" s="250"/>
      <c r="M713" s="250"/>
      <c r="N713" s="250"/>
      <c r="O713" s="250"/>
      <c r="P713" s="250"/>
      <c r="Q713" s="250"/>
      <c r="R713" s="250"/>
      <c r="S713" s="250"/>
      <c r="T713" s="250"/>
      <c r="U713" s="250"/>
      <c r="V713" s="250"/>
      <c r="W713" s="250"/>
      <c r="X713" s="250"/>
      <c r="Y713" s="250"/>
    </row>
    <row r="714" spans="1:26" x14ac:dyDescent="0.25">
      <c r="A714" s="249" t="s">
        <v>527</v>
      </c>
      <c r="B714" s="250"/>
      <c r="C714" s="250"/>
      <c r="D714" s="250"/>
      <c r="E714" s="250"/>
      <c r="F714" s="250"/>
      <c r="G714" s="250"/>
      <c r="H714" s="250"/>
      <c r="I714" s="250"/>
      <c r="J714" s="250"/>
      <c r="K714" s="250"/>
      <c r="L714" s="250"/>
      <c r="M714" s="250"/>
      <c r="N714" s="250"/>
      <c r="O714" s="250"/>
      <c r="P714" s="250"/>
      <c r="Q714" s="250"/>
      <c r="R714" s="250"/>
      <c r="S714" s="250"/>
      <c r="T714" s="250"/>
      <c r="U714" s="250"/>
      <c r="V714" s="250"/>
      <c r="W714" s="250"/>
      <c r="X714" s="250"/>
      <c r="Y714" s="250"/>
    </row>
    <row r="715" spans="1:26" x14ac:dyDescent="0.25">
      <c r="A715" s="249" t="s">
        <v>532</v>
      </c>
      <c r="B715" s="250"/>
      <c r="C715" s="250"/>
      <c r="D715" s="250"/>
      <c r="E715" s="250"/>
      <c r="F715" s="250"/>
      <c r="G715" s="250"/>
      <c r="H715" s="250"/>
      <c r="I715" s="250"/>
      <c r="J715" s="250"/>
      <c r="K715" s="250"/>
      <c r="L715" s="250"/>
      <c r="M715" s="250"/>
      <c r="N715" s="250"/>
      <c r="O715" s="250"/>
      <c r="P715" s="250"/>
      <c r="Q715" s="250"/>
      <c r="R715" s="250"/>
      <c r="S715" s="250"/>
      <c r="T715" s="250"/>
      <c r="U715" s="250"/>
      <c r="V715" s="250"/>
      <c r="W715" s="250"/>
      <c r="X715" s="250"/>
      <c r="Y715" s="250"/>
    </row>
    <row r="716" spans="1:26" x14ac:dyDescent="0.25">
      <c r="A716" s="249" t="s">
        <v>542</v>
      </c>
      <c r="B716" s="250"/>
      <c r="C716" s="250"/>
      <c r="D716" s="250"/>
      <c r="E716" s="250"/>
      <c r="F716" s="250"/>
      <c r="G716" s="250"/>
      <c r="H716" s="250"/>
      <c r="I716" s="250"/>
      <c r="J716" s="250"/>
      <c r="K716" s="250"/>
      <c r="L716" s="250"/>
      <c r="M716" s="250"/>
      <c r="N716" s="250"/>
      <c r="O716" s="250"/>
      <c r="P716" s="250"/>
      <c r="Q716" s="250"/>
      <c r="R716" s="250"/>
      <c r="S716" s="250"/>
      <c r="T716" s="250"/>
      <c r="U716" s="250"/>
      <c r="V716" s="250"/>
      <c r="W716" s="250"/>
      <c r="X716" s="250"/>
      <c r="Y716" s="250"/>
    </row>
    <row r="717" spans="1:26" x14ac:dyDescent="0.25">
      <c r="A717" s="249" t="s">
        <v>543</v>
      </c>
      <c r="B717" s="250"/>
      <c r="C717" s="250"/>
      <c r="D717" s="250"/>
      <c r="E717" s="250"/>
      <c r="F717" s="250"/>
      <c r="G717" s="250"/>
      <c r="H717" s="250"/>
      <c r="I717" s="250"/>
      <c r="J717" s="250"/>
      <c r="K717" s="250"/>
      <c r="L717" s="250"/>
      <c r="M717" s="250"/>
      <c r="N717" s="250"/>
      <c r="O717" s="250"/>
      <c r="P717" s="250"/>
      <c r="Q717" s="250"/>
      <c r="R717" s="250"/>
      <c r="S717" s="250"/>
      <c r="T717" s="250"/>
      <c r="U717" s="250"/>
      <c r="V717" s="250"/>
      <c r="W717" s="250"/>
      <c r="X717" s="250"/>
      <c r="Y717" s="250"/>
    </row>
    <row r="718" spans="1:26" x14ac:dyDescent="0.25">
      <c r="A718" s="249" t="s">
        <v>544</v>
      </c>
      <c r="B718" s="250"/>
      <c r="C718" s="250"/>
      <c r="D718" s="250"/>
      <c r="E718" s="250"/>
      <c r="F718" s="250"/>
      <c r="G718" s="250"/>
      <c r="H718" s="250"/>
      <c r="I718" s="250"/>
      <c r="J718" s="250"/>
      <c r="K718" s="250"/>
      <c r="L718" s="250"/>
      <c r="M718" s="250"/>
      <c r="N718" s="250"/>
      <c r="O718" s="250"/>
      <c r="P718" s="250"/>
      <c r="Q718" s="250"/>
      <c r="R718" s="250"/>
      <c r="S718" s="250"/>
      <c r="T718" s="250"/>
      <c r="U718" s="250"/>
      <c r="V718" s="250"/>
      <c r="W718" s="250"/>
      <c r="X718" s="250"/>
      <c r="Y718" s="250"/>
    </row>
    <row r="719" spans="1:26" x14ac:dyDescent="0.25">
      <c r="A719" s="249" t="s">
        <v>545</v>
      </c>
      <c r="B719" s="250"/>
      <c r="C719" s="250"/>
      <c r="D719" s="250"/>
      <c r="E719" s="250"/>
      <c r="F719" s="250"/>
      <c r="G719" s="250"/>
      <c r="H719" s="250"/>
      <c r="I719" s="250"/>
      <c r="J719" s="250"/>
      <c r="K719" s="250"/>
      <c r="L719" s="250"/>
      <c r="M719" s="250"/>
      <c r="N719" s="250"/>
      <c r="O719" s="250"/>
      <c r="P719" s="250"/>
      <c r="Q719" s="250"/>
      <c r="R719" s="250"/>
      <c r="S719" s="250"/>
      <c r="T719" s="250"/>
      <c r="U719" s="250"/>
      <c r="V719" s="250"/>
      <c r="W719" s="250"/>
      <c r="X719" s="250"/>
      <c r="Y719" s="250"/>
    </row>
    <row r="720" spans="1:26" x14ac:dyDescent="0.25">
      <c r="A720" s="249" t="s">
        <v>546</v>
      </c>
      <c r="B720" s="250"/>
      <c r="C720" s="250"/>
      <c r="D720" s="250"/>
      <c r="E720" s="250"/>
      <c r="F720" s="250"/>
      <c r="G720" s="250"/>
      <c r="H720" s="250"/>
      <c r="I720" s="250"/>
      <c r="J720" s="250"/>
      <c r="K720" s="250"/>
      <c r="L720" s="250"/>
      <c r="M720" s="250"/>
      <c r="N720" s="250"/>
      <c r="O720" s="250"/>
      <c r="P720" s="250"/>
      <c r="Q720" s="250"/>
      <c r="R720" s="250"/>
      <c r="S720" s="250"/>
      <c r="T720" s="250"/>
      <c r="U720" s="250"/>
      <c r="V720" s="250"/>
      <c r="W720" s="250"/>
      <c r="X720" s="250"/>
      <c r="Y720" s="250"/>
    </row>
    <row r="721" spans="1:25" x14ac:dyDescent="0.25">
      <c r="A721" s="249" t="s">
        <v>547</v>
      </c>
      <c r="B721" s="250"/>
      <c r="C721" s="250"/>
      <c r="D721" s="250"/>
      <c r="E721" s="250"/>
      <c r="F721" s="250"/>
      <c r="G721" s="250"/>
      <c r="H721" s="250"/>
      <c r="I721" s="250"/>
      <c r="J721" s="250"/>
      <c r="K721" s="250"/>
      <c r="L721" s="250"/>
      <c r="M721" s="250"/>
      <c r="N721" s="250"/>
      <c r="O721" s="250"/>
      <c r="P721" s="250"/>
      <c r="Q721" s="250"/>
      <c r="R721" s="250"/>
      <c r="S721" s="250"/>
      <c r="T721" s="250"/>
      <c r="U721" s="250"/>
      <c r="V721" s="250"/>
      <c r="W721" s="250"/>
      <c r="X721" s="250"/>
      <c r="Y721" s="250"/>
    </row>
    <row r="722" spans="1:25" x14ac:dyDescent="0.25">
      <c r="A722" s="249" t="s">
        <v>548</v>
      </c>
      <c r="B722" s="250"/>
      <c r="C722" s="250"/>
      <c r="D722" s="250"/>
      <c r="E722" s="250"/>
      <c r="F722" s="250"/>
      <c r="G722" s="250"/>
      <c r="H722" s="250"/>
      <c r="I722" s="250"/>
      <c r="J722" s="250"/>
      <c r="K722" s="250"/>
      <c r="L722" s="250"/>
      <c r="M722" s="250"/>
      <c r="N722" s="250"/>
      <c r="O722" s="250"/>
      <c r="P722" s="250"/>
      <c r="Q722" s="250"/>
      <c r="R722" s="250"/>
      <c r="S722" s="250"/>
      <c r="T722" s="250"/>
      <c r="U722" s="250"/>
      <c r="V722" s="250"/>
      <c r="W722" s="250"/>
      <c r="X722" s="250"/>
      <c r="Y722" s="250"/>
    </row>
    <row r="723" spans="1:25" x14ac:dyDescent="0.25">
      <c r="A723" s="249" t="s">
        <v>552</v>
      </c>
      <c r="B723" s="250"/>
      <c r="C723" s="250"/>
      <c r="D723" s="250"/>
      <c r="E723" s="250"/>
      <c r="F723" s="250"/>
      <c r="G723" s="250"/>
      <c r="H723" s="250"/>
      <c r="I723" s="250"/>
      <c r="J723" s="250"/>
      <c r="K723" s="250"/>
      <c r="L723" s="250"/>
      <c r="M723" s="250"/>
      <c r="N723" s="250"/>
      <c r="O723" s="250"/>
      <c r="P723" s="250"/>
      <c r="Q723" s="250"/>
      <c r="R723" s="250"/>
      <c r="S723" s="250"/>
      <c r="T723" s="250"/>
      <c r="U723" s="250"/>
      <c r="V723" s="250"/>
      <c r="W723" s="250"/>
      <c r="X723" s="250"/>
      <c r="Y723" s="250"/>
    </row>
    <row r="724" spans="1:25" x14ac:dyDescent="0.25">
      <c r="A724" s="249" t="s">
        <v>553</v>
      </c>
      <c r="B724" s="250"/>
      <c r="C724" s="250"/>
      <c r="D724" s="250"/>
      <c r="E724" s="250"/>
      <c r="F724" s="250"/>
      <c r="G724" s="250"/>
      <c r="H724" s="250"/>
      <c r="I724" s="250"/>
      <c r="J724" s="250"/>
      <c r="K724" s="250"/>
      <c r="L724" s="250"/>
      <c r="M724" s="250"/>
      <c r="N724" s="250"/>
      <c r="O724" s="250"/>
      <c r="P724" s="250"/>
      <c r="Q724" s="250"/>
      <c r="R724" s="250"/>
      <c r="S724" s="250"/>
      <c r="T724" s="250"/>
      <c r="U724" s="250"/>
      <c r="V724" s="250"/>
      <c r="W724" s="250"/>
      <c r="X724" s="250"/>
      <c r="Y724" s="250"/>
    </row>
    <row r="725" spans="1:25" x14ac:dyDescent="0.25">
      <c r="A725" s="249" t="s">
        <v>554</v>
      </c>
      <c r="B725" s="250"/>
      <c r="C725" s="250"/>
      <c r="D725" s="250"/>
      <c r="E725" s="250"/>
      <c r="F725" s="250"/>
      <c r="G725" s="250"/>
      <c r="H725" s="250"/>
      <c r="I725" s="250"/>
      <c r="J725" s="250"/>
      <c r="K725" s="250"/>
      <c r="L725" s="250"/>
      <c r="M725" s="250"/>
      <c r="N725" s="250"/>
      <c r="O725" s="250"/>
      <c r="P725" s="250"/>
      <c r="Q725" s="250"/>
      <c r="R725" s="250"/>
      <c r="S725" s="250"/>
      <c r="T725" s="250"/>
      <c r="U725" s="250"/>
      <c r="V725" s="250"/>
      <c r="W725" s="250"/>
      <c r="X725" s="250"/>
      <c r="Y725" s="250"/>
    </row>
    <row r="726" spans="1:25" x14ac:dyDescent="0.25">
      <c r="A726" s="249" t="s">
        <v>555</v>
      </c>
      <c r="B726" s="250"/>
      <c r="C726" s="250"/>
      <c r="D726" s="250"/>
      <c r="E726" s="250"/>
      <c r="F726" s="250"/>
      <c r="G726" s="250"/>
      <c r="H726" s="250"/>
      <c r="I726" s="250"/>
      <c r="J726" s="250"/>
      <c r="K726" s="250"/>
      <c r="L726" s="250"/>
      <c r="M726" s="250"/>
      <c r="N726" s="250"/>
      <c r="O726" s="250"/>
      <c r="P726" s="250"/>
      <c r="Q726" s="250"/>
      <c r="R726" s="250"/>
      <c r="S726" s="250"/>
      <c r="T726" s="250"/>
      <c r="U726" s="250"/>
      <c r="V726" s="250"/>
      <c r="W726" s="250"/>
      <c r="X726" s="250"/>
      <c r="Y726" s="250"/>
    </row>
    <row r="727" spans="1:25" x14ac:dyDescent="0.25">
      <c r="A727" s="249" t="s">
        <v>556</v>
      </c>
      <c r="B727" s="250"/>
      <c r="C727" s="250"/>
      <c r="D727" s="250"/>
      <c r="E727" s="250"/>
      <c r="F727" s="250"/>
      <c r="G727" s="250"/>
      <c r="H727" s="250"/>
      <c r="I727" s="250"/>
      <c r="J727" s="250"/>
      <c r="K727" s="250"/>
      <c r="L727" s="250"/>
      <c r="M727" s="250"/>
      <c r="N727" s="250"/>
      <c r="O727" s="250"/>
      <c r="P727" s="250"/>
      <c r="Q727" s="250"/>
      <c r="R727" s="250"/>
      <c r="S727" s="250"/>
      <c r="T727" s="250"/>
      <c r="U727" s="250"/>
      <c r="V727" s="250"/>
      <c r="W727" s="250"/>
      <c r="X727" s="250"/>
      <c r="Y727" s="250"/>
    </row>
    <row r="728" spans="1:25" x14ac:dyDescent="0.25">
      <c r="A728" s="249" t="s">
        <v>557</v>
      </c>
      <c r="B728" s="250"/>
      <c r="C728" s="250"/>
      <c r="D728" s="250"/>
      <c r="E728" s="250"/>
      <c r="F728" s="250"/>
      <c r="G728" s="250"/>
      <c r="H728" s="250"/>
      <c r="I728" s="250"/>
      <c r="J728" s="250"/>
      <c r="K728" s="250"/>
      <c r="L728" s="250"/>
      <c r="M728" s="250"/>
      <c r="N728" s="250"/>
      <c r="O728" s="250"/>
      <c r="P728" s="250"/>
      <c r="Q728" s="250"/>
      <c r="R728" s="250"/>
      <c r="S728" s="250"/>
      <c r="T728" s="250"/>
      <c r="U728" s="250"/>
      <c r="V728" s="250"/>
      <c r="W728" s="250"/>
      <c r="X728" s="250"/>
      <c r="Y728" s="250"/>
    </row>
    <row r="729" spans="1:25" x14ac:dyDescent="0.25">
      <c r="A729" s="249" t="s">
        <v>558</v>
      </c>
      <c r="B729" s="250"/>
      <c r="C729" s="250"/>
      <c r="D729" s="250"/>
      <c r="E729" s="250"/>
      <c r="F729" s="250"/>
      <c r="G729" s="250"/>
      <c r="H729" s="250"/>
      <c r="I729" s="250"/>
      <c r="J729" s="250"/>
      <c r="K729" s="250"/>
      <c r="L729" s="250"/>
      <c r="M729" s="250"/>
      <c r="N729" s="250"/>
      <c r="O729" s="250"/>
      <c r="P729" s="250"/>
      <c r="Q729" s="250"/>
      <c r="R729" s="250"/>
      <c r="S729" s="250"/>
      <c r="T729" s="250"/>
      <c r="U729" s="250"/>
      <c r="V729" s="250"/>
      <c r="W729" s="250"/>
      <c r="X729" s="250"/>
      <c r="Y729" s="250"/>
    </row>
    <row r="730" spans="1:25" x14ac:dyDescent="0.25">
      <c r="A730" s="249" t="s">
        <v>559</v>
      </c>
      <c r="B730" s="250"/>
      <c r="C730" s="250"/>
      <c r="D730" s="250"/>
      <c r="E730" s="250"/>
      <c r="F730" s="250"/>
      <c r="G730" s="250"/>
      <c r="H730" s="250"/>
      <c r="I730" s="250"/>
      <c r="J730" s="250"/>
      <c r="K730" s="250"/>
      <c r="L730" s="250"/>
      <c r="M730" s="250"/>
      <c r="N730" s="250"/>
      <c r="O730" s="250"/>
      <c r="P730" s="250"/>
      <c r="Q730" s="250"/>
      <c r="R730" s="250"/>
      <c r="S730" s="250"/>
      <c r="T730" s="250"/>
      <c r="U730" s="250"/>
      <c r="V730" s="250"/>
      <c r="W730" s="250"/>
      <c r="X730" s="250"/>
      <c r="Y730" s="250"/>
    </row>
    <row r="731" spans="1:25" ht="13" thickBot="1" x14ac:dyDescent="0.3">
      <c r="A731" s="254" t="s">
        <v>564</v>
      </c>
      <c r="B731" s="259"/>
      <c r="C731" s="259"/>
      <c r="D731" s="259"/>
      <c r="E731" s="259"/>
      <c r="F731" s="259"/>
      <c r="G731" s="259"/>
      <c r="H731" s="259"/>
      <c r="I731" s="259"/>
      <c r="J731" s="259"/>
      <c r="K731" s="259"/>
      <c r="L731" s="259"/>
      <c r="M731" s="259"/>
      <c r="N731" s="259"/>
      <c r="O731" s="259"/>
      <c r="P731" s="259"/>
      <c r="Q731" s="259"/>
      <c r="R731" s="259"/>
      <c r="S731" s="259"/>
      <c r="T731" s="259"/>
      <c r="U731" s="259"/>
      <c r="V731" s="259"/>
      <c r="W731" s="259"/>
      <c r="X731" s="259"/>
      <c r="Y731" s="259"/>
    </row>
    <row r="732" spans="1:25" x14ac:dyDescent="0.25">
      <c r="A732" s="1637" t="s">
        <v>437</v>
      </c>
      <c r="B732" s="1637"/>
      <c r="C732" s="1637"/>
      <c r="D732" s="1637"/>
      <c r="E732" s="1637"/>
      <c r="F732" s="1637"/>
      <c r="G732" s="1637"/>
      <c r="H732" s="1637"/>
      <c r="I732" s="1637"/>
      <c r="J732" s="1637"/>
      <c r="K732" s="1637"/>
      <c r="L732" s="1637"/>
      <c r="M732" s="1637"/>
      <c r="N732" s="295"/>
      <c r="O732" s="295"/>
      <c r="P732" s="295"/>
      <c r="Q732" s="295"/>
      <c r="R732" s="295"/>
      <c r="S732" s="295"/>
      <c r="T732" s="295"/>
      <c r="U732" s="295"/>
      <c r="V732" s="295"/>
      <c r="W732" s="295"/>
      <c r="X732" s="295"/>
      <c r="Y732" s="295"/>
    </row>
    <row r="733" spans="1:25" x14ac:dyDescent="0.25">
      <c r="A733" s="295" t="s">
        <v>1089</v>
      </c>
      <c r="B733" s="295"/>
      <c r="C733" s="295"/>
      <c r="D733" s="295"/>
      <c r="E733" s="295"/>
      <c r="F733" s="295"/>
      <c r="G733" s="295"/>
      <c r="H733" s="295"/>
      <c r="I733" s="295"/>
      <c r="J733" s="295"/>
      <c r="K733" s="295"/>
      <c r="L733" s="295"/>
      <c r="M733" s="295"/>
      <c r="N733" s="295"/>
      <c r="O733" s="295"/>
      <c r="P733" s="295"/>
      <c r="Q733" s="295"/>
      <c r="R733" s="295"/>
      <c r="S733" s="295"/>
      <c r="T733" s="295"/>
      <c r="U733" s="295"/>
      <c r="V733" s="295"/>
      <c r="W733" s="295"/>
      <c r="X733" s="295"/>
      <c r="Y733" s="295"/>
    </row>
    <row r="736" spans="1:25" ht="13.5" thickBot="1" x14ac:dyDescent="0.35">
      <c r="A736" s="1635" t="s">
        <v>565</v>
      </c>
      <c r="B736" s="1636"/>
      <c r="C736" s="1636"/>
      <c r="D736" s="260"/>
      <c r="E736" s="260"/>
      <c r="F736" s="260"/>
      <c r="G736" s="260"/>
      <c r="H736" s="260"/>
      <c r="I736" s="260"/>
      <c r="J736" s="260"/>
    </row>
    <row r="737" spans="1:10" ht="50.5" thickTop="1" x14ac:dyDescent="0.25">
      <c r="A737" s="261"/>
      <c r="B737" s="262" t="s">
        <v>566</v>
      </c>
      <c r="C737" s="262" t="s">
        <v>567</v>
      </c>
      <c r="D737" s="262" t="s">
        <v>568</v>
      </c>
      <c r="E737" s="262" t="s">
        <v>590</v>
      </c>
      <c r="F737" s="263"/>
      <c r="G737" s="263"/>
      <c r="H737" s="263"/>
      <c r="I737" s="263"/>
      <c r="J737" s="264"/>
    </row>
    <row r="738" spans="1:10" x14ac:dyDescent="0.25">
      <c r="A738" s="265"/>
      <c r="B738" s="266"/>
      <c r="C738" s="266"/>
      <c r="D738" s="266"/>
      <c r="E738" s="266"/>
      <c r="F738" s="266"/>
      <c r="G738" s="266"/>
      <c r="H738" s="266"/>
      <c r="I738" s="266"/>
      <c r="J738" s="267"/>
    </row>
    <row r="739" spans="1:10" x14ac:dyDescent="0.25">
      <c r="A739" s="265"/>
      <c r="B739" s="266"/>
      <c r="C739" s="266"/>
      <c r="D739" s="266"/>
      <c r="E739" s="266"/>
      <c r="F739" s="266"/>
      <c r="G739" s="266"/>
      <c r="H739" s="266"/>
      <c r="I739" s="266"/>
      <c r="J739" s="267"/>
    </row>
    <row r="740" spans="1:10" x14ac:dyDescent="0.25">
      <c r="A740" s="265" t="s">
        <v>569</v>
      </c>
      <c r="B740" s="277">
        <v>1.0439774739816527</v>
      </c>
      <c r="C740" s="277">
        <v>1.0284486209328481</v>
      </c>
      <c r="D740" s="277">
        <v>1.0094828736442827</v>
      </c>
      <c r="E740" s="277">
        <f t="shared" ref="E740:E747" si="82">F752/E752</f>
        <v>1.0704312355553662</v>
      </c>
      <c r="F740" s="266"/>
      <c r="G740" s="266"/>
      <c r="H740" s="266"/>
      <c r="I740" s="266"/>
      <c r="J740" s="267"/>
    </row>
    <row r="741" spans="1:10" x14ac:dyDescent="0.25">
      <c r="A741" s="265" t="s">
        <v>570</v>
      </c>
      <c r="B741" s="266">
        <v>1.2097805877102306</v>
      </c>
      <c r="C741" s="266">
        <v>1.1729343042703535</v>
      </c>
      <c r="D741" s="266">
        <v>1.0576447680901178</v>
      </c>
      <c r="E741" s="266">
        <f t="shared" si="82"/>
        <v>1.1340871534488071</v>
      </c>
      <c r="F741" s="266"/>
      <c r="G741" s="266"/>
      <c r="H741" s="266"/>
      <c r="I741" s="266"/>
      <c r="J741" s="267"/>
    </row>
    <row r="742" spans="1:10" x14ac:dyDescent="0.25">
      <c r="A742" s="265" t="s">
        <v>571</v>
      </c>
      <c r="B742" s="273">
        <v>1.1697889782905726</v>
      </c>
      <c r="C742" s="273">
        <v>1.1485262991479412</v>
      </c>
      <c r="D742" s="273">
        <v>1.049508766382647</v>
      </c>
      <c r="E742" s="273">
        <f t="shared" si="82"/>
        <v>1.1040561955262993</v>
      </c>
      <c r="F742" s="266"/>
      <c r="G742" s="266"/>
      <c r="H742" s="266"/>
      <c r="I742" s="266"/>
      <c r="J742" s="267"/>
    </row>
    <row r="743" spans="1:10" x14ac:dyDescent="0.25">
      <c r="A743" s="265" t="s">
        <v>572</v>
      </c>
      <c r="B743" s="266">
        <v>1.1587647303602575</v>
      </c>
      <c r="C743" s="266">
        <v>1.0854096786599328</v>
      </c>
      <c r="D743" s="266">
        <v>1.0284698928866443</v>
      </c>
      <c r="E743" s="266">
        <f t="shared" si="82"/>
        <v>1.363594657351775</v>
      </c>
      <c r="F743" s="266"/>
      <c r="G743" s="266"/>
      <c r="H743" s="266"/>
      <c r="I743" s="266"/>
      <c r="J743" s="267"/>
    </row>
    <row r="744" spans="1:10" x14ac:dyDescent="0.25">
      <c r="A744" s="265" t="s">
        <v>573</v>
      </c>
      <c r="B744" s="279">
        <v>1.1587647303602575</v>
      </c>
      <c r="C744" s="279">
        <v>1.0854096786599328</v>
      </c>
      <c r="D744" s="279">
        <v>1.0284698928866443</v>
      </c>
      <c r="E744" s="279">
        <f t="shared" si="82"/>
        <v>1.3635946573517748</v>
      </c>
      <c r="F744" s="266"/>
      <c r="G744" s="266"/>
      <c r="H744" s="266"/>
      <c r="I744" s="266"/>
      <c r="J744" s="267"/>
    </row>
    <row r="745" spans="1:10" x14ac:dyDescent="0.25">
      <c r="A745" s="265" t="s">
        <v>574</v>
      </c>
      <c r="B745" s="275">
        <v>0.99410318905494366</v>
      </c>
      <c r="C745" s="275">
        <v>1.0095287120834378</v>
      </c>
      <c r="D745" s="275">
        <v>1.0031762373611459</v>
      </c>
      <c r="E745" s="275">
        <f t="shared" si="82"/>
        <v>0.97316968165904427</v>
      </c>
      <c r="F745" s="266"/>
      <c r="G745" s="266"/>
      <c r="H745" s="266"/>
      <c r="I745" s="266"/>
      <c r="J745" s="267"/>
    </row>
    <row r="746" spans="1:10" x14ac:dyDescent="0.25">
      <c r="A746" s="265" t="s">
        <v>575</v>
      </c>
      <c r="B746" s="297">
        <v>1.0099752422488564</v>
      </c>
      <c r="C746" s="297">
        <v>1.0050974522479115</v>
      </c>
      <c r="D746" s="297">
        <v>1.0016991507493038</v>
      </c>
      <c r="E746" s="297">
        <f t="shared" si="82"/>
        <v>0.99922998787640482</v>
      </c>
      <c r="F746" s="266"/>
      <c r="G746" s="266"/>
      <c r="H746" s="266"/>
      <c r="I746" s="266"/>
      <c r="J746" s="267"/>
    </row>
    <row r="747" spans="1:10" x14ac:dyDescent="0.25">
      <c r="A747" s="265" t="s">
        <v>312</v>
      </c>
      <c r="B747" s="281">
        <v>1.0099752422488564</v>
      </c>
      <c r="C747" s="281">
        <v>1.0050974522479115</v>
      </c>
      <c r="D747" s="281">
        <v>1.0016991507493038</v>
      </c>
      <c r="E747" s="281">
        <f t="shared" si="82"/>
        <v>0.99922998787640471</v>
      </c>
      <c r="F747" s="266"/>
      <c r="G747" s="266"/>
      <c r="H747" s="266"/>
      <c r="I747" s="266"/>
      <c r="J747" s="267"/>
    </row>
    <row r="748" spans="1:10" x14ac:dyDescent="0.25">
      <c r="A748" s="265"/>
      <c r="B748" s="266"/>
      <c r="C748" s="266"/>
      <c r="D748" s="266"/>
      <c r="E748" s="266"/>
      <c r="F748" s="266"/>
      <c r="G748" s="266"/>
      <c r="H748" s="266"/>
      <c r="I748" s="266"/>
      <c r="J748" s="267"/>
    </row>
    <row r="749" spans="1:10" x14ac:dyDescent="0.25">
      <c r="A749" s="265"/>
      <c r="B749" s="266"/>
      <c r="C749" s="266"/>
      <c r="D749" s="266"/>
      <c r="E749" s="1634" t="s">
        <v>576</v>
      </c>
      <c r="F749" s="1634"/>
      <c r="G749" s="1634"/>
      <c r="H749" s="1634"/>
      <c r="I749" s="1634"/>
      <c r="J749" s="268"/>
    </row>
    <row r="750" spans="1:10" x14ac:dyDescent="0.25">
      <c r="A750" s="265" t="s">
        <v>577</v>
      </c>
      <c r="B750" s="266"/>
      <c r="C750" s="266" t="s">
        <v>578</v>
      </c>
      <c r="D750" s="266" t="s">
        <v>578</v>
      </c>
      <c r="E750" s="266"/>
      <c r="F750" s="266"/>
      <c r="G750" s="266"/>
      <c r="H750" s="266"/>
      <c r="I750" s="266"/>
      <c r="J750" s="267"/>
    </row>
    <row r="751" spans="1:10" x14ac:dyDescent="0.25">
      <c r="A751" s="265"/>
      <c r="B751" s="266" t="s">
        <v>1049</v>
      </c>
      <c r="C751" s="266">
        <v>2000</v>
      </c>
      <c r="D751" s="266">
        <v>2005</v>
      </c>
      <c r="E751" s="266">
        <v>2020</v>
      </c>
      <c r="F751" s="266">
        <v>2035</v>
      </c>
      <c r="G751" s="266">
        <v>2050</v>
      </c>
      <c r="H751" s="266">
        <v>2065</v>
      </c>
      <c r="I751" s="266">
        <v>2080</v>
      </c>
      <c r="J751" s="267"/>
    </row>
    <row r="752" spans="1:10" x14ac:dyDescent="0.25">
      <c r="A752" s="265" t="s">
        <v>569</v>
      </c>
      <c r="B752" s="266" t="s">
        <v>579</v>
      </c>
      <c r="C752" s="266">
        <v>25.276500000000002</v>
      </c>
      <c r="D752" s="266">
        <v>25.071000000000002</v>
      </c>
      <c r="E752" s="266">
        <v>24.427484559</v>
      </c>
      <c r="F752" s="266">
        <v>26.147942478000001</v>
      </c>
      <c r="G752" s="266">
        <v>27.297862937999998</v>
      </c>
      <c r="H752" s="266">
        <v>28.074449492999999</v>
      </c>
      <c r="I752" s="266">
        <v>29.9967939</v>
      </c>
      <c r="J752" s="267"/>
    </row>
    <row r="753" spans="1:10" x14ac:dyDescent="0.25">
      <c r="A753" s="265" t="s">
        <v>570</v>
      </c>
      <c r="B753" s="266" t="s">
        <v>580</v>
      </c>
      <c r="C753" s="266">
        <v>3.83</v>
      </c>
      <c r="D753" s="266">
        <v>2.88</v>
      </c>
      <c r="E753" s="266">
        <v>3.1020351176470586</v>
      </c>
      <c r="F753" s="266">
        <v>3.5179781764705877</v>
      </c>
      <c r="G753" s="266">
        <v>4.2559817058823528</v>
      </c>
      <c r="H753" s="266">
        <v>4.9919869411764699</v>
      </c>
      <c r="I753" s="266">
        <v>5.7211905294117642</v>
      </c>
      <c r="J753" s="267"/>
    </row>
    <row r="754" spans="1:10" x14ac:dyDescent="0.25">
      <c r="A754" s="265" t="s">
        <v>571</v>
      </c>
      <c r="B754" s="266" t="s">
        <v>580</v>
      </c>
      <c r="C754" s="266">
        <v>4.333333333333333</v>
      </c>
      <c r="D754" s="266">
        <v>3.2058823529411766</v>
      </c>
      <c r="E754" s="266">
        <v>4.0727964705882354</v>
      </c>
      <c r="F754" s="266">
        <v>4.4965961764705868</v>
      </c>
      <c r="G754" s="266">
        <v>5.2600686470588229</v>
      </c>
      <c r="H754" s="266">
        <v>6.0413271764705883</v>
      </c>
      <c r="I754" s="266">
        <v>6.8262844117647052</v>
      </c>
      <c r="J754" s="267"/>
    </row>
    <row r="755" spans="1:10" x14ac:dyDescent="0.25">
      <c r="A755" s="265" t="s">
        <v>572</v>
      </c>
      <c r="B755" s="266" t="s">
        <v>581</v>
      </c>
      <c r="C755" s="266">
        <v>28.35</v>
      </c>
      <c r="D755" s="266">
        <v>23.27</v>
      </c>
      <c r="E755" s="266">
        <v>17.294973600000002</v>
      </c>
      <c r="F755" s="266">
        <v>23.583333599999996</v>
      </c>
      <c r="G755" s="266">
        <v>27.327535199999996</v>
      </c>
      <c r="H755" s="266">
        <v>29.661571199999997</v>
      </c>
      <c r="I755" s="266"/>
      <c r="J755" s="267"/>
    </row>
    <row r="756" spans="1:10" x14ac:dyDescent="0.25">
      <c r="A756" s="265" t="s">
        <v>573</v>
      </c>
      <c r="B756" s="266" t="s">
        <v>582</v>
      </c>
      <c r="C756" s="266">
        <v>1.5176666666666667</v>
      </c>
      <c r="D756" s="266">
        <v>1.2925714285714285</v>
      </c>
      <c r="E756" s="266">
        <v>0.93587519480519499</v>
      </c>
      <c r="F756" s="266">
        <v>1.2761544155844153</v>
      </c>
      <c r="G756" s="266">
        <v>1.4787627272727271</v>
      </c>
      <c r="H756" s="266">
        <v>1.6050633766233764</v>
      </c>
      <c r="I756" s="266"/>
      <c r="J756" s="267"/>
    </row>
    <row r="757" spans="1:10" x14ac:dyDescent="0.25">
      <c r="A757" s="265" t="s">
        <v>574</v>
      </c>
      <c r="B757" s="266" t="s">
        <v>583</v>
      </c>
      <c r="C757" s="266">
        <v>6.9</v>
      </c>
      <c r="D757" s="266">
        <v>6.4</v>
      </c>
      <c r="E757" s="266">
        <v>6.9130361604720001</v>
      </c>
      <c r="F757" s="266">
        <v>6.7275571995839982</v>
      </c>
      <c r="G757" s="266">
        <v>6.6878860666559987</v>
      </c>
      <c r="H757" s="266">
        <v>6.7516130074319989</v>
      </c>
      <c r="I757" s="266">
        <v>6.8294477356799987</v>
      </c>
      <c r="J757" s="267"/>
    </row>
    <row r="758" spans="1:10" x14ac:dyDescent="0.25">
      <c r="A758" s="265" t="s">
        <v>575</v>
      </c>
      <c r="B758" s="266" t="s">
        <v>584</v>
      </c>
      <c r="C758" s="266"/>
      <c r="D758" s="266"/>
      <c r="E758" s="266">
        <v>3.8637053999999993</v>
      </c>
      <c r="F758" s="266">
        <v>3.8607302999999993</v>
      </c>
      <c r="G758" s="266">
        <v>3.8992420199999995</v>
      </c>
      <c r="H758" s="266">
        <v>3.9191182199999997</v>
      </c>
      <c r="I758" s="266">
        <v>4.4580291000000001</v>
      </c>
      <c r="J758" s="267"/>
    </row>
    <row r="759" spans="1:10" x14ac:dyDescent="0.25">
      <c r="A759" s="265" t="s">
        <v>312</v>
      </c>
      <c r="B759" s="266" t="s">
        <v>584</v>
      </c>
      <c r="C759" s="266"/>
      <c r="D759" s="266"/>
      <c r="E759" s="266">
        <v>19.318526999999996</v>
      </c>
      <c r="F759" s="266">
        <v>19.303651499999994</v>
      </c>
      <c r="G759" s="266">
        <v>19.496210099999995</v>
      </c>
      <c r="H759" s="266">
        <v>19.595591099999996</v>
      </c>
      <c r="I759" s="266">
        <v>22.290145499999998</v>
      </c>
      <c r="J759" s="267"/>
    </row>
    <row r="760" spans="1:10" x14ac:dyDescent="0.25">
      <c r="A760" s="265"/>
      <c r="B760" s="266"/>
      <c r="C760" s="266"/>
      <c r="D760" s="266"/>
      <c r="E760" s="266"/>
      <c r="F760" s="266"/>
      <c r="G760" s="266"/>
      <c r="H760" s="266"/>
      <c r="I760" s="266"/>
      <c r="J760" s="267"/>
    </row>
    <row r="761" spans="1:10" ht="37.5" x14ac:dyDescent="0.25">
      <c r="A761" s="269" t="s">
        <v>585</v>
      </c>
      <c r="B761" s="266" t="s">
        <v>579</v>
      </c>
      <c r="C761" s="266"/>
      <c r="D761" s="266"/>
      <c r="E761" s="266">
        <v>76.455732879999985</v>
      </c>
      <c r="F761" s="266">
        <v>76.404561159999986</v>
      </c>
      <c r="G761" s="266">
        <v>77.066962743999994</v>
      </c>
      <c r="H761" s="266">
        <v>77.40883338399999</v>
      </c>
      <c r="I761" s="266">
        <v>86.678100520000001</v>
      </c>
      <c r="J761" s="267"/>
    </row>
    <row r="762" spans="1:10" ht="13" thickBot="1" x14ac:dyDescent="0.3">
      <c r="A762" s="270"/>
      <c r="B762" s="271">
        <v>17.2</v>
      </c>
      <c r="C762" s="271" t="s">
        <v>586</v>
      </c>
      <c r="D762" s="271"/>
      <c r="E762" s="271"/>
      <c r="F762" s="271"/>
      <c r="G762" s="271"/>
      <c r="H762" s="271"/>
      <c r="I762" s="271"/>
      <c r="J762" s="272"/>
    </row>
    <row r="763" spans="1:10" ht="13" thickTop="1" x14ac:dyDescent="0.25"/>
    <row r="764" spans="1:10" x14ac:dyDescent="0.25">
      <c r="A764" s="463" t="s">
        <v>813</v>
      </c>
    </row>
    <row r="765" spans="1:10" x14ac:dyDescent="0.25">
      <c r="A765" t="s">
        <v>807</v>
      </c>
    </row>
    <row r="766" spans="1:10" x14ac:dyDescent="0.25">
      <c r="A766" t="s">
        <v>808</v>
      </c>
    </row>
    <row r="767" spans="1:10" x14ac:dyDescent="0.25">
      <c r="A767" t="s">
        <v>809</v>
      </c>
    </row>
    <row r="769" spans="1:27" x14ac:dyDescent="0.25">
      <c r="A769" t="s">
        <v>447</v>
      </c>
    </row>
    <row r="770" spans="1:27" x14ac:dyDescent="0.25">
      <c r="A770" t="s">
        <v>722</v>
      </c>
    </row>
    <row r="773" spans="1:27" x14ac:dyDescent="0.25">
      <c r="AA773" t="s">
        <v>810</v>
      </c>
    </row>
    <row r="774" spans="1:27" x14ac:dyDescent="0.25">
      <c r="B774" t="s">
        <v>453</v>
      </c>
      <c r="C774" t="s">
        <v>454</v>
      </c>
      <c r="D774" t="s">
        <v>455</v>
      </c>
      <c r="E774" t="s">
        <v>456</v>
      </c>
      <c r="F774" t="s">
        <v>457</v>
      </c>
      <c r="G774" t="s">
        <v>458</v>
      </c>
      <c r="H774" t="s">
        <v>459</v>
      </c>
      <c r="I774" t="s">
        <v>460</v>
      </c>
      <c r="J774" t="s">
        <v>461</v>
      </c>
      <c r="K774" t="s">
        <v>462</v>
      </c>
      <c r="L774" t="s">
        <v>463</v>
      </c>
      <c r="M774" t="s">
        <v>464</v>
      </c>
      <c r="N774" t="s">
        <v>465</v>
      </c>
      <c r="O774" t="s">
        <v>466</v>
      </c>
      <c r="P774" t="s">
        <v>467</v>
      </c>
      <c r="Q774" t="s">
        <v>468</v>
      </c>
      <c r="R774" t="s">
        <v>469</v>
      </c>
      <c r="S774" t="s">
        <v>470</v>
      </c>
      <c r="T774" t="s">
        <v>471</v>
      </c>
      <c r="U774" t="s">
        <v>472</v>
      </c>
      <c r="V774" t="s">
        <v>604</v>
      </c>
      <c r="W774" t="s">
        <v>605</v>
      </c>
      <c r="X774" t="s">
        <v>606</v>
      </c>
      <c r="Y774" t="s">
        <v>607</v>
      </c>
      <c r="Z774" t="s">
        <v>608</v>
      </c>
      <c r="AA774" t="s">
        <v>608</v>
      </c>
    </row>
    <row r="777" spans="1:27" x14ac:dyDescent="0.25">
      <c r="A777" t="s">
        <v>473</v>
      </c>
    </row>
    <row r="778" spans="1:27" x14ac:dyDescent="0.25">
      <c r="A778" t="s">
        <v>609</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610</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510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479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480</v>
      </c>
    </row>
    <row r="784" spans="1:27" x14ac:dyDescent="0.25">
      <c r="A784" t="s">
        <v>609</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610</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723</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510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479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612</v>
      </c>
    </row>
    <row r="791" spans="1:27" x14ac:dyDescent="0.25">
      <c r="A791" t="s">
        <v>609</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610</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611</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613</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614</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615</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616</v>
      </c>
      <c r="B797" t="s">
        <v>788</v>
      </c>
      <c r="C797" t="s">
        <v>788</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788</v>
      </c>
    </row>
    <row r="798" spans="1:27" x14ac:dyDescent="0.25">
      <c r="A798" t="s">
        <v>479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487</v>
      </c>
    </row>
    <row r="801" spans="1:27" x14ac:dyDescent="0.25">
      <c r="A801" t="s">
        <v>617</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618</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619</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620</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724</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611</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622</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479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623</v>
      </c>
    </row>
    <row r="811" spans="1:27" x14ac:dyDescent="0.25">
      <c r="A811" t="s">
        <v>610</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611</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510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624</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625</v>
      </c>
    </row>
    <row r="817" spans="1:27" x14ac:dyDescent="0.25">
      <c r="A817" t="s">
        <v>609</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618</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619</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626</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610</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611</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510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614</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627</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616</v>
      </c>
      <c r="B826" t="s">
        <v>788</v>
      </c>
      <c r="C826" t="s">
        <v>788</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788</v>
      </c>
    </row>
    <row r="827" spans="1:27" x14ac:dyDescent="0.25">
      <c r="A827" t="s">
        <v>479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513</v>
      </c>
    </row>
    <row r="830" spans="1:27" x14ac:dyDescent="0.25">
      <c r="A830" t="s">
        <v>725</v>
      </c>
    </row>
    <row r="831" spans="1:27" x14ac:dyDescent="0.25">
      <c r="A831" t="s">
        <v>473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480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515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487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516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629</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518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726</v>
      </c>
    </row>
    <row r="841" spans="1:27" x14ac:dyDescent="0.25">
      <c r="A841" t="s">
        <v>473</v>
      </c>
    </row>
    <row r="842" spans="1:27" x14ac:dyDescent="0.25">
      <c r="A842" t="s">
        <v>609</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610</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510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479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480</v>
      </c>
    </row>
    <row r="848" spans="1:27" x14ac:dyDescent="0.25">
      <c r="A848" t="s">
        <v>609</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610</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723</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510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479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612</v>
      </c>
    </row>
    <row r="855" spans="1:27" x14ac:dyDescent="0.25">
      <c r="A855" t="s">
        <v>609</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610</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611</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613</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614</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615</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616</v>
      </c>
      <c r="B861" t="s">
        <v>788</v>
      </c>
      <c r="C861" t="s">
        <v>788</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788</v>
      </c>
    </row>
    <row r="862" spans="1:27" x14ac:dyDescent="0.25">
      <c r="A862" t="s">
        <v>479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305" t="s">
        <v>487</v>
      </c>
      <c r="B864" s="305"/>
      <c r="C864" s="305"/>
      <c r="D864" s="305"/>
      <c r="E864" s="305"/>
      <c r="F864" s="305"/>
      <c r="G864" s="305"/>
      <c r="H864" s="305"/>
      <c r="I864" s="305"/>
      <c r="J864" s="305"/>
      <c r="K864" s="305"/>
      <c r="L864" s="305"/>
      <c r="M864" s="305"/>
      <c r="N864" s="305"/>
      <c r="O864" s="305"/>
      <c r="P864" s="305"/>
      <c r="Q864" s="305"/>
      <c r="R864" s="305"/>
      <c r="S864" s="305"/>
      <c r="T864" s="305"/>
      <c r="U864" s="305"/>
      <c r="V864" s="305"/>
      <c r="W864" s="305"/>
      <c r="X864" s="305"/>
      <c r="Y864" s="305"/>
      <c r="Z864" s="305"/>
    </row>
    <row r="865" spans="1:27" x14ac:dyDescent="0.25">
      <c r="A865" t="s">
        <v>617</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618</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619</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620</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724</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611</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622</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479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623</v>
      </c>
    </row>
    <row r="875" spans="1:27" x14ac:dyDescent="0.25">
      <c r="A875" t="s">
        <v>610</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611</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510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624</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625</v>
      </c>
    </row>
    <row r="881" spans="1:27" x14ac:dyDescent="0.25">
      <c r="A881" t="s">
        <v>609</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618</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619</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626</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610</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611</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510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614</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627</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616</v>
      </c>
      <c r="B890" t="s">
        <v>788</v>
      </c>
      <c r="C890" t="s">
        <v>788</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788</v>
      </c>
    </row>
    <row r="891" spans="1:27" x14ac:dyDescent="0.25">
      <c r="A891" t="s">
        <v>479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513</v>
      </c>
    </row>
    <row r="894" spans="1:27" x14ac:dyDescent="0.25">
      <c r="A894" t="s">
        <v>727</v>
      </c>
    </row>
    <row r="895" spans="1:27" x14ac:dyDescent="0.25">
      <c r="A895" t="s">
        <v>473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480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515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487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516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629</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518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630</v>
      </c>
    </row>
    <row r="906" spans="1:27" x14ac:dyDescent="0.25">
      <c r="A906" t="s">
        <v>631</v>
      </c>
    </row>
    <row r="907" spans="1:27" x14ac:dyDescent="0.25">
      <c r="A907" t="s">
        <v>632</v>
      </c>
    </row>
    <row r="908" spans="1:27" x14ac:dyDescent="0.25">
      <c r="A908" t="s">
        <v>728</v>
      </c>
    </row>
    <row r="909" spans="1:27" x14ac:dyDescent="0.25">
      <c r="A909" t="s">
        <v>729</v>
      </c>
    </row>
    <row r="910" spans="1:27" x14ac:dyDescent="0.25">
      <c r="A910" t="s">
        <v>649</v>
      </c>
    </row>
    <row r="911" spans="1:27" x14ac:dyDescent="0.25">
      <c r="A911" t="s">
        <v>650</v>
      </c>
    </row>
    <row r="912" spans="1:27" x14ac:dyDescent="0.25">
      <c r="A912" t="s">
        <v>651</v>
      </c>
    </row>
    <row r="913" spans="1:1" x14ac:dyDescent="0.25">
      <c r="A913" t="s">
        <v>652</v>
      </c>
    </row>
    <row r="914" spans="1:1" x14ac:dyDescent="0.25">
      <c r="A914" t="s">
        <v>653</v>
      </c>
    </row>
    <row r="915" spans="1:1" x14ac:dyDescent="0.25">
      <c r="A915" t="s">
        <v>654</v>
      </c>
    </row>
    <row r="916" spans="1:1" x14ac:dyDescent="0.25">
      <c r="A916" t="s">
        <v>545</v>
      </c>
    </row>
    <row r="917" spans="1:1" x14ac:dyDescent="0.25">
      <c r="A917" t="s">
        <v>730</v>
      </c>
    </row>
    <row r="918" spans="1:1" x14ac:dyDescent="0.25">
      <c r="A918" t="s">
        <v>731</v>
      </c>
    </row>
    <row r="919" spans="1:1" x14ac:dyDescent="0.25">
      <c r="A919" t="s">
        <v>732</v>
      </c>
    </row>
    <row r="920" spans="1:1" x14ac:dyDescent="0.25">
      <c r="A920" t="s">
        <v>733</v>
      </c>
    </row>
    <row r="921" spans="1:1" x14ac:dyDescent="0.25">
      <c r="A921" t="s">
        <v>734</v>
      </c>
    </row>
    <row r="922" spans="1:1" x14ac:dyDescent="0.25">
      <c r="A922" t="s">
        <v>735</v>
      </c>
    </row>
    <row r="923" spans="1:1" x14ac:dyDescent="0.25">
      <c r="A923" t="s">
        <v>736</v>
      </c>
    </row>
    <row r="924" spans="1:1" x14ac:dyDescent="0.25">
      <c r="A924" t="s">
        <v>737</v>
      </c>
    </row>
    <row r="925" spans="1:1" x14ac:dyDescent="0.25">
      <c r="A925" t="s">
        <v>738</v>
      </c>
    </row>
    <row r="926" spans="1:1" x14ac:dyDescent="0.25">
      <c r="A926" t="s">
        <v>739</v>
      </c>
    </row>
    <row r="927" spans="1:1" x14ac:dyDescent="0.25">
      <c r="A927" t="s">
        <v>811</v>
      </c>
    </row>
    <row r="928" spans="1:1" x14ac:dyDescent="0.25">
      <c r="A928" t="s">
        <v>741</v>
      </c>
    </row>
    <row r="929" spans="1:1" x14ac:dyDescent="0.25">
      <c r="A929" t="s">
        <v>812</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2"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4"/>
  <sheetViews>
    <sheetView topLeftCell="A89" zoomScale="85" zoomScaleNormal="85" workbookViewId="0">
      <selection activeCell="D94" sqref="D94:E118"/>
    </sheetView>
  </sheetViews>
  <sheetFormatPr defaultRowHeight="12.5" x14ac:dyDescent="0.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17.1796875" customWidth="1"/>
    <col min="13" max="14" width="18.7265625" customWidth="1"/>
    <col min="15" max="15" width="8.54296875" customWidth="1"/>
    <col min="16" max="18" width="18.7265625" customWidth="1"/>
    <col min="19" max="20" width="13.453125" customWidth="1"/>
    <col min="23" max="23" width="12.453125" bestFit="1" customWidth="1"/>
  </cols>
  <sheetData>
    <row r="1" spans="1:23" ht="14" x14ac:dyDescent="0.3">
      <c r="A1" s="539" t="s">
        <v>301</v>
      </c>
      <c r="B1" s="540"/>
      <c r="C1" s="540"/>
      <c r="D1" s="541"/>
      <c r="E1" s="540"/>
      <c r="F1" s="540"/>
      <c r="G1" s="540"/>
      <c r="H1" s="540"/>
      <c r="I1" s="540"/>
      <c r="J1" s="540"/>
      <c r="K1" s="540"/>
    </row>
    <row r="2" spans="1:23" ht="12.75" customHeight="1" x14ac:dyDescent="0.35">
      <c r="A2" s="1684" t="s">
        <v>868</v>
      </c>
      <c r="B2" s="1685"/>
      <c r="C2" s="1685"/>
      <c r="D2" s="1685"/>
      <c r="E2" s="1685"/>
      <c r="F2" s="1685"/>
      <c r="G2" s="1685"/>
      <c r="H2" s="1685"/>
      <c r="I2" s="1685"/>
      <c r="J2" s="1685"/>
      <c r="K2" s="1685"/>
    </row>
    <row r="3" spans="1:23" ht="13" thickBot="1" x14ac:dyDescent="0.3">
      <c r="A3" s="1686"/>
      <c r="B3" s="1686"/>
      <c r="C3" s="1686"/>
      <c r="D3" s="1686"/>
      <c r="E3" s="1686"/>
      <c r="F3" s="1686"/>
      <c r="G3" s="1686"/>
      <c r="H3" s="1686"/>
      <c r="I3" s="1686"/>
      <c r="J3" s="1686"/>
      <c r="K3" s="1686"/>
    </row>
    <row r="4" spans="1:23" ht="14" x14ac:dyDescent="0.3">
      <c r="A4" s="3" t="s">
        <v>302</v>
      </c>
      <c r="B4" s="4"/>
      <c r="C4" s="1687" t="s">
        <v>303</v>
      </c>
      <c r="D4" s="1687"/>
      <c r="E4" s="1687"/>
      <c r="F4" s="5"/>
      <c r="G4" s="1687" t="s">
        <v>304</v>
      </c>
      <c r="H4" s="1687"/>
      <c r="I4" s="1687"/>
      <c r="J4" s="5"/>
      <c r="K4" s="6" t="s">
        <v>305</v>
      </c>
      <c r="O4" s="2" t="s">
        <v>633</v>
      </c>
    </row>
    <row r="5" spans="1:23" ht="13" x14ac:dyDescent="0.3">
      <c r="A5" s="7" t="s">
        <v>869</v>
      </c>
      <c r="B5" s="8"/>
      <c r="C5" s="9" t="s">
        <v>870</v>
      </c>
      <c r="D5" s="9" t="s">
        <v>306</v>
      </c>
      <c r="E5" s="9" t="s">
        <v>307</v>
      </c>
      <c r="F5" s="9"/>
      <c r="G5" s="9" t="s">
        <v>870</v>
      </c>
      <c r="H5" s="9" t="s">
        <v>306</v>
      </c>
      <c r="I5" s="9" t="s">
        <v>307</v>
      </c>
      <c r="J5" s="9"/>
      <c r="K5" s="10" t="s">
        <v>871</v>
      </c>
      <c r="O5" s="1"/>
      <c r="P5" s="1"/>
      <c r="Q5" s="550"/>
      <c r="R5" s="550">
        <v>2005</v>
      </c>
      <c r="S5" s="550">
        <v>2007</v>
      </c>
      <c r="T5" s="550">
        <v>2005</v>
      </c>
      <c r="U5" s="550">
        <v>2007</v>
      </c>
      <c r="V5" s="549"/>
      <c r="W5" s="549"/>
    </row>
    <row r="6" spans="1:23" ht="13" x14ac:dyDescent="0.3">
      <c r="A6" s="15" t="s">
        <v>529</v>
      </c>
      <c r="B6" s="12"/>
      <c r="C6" s="13">
        <v>983</v>
      </c>
      <c r="D6" s="14">
        <f>C6/$K6*453.59</f>
        <v>20267.225909090906</v>
      </c>
      <c r="E6" s="542">
        <f>D6*1.05506/1000*2.2046</f>
        <v>47.141269049911173</v>
      </c>
      <c r="F6" s="13"/>
      <c r="G6" s="13">
        <v>1089</v>
      </c>
      <c r="H6" s="14">
        <f>G6/$K6*453.59</f>
        <v>22452.704999999998</v>
      </c>
      <c r="I6" s="542">
        <f>H6*1.05506/1000*2.2046</f>
        <v>52.224661236371581</v>
      </c>
      <c r="J6" s="13"/>
      <c r="K6" s="543">
        <v>22</v>
      </c>
      <c r="O6" s="1" t="s">
        <v>248</v>
      </c>
      <c r="P6" s="1" t="s">
        <v>1049</v>
      </c>
      <c r="Q6" s="550" t="s">
        <v>637</v>
      </c>
      <c r="R6" s="550" t="s">
        <v>636</v>
      </c>
      <c r="S6" s="550" t="s">
        <v>636</v>
      </c>
      <c r="T6" s="550" t="s">
        <v>1038</v>
      </c>
      <c r="U6" s="550" t="s">
        <v>1038</v>
      </c>
      <c r="V6" s="549"/>
      <c r="W6" s="549"/>
    </row>
    <row r="7" spans="1:23" ht="13" x14ac:dyDescent="0.25">
      <c r="A7" s="15" t="s">
        <v>872</v>
      </c>
      <c r="B7" s="16"/>
      <c r="C7" s="544">
        <v>290</v>
      </c>
      <c r="D7" s="17">
        <f t="shared" ref="D7:D40" si="0">C7/K7*453.59</f>
        <v>51682.028917177428</v>
      </c>
      <c r="E7" s="545">
        <f t="shared" ref="E7:E40" si="1">D7*1.05506/1000*2.2046</f>
        <v>120.21163829516094</v>
      </c>
      <c r="F7" s="18"/>
      <c r="G7" s="19">
        <v>343</v>
      </c>
      <c r="H7" s="17">
        <f t="shared" ref="H7:H40" si="2">G7/$K7*453.59</f>
        <v>61127.365236523648</v>
      </c>
      <c r="I7" s="545">
        <f t="shared" ref="I7:I40" si="3">H7*1.05506/1000*2.2046</f>
        <v>142.1813515008283</v>
      </c>
      <c r="J7" s="18"/>
      <c r="K7" s="546">
        <v>2.5451999999999999</v>
      </c>
      <c r="O7" t="s">
        <v>851</v>
      </c>
      <c r="P7" t="s">
        <v>638</v>
      </c>
      <c r="Q7" s="549">
        <v>930</v>
      </c>
      <c r="R7" s="549">
        <v>1027</v>
      </c>
      <c r="S7" s="549">
        <v>1030</v>
      </c>
      <c r="T7" s="549">
        <f>R7/Q7</f>
        <v>1.1043010752688172</v>
      </c>
      <c r="U7" s="549">
        <f>S7/Q7</f>
        <v>1.10752688172043</v>
      </c>
      <c r="V7" s="549"/>
      <c r="W7" s="549"/>
    </row>
    <row r="8" spans="1:23" ht="13" x14ac:dyDescent="0.25">
      <c r="A8" s="15" t="s">
        <v>873</v>
      </c>
      <c r="B8" s="16"/>
      <c r="C8" s="544">
        <v>1458</v>
      </c>
      <c r="D8" s="17">
        <f t="shared" si="0"/>
        <v>20162.628658536585</v>
      </c>
      <c r="E8" s="542">
        <f t="shared" si="1"/>
        <v>46.897977385211739</v>
      </c>
      <c r="F8" s="18"/>
      <c r="G8" s="19">
        <v>1584</v>
      </c>
      <c r="H8" s="17">
        <f t="shared" si="2"/>
        <v>21905.078048780488</v>
      </c>
      <c r="I8" s="542">
        <f t="shared" si="3"/>
        <v>50.950889011094226</v>
      </c>
      <c r="J8" s="18"/>
      <c r="K8" s="20">
        <v>32.799999999999997</v>
      </c>
      <c r="O8" t="s">
        <v>852</v>
      </c>
      <c r="P8" t="s">
        <v>638</v>
      </c>
      <c r="Q8" s="549">
        <v>930</v>
      </c>
      <c r="R8" s="549">
        <v>1027</v>
      </c>
      <c r="S8" s="549">
        <v>1030</v>
      </c>
      <c r="T8" s="549">
        <f>R8/Q8</f>
        <v>1.1043010752688172</v>
      </c>
      <c r="U8" s="549">
        <f>S8/Q8</f>
        <v>1.10752688172043</v>
      </c>
      <c r="V8" s="549"/>
      <c r="W8" s="549"/>
    </row>
    <row r="9" spans="1:23" ht="13" x14ac:dyDescent="0.25">
      <c r="A9" s="7" t="s">
        <v>308</v>
      </c>
      <c r="B9" s="8"/>
      <c r="C9" s="9" t="s">
        <v>309</v>
      </c>
      <c r="D9" s="9" t="s">
        <v>306</v>
      </c>
      <c r="E9" s="9" t="s">
        <v>307</v>
      </c>
      <c r="F9" s="9"/>
      <c r="G9" s="9" t="s">
        <v>309</v>
      </c>
      <c r="H9" s="9" t="s">
        <v>306</v>
      </c>
      <c r="I9" s="9" t="s">
        <v>307</v>
      </c>
      <c r="J9" s="9"/>
      <c r="K9" s="10" t="s">
        <v>310</v>
      </c>
      <c r="O9" t="s">
        <v>853</v>
      </c>
      <c r="P9" t="s">
        <v>638</v>
      </c>
      <c r="Q9" s="549">
        <v>930</v>
      </c>
      <c r="R9" s="549">
        <v>1027</v>
      </c>
      <c r="S9" s="549">
        <v>1030</v>
      </c>
      <c r="T9" s="549">
        <f>R9/Q9</f>
        <v>1.1043010752688172</v>
      </c>
      <c r="U9" s="549">
        <f>S9/Q9</f>
        <v>1.10752688172043</v>
      </c>
      <c r="V9" s="549"/>
      <c r="W9" s="549"/>
    </row>
    <row r="10" spans="1:23" ht="13" x14ac:dyDescent="0.25">
      <c r="A10" s="11" t="s">
        <v>874</v>
      </c>
      <c r="B10" s="16"/>
      <c r="C10" s="19">
        <v>129670</v>
      </c>
      <c r="D10" s="17">
        <f t="shared" si="0"/>
        <v>18351.642839313572</v>
      </c>
      <c r="E10" s="542">
        <f t="shared" si="1"/>
        <v>42.685651034654214</v>
      </c>
      <c r="F10" s="18"/>
      <c r="G10" s="19">
        <v>138350</v>
      </c>
      <c r="H10" s="17">
        <f t="shared" si="2"/>
        <v>19580.086271450855</v>
      </c>
      <c r="I10" s="542">
        <f t="shared" si="3"/>
        <v>45.542992370204438</v>
      </c>
      <c r="J10" s="18"/>
      <c r="K10" s="21">
        <v>3205</v>
      </c>
      <c r="O10" t="s">
        <v>928</v>
      </c>
      <c r="Q10" s="549"/>
      <c r="R10" s="549"/>
      <c r="S10" s="549"/>
      <c r="T10" s="549">
        <v>1</v>
      </c>
      <c r="U10" s="549">
        <v>1</v>
      </c>
      <c r="V10" s="549"/>
      <c r="W10" s="549"/>
    </row>
    <row r="11" spans="1:23" ht="13" x14ac:dyDescent="0.25">
      <c r="A11" s="11" t="s">
        <v>875</v>
      </c>
      <c r="B11" s="16"/>
      <c r="C11" s="19">
        <v>116090</v>
      </c>
      <c r="D11" s="17">
        <f t="shared" si="0"/>
        <v>18679.412238382403</v>
      </c>
      <c r="E11" s="542">
        <f t="shared" si="1"/>
        <v>43.448037830811678</v>
      </c>
      <c r="F11" s="18"/>
      <c r="G11" s="19">
        <v>124340</v>
      </c>
      <c r="H11" s="17">
        <f t="shared" si="2"/>
        <v>20006.874991131608</v>
      </c>
      <c r="I11" s="542">
        <f t="shared" si="3"/>
        <v>46.535696648144757</v>
      </c>
      <c r="J11" s="18"/>
      <c r="K11" s="21">
        <v>2819</v>
      </c>
      <c r="O11" t="s">
        <v>930</v>
      </c>
      <c r="Q11" s="549"/>
      <c r="R11" s="549"/>
      <c r="S11" s="549"/>
      <c r="T11" s="549">
        <v>1</v>
      </c>
      <c r="U11" s="549">
        <v>1</v>
      </c>
      <c r="V11" s="549"/>
      <c r="W11" s="549"/>
    </row>
    <row r="12" spans="1:23" ht="13" x14ac:dyDescent="0.25">
      <c r="A12" s="11" t="s">
        <v>876</v>
      </c>
      <c r="B12" s="16"/>
      <c r="C12" s="19">
        <v>113601.50975397152</v>
      </c>
      <c r="D12" s="17">
        <f t="shared" si="0"/>
        <v>18210.67343395916</v>
      </c>
      <c r="E12" s="542">
        <f t="shared" si="1"/>
        <v>42.357758273433376</v>
      </c>
      <c r="F12" s="18"/>
      <c r="G12" s="19">
        <v>121848.38036482914</v>
      </c>
      <c r="H12" s="17">
        <f t="shared" si="2"/>
        <v>19532.672304147527</v>
      </c>
      <c r="I12" s="542">
        <f t="shared" si="3"/>
        <v>45.432708180380153</v>
      </c>
      <c r="J12" s="18"/>
      <c r="K12" s="21">
        <v>2829.5773353012783</v>
      </c>
      <c r="O12" t="s">
        <v>854</v>
      </c>
      <c r="P12" t="s">
        <v>639</v>
      </c>
      <c r="Q12" s="551">
        <v>19546300</v>
      </c>
      <c r="R12" s="551">
        <v>20754000</v>
      </c>
      <c r="S12" s="551">
        <v>20231000</v>
      </c>
      <c r="T12" s="549">
        <f>R12/Q12</f>
        <v>1.0617866296946226</v>
      </c>
      <c r="U12" s="549">
        <f>S12/Q12</f>
        <v>1.0350296475547802</v>
      </c>
      <c r="V12" s="549"/>
      <c r="W12" s="549"/>
    </row>
    <row r="13" spans="1:23" ht="13" x14ac:dyDescent="0.25">
      <c r="A13" s="11" t="s">
        <v>877</v>
      </c>
      <c r="B13" s="16"/>
      <c r="C13" s="19">
        <v>113927.15396104372</v>
      </c>
      <c r="D13" s="17">
        <f t="shared" si="0"/>
        <v>18271.813278014368</v>
      </c>
      <c r="E13" s="542">
        <f t="shared" si="1"/>
        <v>42.499968650482714</v>
      </c>
      <c r="F13" s="18"/>
      <c r="G13" s="19">
        <v>122174.43408423416</v>
      </c>
      <c r="H13" s="17">
        <f t="shared" si="2"/>
        <v>19594.524828536756</v>
      </c>
      <c r="I13" s="542">
        <f t="shared" si="3"/>
        <v>45.576576241392928</v>
      </c>
      <c r="J13" s="18"/>
      <c r="K13" s="21">
        <v>2828.193183616288</v>
      </c>
      <c r="O13" t="s">
        <v>911</v>
      </c>
      <c r="P13" t="s">
        <v>640</v>
      </c>
      <c r="Q13" s="551">
        <v>128450</v>
      </c>
      <c r="R13" s="551">
        <f>5825000/42</f>
        <v>138690.47619047618</v>
      </c>
      <c r="S13" s="551">
        <f>5799000/42</f>
        <v>138071.42857142858</v>
      </c>
      <c r="T13" s="549">
        <f>R13/Q13</f>
        <v>1.0797234425105191</v>
      </c>
      <c r="U13" s="549">
        <f>S13/Q13</f>
        <v>1.0749040760718458</v>
      </c>
      <c r="V13" s="549"/>
      <c r="W13" s="549"/>
    </row>
    <row r="14" spans="1:23" ht="13" x14ac:dyDescent="0.25">
      <c r="A14" s="11" t="s">
        <v>878</v>
      </c>
      <c r="B14" s="16"/>
      <c r="C14" s="19">
        <v>128450</v>
      </c>
      <c r="D14" s="17">
        <f t="shared" si="0"/>
        <v>18397.106251973477</v>
      </c>
      <c r="E14" s="542">
        <f t="shared" si="1"/>
        <v>42.791398263097854</v>
      </c>
      <c r="F14" s="18"/>
      <c r="G14" s="19">
        <v>137380</v>
      </c>
      <c r="H14" s="17">
        <f t="shared" si="2"/>
        <v>19676.095421534574</v>
      </c>
      <c r="I14" s="542">
        <f t="shared" si="3"/>
        <v>45.766308239660439</v>
      </c>
      <c r="J14" s="18"/>
      <c r="K14" s="21">
        <v>3167</v>
      </c>
      <c r="O14" t="s">
        <v>909</v>
      </c>
      <c r="P14" t="s">
        <v>640</v>
      </c>
      <c r="Q14" s="551">
        <v>86668</v>
      </c>
      <c r="R14" s="551">
        <v>94706</v>
      </c>
      <c r="S14" s="551">
        <v>94854</v>
      </c>
      <c r="T14" s="549">
        <f>R14/Q14</f>
        <v>1.0927447270041999</v>
      </c>
      <c r="U14" s="549">
        <f>S14/Q14</f>
        <v>1.0944523930401071</v>
      </c>
      <c r="V14" s="549"/>
      <c r="W14" s="549"/>
    </row>
    <row r="15" spans="1:23" ht="13" x14ac:dyDescent="0.25">
      <c r="A15" s="11" t="s">
        <v>528</v>
      </c>
      <c r="B15" s="16"/>
      <c r="C15" s="19">
        <v>129487.84757606639</v>
      </c>
      <c r="D15" s="17">
        <f t="shared" si="0"/>
        <v>18320.147467881456</v>
      </c>
      <c r="E15" s="542">
        <f t="shared" si="1"/>
        <v>42.612393264440954</v>
      </c>
      <c r="F15" s="18"/>
      <c r="G15" s="19">
        <v>138490</v>
      </c>
      <c r="H15" s="17">
        <f t="shared" si="2"/>
        <v>19593.786369307545</v>
      </c>
      <c r="I15" s="542">
        <f t="shared" si="3"/>
        <v>45.574858596098856</v>
      </c>
      <c r="J15" s="18"/>
      <c r="K15" s="21">
        <v>3206</v>
      </c>
      <c r="O15" t="s">
        <v>855</v>
      </c>
      <c r="P15" t="s">
        <v>640</v>
      </c>
      <c r="Q15" s="551"/>
      <c r="R15" s="551"/>
      <c r="S15" s="551"/>
      <c r="T15" s="549">
        <f>$I$19/$E$19</f>
        <v>1.1388646288209607</v>
      </c>
      <c r="U15" s="549">
        <f>$I$19/$E$19</f>
        <v>1.1388646288209607</v>
      </c>
      <c r="V15" s="549"/>
      <c r="W15" s="549"/>
    </row>
    <row r="16" spans="1:23" ht="13" x14ac:dyDescent="0.25">
      <c r="A16" s="11" t="s">
        <v>879</v>
      </c>
      <c r="B16" s="16"/>
      <c r="C16" s="19">
        <v>116920</v>
      </c>
      <c r="D16" s="17">
        <f t="shared" si="0"/>
        <v>19320.124881602911</v>
      </c>
      <c r="E16" s="542">
        <f t="shared" si="1"/>
        <v>44.938326005089621</v>
      </c>
      <c r="F16" s="18"/>
      <c r="G16" s="19">
        <v>125080</v>
      </c>
      <c r="H16" s="17">
        <f t="shared" si="2"/>
        <v>20668.501712204008</v>
      </c>
      <c r="I16" s="542">
        <f t="shared" si="3"/>
        <v>48.074630659567319</v>
      </c>
      <c r="J16" s="18"/>
      <c r="K16" s="22">
        <v>2745</v>
      </c>
      <c r="O16" t="s">
        <v>914</v>
      </c>
      <c r="P16" t="s">
        <v>640</v>
      </c>
      <c r="Q16" s="551">
        <v>116090</v>
      </c>
      <c r="R16" s="551">
        <f>5194000/42</f>
        <v>123666.66666666667</v>
      </c>
      <c r="S16" s="551">
        <f>5218000/42</f>
        <v>124238.09523809524</v>
      </c>
      <c r="T16" s="549">
        <f>R16/Q16</f>
        <v>1.0652654549631033</v>
      </c>
      <c r="U16" s="549">
        <f>S16/Q16</f>
        <v>1.0701877443198831</v>
      </c>
      <c r="V16" s="549"/>
      <c r="W16" s="549"/>
    </row>
    <row r="17" spans="1:23" ht="13" x14ac:dyDescent="0.25">
      <c r="A17" s="11" t="s">
        <v>880</v>
      </c>
      <c r="B17" s="16"/>
      <c r="C17" s="19">
        <v>111520</v>
      </c>
      <c r="D17" s="17">
        <f t="shared" si="0"/>
        <v>19081.236061863448</v>
      </c>
      <c r="E17" s="542">
        <f t="shared" si="1"/>
        <v>44.382674127774621</v>
      </c>
      <c r="F17" s="18"/>
      <c r="G17" s="19">
        <v>119740</v>
      </c>
      <c r="H17" s="17">
        <f t="shared" si="2"/>
        <v>20487.69015465862</v>
      </c>
      <c r="I17" s="542">
        <f t="shared" si="3"/>
        <v>47.654065638986118</v>
      </c>
      <c r="J17" s="18"/>
      <c r="K17" s="21">
        <v>2651</v>
      </c>
      <c r="O17" t="s">
        <v>856</v>
      </c>
      <c r="P17" t="s">
        <v>639</v>
      </c>
      <c r="Q17" s="551">
        <v>16811000</v>
      </c>
      <c r="R17" s="551">
        <v>17200000</v>
      </c>
      <c r="S17" s="551">
        <v>17200000</v>
      </c>
      <c r="T17" s="549">
        <f>R17/Q17</f>
        <v>1.0231396109690083</v>
      </c>
      <c r="U17" s="549">
        <f>S17/Q17</f>
        <v>1.0231396109690083</v>
      </c>
      <c r="V17" s="549"/>
      <c r="W17" s="549"/>
    </row>
    <row r="18" spans="1:23" ht="13" x14ac:dyDescent="0.25">
      <c r="A18" s="11" t="s">
        <v>881</v>
      </c>
      <c r="B18" s="16"/>
      <c r="C18" s="19">
        <v>140352.52220119376</v>
      </c>
      <c r="D18" s="17">
        <f t="shared" si="0"/>
        <v>16967.617416108602</v>
      </c>
      <c r="E18" s="542">
        <f t="shared" si="1"/>
        <v>39.466428278669781</v>
      </c>
      <c r="F18" s="18"/>
      <c r="G18" s="19">
        <v>150110</v>
      </c>
      <c r="H18" s="17">
        <f t="shared" si="2"/>
        <v>18147.226785714287</v>
      </c>
      <c r="I18" s="542">
        <f t="shared" si="3"/>
        <v>42.210182303804245</v>
      </c>
      <c r="J18" s="18"/>
      <c r="K18" s="21">
        <v>3752</v>
      </c>
      <c r="O18" t="s">
        <v>857</v>
      </c>
      <c r="P18" t="s">
        <v>641</v>
      </c>
      <c r="Q18" s="552">
        <v>2.8300000000000001E-3</v>
      </c>
      <c r="R18" s="551"/>
      <c r="S18" s="551"/>
      <c r="T18" s="549">
        <v>1</v>
      </c>
      <c r="U18" s="549">
        <v>1</v>
      </c>
      <c r="V18" s="549"/>
      <c r="W18" s="549"/>
    </row>
    <row r="19" spans="1:23" ht="13" x14ac:dyDescent="0.25">
      <c r="A19" s="11" t="s">
        <v>311</v>
      </c>
      <c r="B19" s="23"/>
      <c r="C19" s="19">
        <v>57250</v>
      </c>
      <c r="D19" s="17">
        <f t="shared" si="0"/>
        <v>8638.7317032601459</v>
      </c>
      <c r="E19" s="542">
        <f t="shared" si="1"/>
        <v>20.093562745097504</v>
      </c>
      <c r="F19" s="18"/>
      <c r="G19" s="19">
        <v>65200</v>
      </c>
      <c r="H19" s="17">
        <f t="shared" si="2"/>
        <v>9838.345974717231</v>
      </c>
      <c r="I19" s="542">
        <f t="shared" si="3"/>
        <v>22.883847877386152</v>
      </c>
      <c r="J19" s="18"/>
      <c r="K19" s="22">
        <v>3006</v>
      </c>
      <c r="Q19" s="549"/>
      <c r="R19" s="549"/>
      <c r="S19" s="549"/>
      <c r="T19" s="549"/>
      <c r="U19" s="549"/>
      <c r="V19" s="549"/>
      <c r="W19" s="549"/>
    </row>
    <row r="20" spans="1:23" ht="13" x14ac:dyDescent="0.25">
      <c r="A20" s="11" t="s">
        <v>312</v>
      </c>
      <c r="B20" s="23"/>
      <c r="C20" s="19">
        <v>76330</v>
      </c>
      <c r="D20" s="17">
        <f t="shared" si="0"/>
        <v>11587.19032797858</v>
      </c>
      <c r="E20" s="542">
        <f t="shared" si="1"/>
        <v>26.95163409308779</v>
      </c>
      <c r="F20" s="18"/>
      <c r="G20" s="19">
        <v>84530</v>
      </c>
      <c r="H20" s="17">
        <f t="shared" si="2"/>
        <v>12831.982161981257</v>
      </c>
      <c r="I20" s="542">
        <f t="shared" si="3"/>
        <v>29.847001570663057</v>
      </c>
      <c r="J20" s="18"/>
      <c r="K20" s="22">
        <v>2988</v>
      </c>
      <c r="Q20" s="549"/>
      <c r="R20" s="549"/>
      <c r="S20" s="549"/>
      <c r="T20" s="549"/>
      <c r="U20" s="549"/>
      <c r="V20" s="549"/>
      <c r="W20" s="549"/>
    </row>
    <row r="21" spans="1:23" ht="13" x14ac:dyDescent="0.25">
      <c r="A21" s="11" t="s">
        <v>966</v>
      </c>
      <c r="B21" s="23"/>
      <c r="C21" s="19">
        <v>99837</v>
      </c>
      <c r="D21" s="17">
        <f t="shared" si="0"/>
        <v>14774.898802610114</v>
      </c>
      <c r="E21" s="542">
        <f t="shared" si="1"/>
        <v>34.366197069261162</v>
      </c>
      <c r="F21" s="18"/>
      <c r="G21" s="19">
        <v>108458</v>
      </c>
      <c r="H21" s="17">
        <f t="shared" si="2"/>
        <v>16050.722420880913</v>
      </c>
      <c r="I21" s="542">
        <f t="shared" si="3"/>
        <v>37.33374402013208</v>
      </c>
      <c r="J21" s="18"/>
      <c r="K21" s="22">
        <v>3065</v>
      </c>
      <c r="Q21" s="549"/>
      <c r="R21" s="549"/>
      <c r="S21" s="549"/>
      <c r="T21" s="549"/>
      <c r="U21" s="549"/>
      <c r="V21" s="549"/>
      <c r="W21" s="549"/>
    </row>
    <row r="22" spans="1:23" ht="13" x14ac:dyDescent="0.25">
      <c r="A22" s="11" t="s">
        <v>967</v>
      </c>
      <c r="B22" s="23"/>
      <c r="C22" s="19">
        <v>83127</v>
      </c>
      <c r="D22" s="17">
        <f t="shared" si="0"/>
        <v>12721.179463562754</v>
      </c>
      <c r="E22" s="542">
        <f t="shared" si="1"/>
        <v>29.589276125600549</v>
      </c>
      <c r="F22" s="18"/>
      <c r="G22" s="19">
        <v>89511</v>
      </c>
      <c r="H22" s="17">
        <f t="shared" si="2"/>
        <v>13698.142540485829</v>
      </c>
      <c r="I22" s="542">
        <f t="shared" si="3"/>
        <v>31.861677857719279</v>
      </c>
      <c r="J22" s="18"/>
      <c r="K22" s="22">
        <v>2964</v>
      </c>
      <c r="Q22" s="549"/>
      <c r="R22" s="549"/>
      <c r="S22" s="549"/>
      <c r="T22" s="549"/>
      <c r="U22" s="549"/>
      <c r="V22" s="549"/>
      <c r="W22" s="549"/>
    </row>
    <row r="23" spans="1:23" ht="13" x14ac:dyDescent="0.25">
      <c r="A23" s="11" t="s">
        <v>882</v>
      </c>
      <c r="B23" s="23"/>
      <c r="C23" s="19">
        <v>116090</v>
      </c>
      <c r="D23" s="17">
        <f t="shared" si="0"/>
        <v>18679.412238382403</v>
      </c>
      <c r="E23" s="542">
        <f t="shared" si="1"/>
        <v>43.448037830811678</v>
      </c>
      <c r="F23" s="18"/>
      <c r="G23" s="19">
        <v>124340</v>
      </c>
      <c r="H23" s="17">
        <f t="shared" si="2"/>
        <v>20006.874991131608</v>
      </c>
      <c r="I23" s="542">
        <f t="shared" si="3"/>
        <v>46.535696648144757</v>
      </c>
      <c r="J23" s="18"/>
      <c r="K23" s="22">
        <v>2819</v>
      </c>
      <c r="Q23" s="549"/>
      <c r="R23" s="549"/>
      <c r="S23" s="549"/>
      <c r="T23" s="549"/>
      <c r="U23" s="549"/>
      <c r="V23" s="549"/>
      <c r="W23" s="549"/>
    </row>
    <row r="24" spans="1:23" ht="13" x14ac:dyDescent="0.25">
      <c r="A24" s="11" t="s">
        <v>883</v>
      </c>
      <c r="B24" s="23"/>
      <c r="C24" s="19">
        <v>84950</v>
      </c>
      <c r="D24" s="17">
        <f t="shared" si="0"/>
        <v>20037.686167446696</v>
      </c>
      <c r="E24" s="542">
        <f t="shared" si="1"/>
        <v>46.607362990589891</v>
      </c>
      <c r="F24" s="18"/>
      <c r="G24" s="19">
        <v>91410</v>
      </c>
      <c r="H24" s="17">
        <f t="shared" si="2"/>
        <v>21561.446645865835</v>
      </c>
      <c r="I24" s="542">
        <f t="shared" si="3"/>
        <v>50.151607427543532</v>
      </c>
      <c r="J24" s="18"/>
      <c r="K24" s="22">
        <v>1923</v>
      </c>
      <c r="Q24" s="549"/>
      <c r="R24" s="549"/>
      <c r="S24" s="549"/>
      <c r="T24" s="549"/>
      <c r="U24" s="549"/>
      <c r="V24" s="549"/>
      <c r="W24" s="549"/>
    </row>
    <row r="25" spans="1:23" ht="13" x14ac:dyDescent="0.25">
      <c r="A25" s="11" t="s">
        <v>884</v>
      </c>
      <c r="B25" s="23"/>
      <c r="C25" s="19">
        <v>74720</v>
      </c>
      <c r="D25" s="17">
        <f t="shared" si="0"/>
        <v>20908.23244910549</v>
      </c>
      <c r="E25" s="542">
        <f t="shared" si="1"/>
        <v>48.632240823804793</v>
      </c>
      <c r="F25" s="18"/>
      <c r="G25" s="19">
        <v>84820</v>
      </c>
      <c r="H25" s="17">
        <f t="shared" si="2"/>
        <v>23734.425539790249</v>
      </c>
      <c r="I25" s="542">
        <f t="shared" si="3"/>
        <v>55.205924339870478</v>
      </c>
      <c r="J25" s="18"/>
      <c r="K25" s="22">
        <v>1621</v>
      </c>
      <c r="Q25" s="549"/>
      <c r="R25" s="549"/>
      <c r="S25" s="549"/>
      <c r="T25" s="549"/>
      <c r="U25" s="549"/>
      <c r="V25" s="549"/>
      <c r="W25" s="549"/>
    </row>
    <row r="26" spans="1:23" ht="13" x14ac:dyDescent="0.25">
      <c r="A26" s="11" t="s">
        <v>885</v>
      </c>
      <c r="B26" s="23"/>
      <c r="C26" s="19">
        <v>68930</v>
      </c>
      <c r="D26" s="17">
        <f t="shared" si="0"/>
        <v>12416.981215250198</v>
      </c>
      <c r="E26" s="542">
        <f t="shared" si="1"/>
        <v>28.881715479040551</v>
      </c>
      <c r="F26" s="18"/>
      <c r="G26" s="19">
        <v>75610</v>
      </c>
      <c r="H26" s="17">
        <f t="shared" si="2"/>
        <v>13620.3097299444</v>
      </c>
      <c r="I26" s="542">
        <f t="shared" si="3"/>
        <v>31.680639886410216</v>
      </c>
      <c r="J26" s="18"/>
      <c r="K26" s="22">
        <v>2518</v>
      </c>
      <c r="Q26" s="549"/>
      <c r="R26" s="549"/>
      <c r="S26" s="549"/>
      <c r="T26" s="549"/>
      <c r="U26" s="549"/>
      <c r="V26" s="549"/>
      <c r="W26" s="549"/>
    </row>
    <row r="27" spans="1:23" ht="13" x14ac:dyDescent="0.25">
      <c r="A27" s="11" t="s">
        <v>886</v>
      </c>
      <c r="B27" s="23"/>
      <c r="C27" s="19">
        <v>72200</v>
      </c>
      <c r="D27" s="17">
        <f t="shared" si="0"/>
        <v>10061.197542242702</v>
      </c>
      <c r="E27" s="542">
        <f t="shared" si="1"/>
        <v>23.402197342183918</v>
      </c>
      <c r="F27" s="18"/>
      <c r="G27" s="19">
        <v>79196.89540113158</v>
      </c>
      <c r="H27" s="17">
        <f t="shared" si="2"/>
        <v>11036.227276497471</v>
      </c>
      <c r="I27" s="542">
        <f t="shared" si="3"/>
        <v>25.670102147722705</v>
      </c>
      <c r="J27" s="18"/>
      <c r="K27" s="22">
        <v>3255</v>
      </c>
      <c r="Q27" s="549"/>
      <c r="R27" s="549"/>
      <c r="S27" s="549"/>
      <c r="T27" s="549"/>
      <c r="U27" s="549"/>
      <c r="V27" s="549"/>
      <c r="W27" s="549"/>
    </row>
    <row r="28" spans="1:23" ht="13" x14ac:dyDescent="0.25">
      <c r="A28" s="11" t="s">
        <v>887</v>
      </c>
      <c r="B28" s="23"/>
      <c r="C28" s="19">
        <v>119550</v>
      </c>
      <c r="D28" s="17">
        <f t="shared" si="0"/>
        <v>16134.09238321928</v>
      </c>
      <c r="E28" s="542">
        <f t="shared" si="1"/>
        <v>37.527661324991804</v>
      </c>
      <c r="F28" s="18"/>
      <c r="G28" s="19">
        <v>127960</v>
      </c>
      <c r="H28" s="17">
        <f t="shared" si="2"/>
        <v>17269.079559654863</v>
      </c>
      <c r="I28" s="542">
        <f t="shared" si="3"/>
        <v>40.167624785829787</v>
      </c>
      <c r="J28" s="18"/>
      <c r="K28" s="22">
        <v>3361</v>
      </c>
      <c r="Q28" s="549"/>
      <c r="R28" s="549"/>
      <c r="S28" s="549"/>
      <c r="T28" s="549"/>
      <c r="U28" s="549"/>
      <c r="V28" s="549"/>
      <c r="W28" s="549"/>
    </row>
    <row r="29" spans="1:23" ht="13" x14ac:dyDescent="0.25">
      <c r="A29" s="11" t="s">
        <v>888</v>
      </c>
      <c r="B29" s="23"/>
      <c r="C29" s="19">
        <v>123670</v>
      </c>
      <c r="D29" s="17">
        <f t="shared" si="0"/>
        <v>18593.130692741131</v>
      </c>
      <c r="E29" s="542">
        <f t="shared" si="1"/>
        <v>43.247348226059557</v>
      </c>
      <c r="F29" s="18"/>
      <c r="G29" s="19">
        <v>130030</v>
      </c>
      <c r="H29" s="17">
        <f t="shared" si="2"/>
        <v>19549.323069274113</v>
      </c>
      <c r="I29" s="542">
        <f t="shared" si="3"/>
        <v>45.471437614898726</v>
      </c>
      <c r="J29" s="18"/>
      <c r="K29" s="22">
        <v>3017</v>
      </c>
      <c r="Q29" s="549"/>
      <c r="R29" s="549"/>
      <c r="S29" s="549"/>
      <c r="T29" s="549"/>
      <c r="U29" s="549"/>
      <c r="V29" s="549"/>
      <c r="W29" s="549"/>
    </row>
    <row r="30" spans="1:23" ht="13" x14ac:dyDescent="0.25">
      <c r="A30" s="11" t="s">
        <v>968</v>
      </c>
      <c r="B30" s="23"/>
      <c r="C30" s="19">
        <v>117059</v>
      </c>
      <c r="D30" s="17">
        <f t="shared" si="0"/>
        <v>18729.027093474426</v>
      </c>
      <c r="E30" s="542">
        <f t="shared" si="1"/>
        <v>43.563441253226593</v>
      </c>
      <c r="F30" s="18"/>
      <c r="G30" s="19">
        <v>125294</v>
      </c>
      <c r="H30" s="17">
        <f t="shared" si="2"/>
        <v>20046.598045855379</v>
      </c>
      <c r="I30" s="542">
        <f t="shared" si="3"/>
        <v>46.628091888549989</v>
      </c>
      <c r="J30" s="18"/>
      <c r="K30" s="22">
        <v>2835</v>
      </c>
      <c r="Q30" s="549"/>
      <c r="R30" s="549"/>
      <c r="S30" s="549"/>
      <c r="T30" s="549"/>
      <c r="U30" s="549"/>
      <c r="V30" s="549"/>
      <c r="W30" s="549"/>
    </row>
    <row r="31" spans="1:23" ht="13" x14ac:dyDescent="0.25">
      <c r="A31" s="11" t="s">
        <v>969</v>
      </c>
      <c r="B31" s="23"/>
      <c r="C31" s="19">
        <v>122887</v>
      </c>
      <c r="D31" s="17">
        <f t="shared" si="0"/>
        <v>18907.840681818183</v>
      </c>
      <c r="E31" s="542">
        <f t="shared" si="1"/>
        <v>43.979359026862895</v>
      </c>
      <c r="F31" s="18"/>
      <c r="G31" s="19">
        <v>130817</v>
      </c>
      <c r="H31" s="17">
        <f t="shared" si="2"/>
        <v>20127.979318181817</v>
      </c>
      <c r="I31" s="542">
        <f t="shared" si="3"/>
        <v>46.817383529723436</v>
      </c>
      <c r="J31" s="18"/>
      <c r="K31" s="22">
        <v>2948</v>
      </c>
      <c r="Q31" s="549"/>
      <c r="R31" s="549"/>
      <c r="S31" s="549"/>
      <c r="T31" s="549"/>
      <c r="U31" s="549"/>
      <c r="V31" s="549"/>
      <c r="W31" s="549"/>
    </row>
    <row r="32" spans="1:23" ht="13" x14ac:dyDescent="0.25">
      <c r="A32" s="11" t="s">
        <v>970</v>
      </c>
      <c r="B32" s="23"/>
      <c r="C32" s="19">
        <v>115983</v>
      </c>
      <c r="D32" s="17">
        <f t="shared" si="0"/>
        <v>18589.656879858656</v>
      </c>
      <c r="E32" s="542">
        <f t="shared" si="1"/>
        <v>43.23926818844334</v>
      </c>
      <c r="F32" s="18"/>
      <c r="G32" s="19">
        <v>124230</v>
      </c>
      <c r="H32" s="17">
        <f t="shared" si="2"/>
        <v>19911.479045936394</v>
      </c>
      <c r="I32" s="542">
        <f t="shared" si="3"/>
        <v>46.313807084230582</v>
      </c>
      <c r="J32" s="18"/>
      <c r="K32" s="22">
        <v>2830</v>
      </c>
      <c r="Q32" s="549"/>
      <c r="R32" s="549"/>
      <c r="S32" s="549"/>
      <c r="T32" s="549"/>
      <c r="U32" s="549"/>
      <c r="V32" s="549"/>
      <c r="W32" s="549"/>
    </row>
    <row r="33" spans="1:23" ht="13" x14ac:dyDescent="0.25">
      <c r="A33" s="11" t="s">
        <v>889</v>
      </c>
      <c r="B33" s="23"/>
      <c r="C33" s="19">
        <v>30500</v>
      </c>
      <c r="D33" s="17">
        <f t="shared" si="0"/>
        <v>51621.249999999993</v>
      </c>
      <c r="E33" s="545">
        <f t="shared" si="1"/>
        <v>120.070267428715</v>
      </c>
      <c r="F33" s="18"/>
      <c r="G33" s="19">
        <v>36020</v>
      </c>
      <c r="H33" s="17">
        <f t="shared" si="2"/>
        <v>60963.849999999991</v>
      </c>
      <c r="I33" s="545">
        <f t="shared" si="3"/>
        <v>141.80101746827262</v>
      </c>
      <c r="J33" s="18"/>
      <c r="K33" s="22">
        <v>268</v>
      </c>
      <c r="Q33" s="549"/>
      <c r="R33" s="549"/>
      <c r="S33" s="549"/>
      <c r="T33" s="549"/>
      <c r="U33" s="549"/>
      <c r="V33" s="549"/>
      <c r="W33" s="549"/>
    </row>
    <row r="34" spans="1:23" ht="13" x14ac:dyDescent="0.25">
      <c r="A34" s="11" t="s">
        <v>890</v>
      </c>
      <c r="B34" s="23"/>
      <c r="C34" s="19">
        <v>93540</v>
      </c>
      <c r="D34" s="17">
        <f t="shared" si="0"/>
        <v>15093.848665955175</v>
      </c>
      <c r="E34" s="542">
        <f t="shared" si="1"/>
        <v>35.108069755183983</v>
      </c>
      <c r="F34" s="18"/>
      <c r="G34" s="19">
        <v>101130</v>
      </c>
      <c r="H34" s="17">
        <f t="shared" si="2"/>
        <v>16318.59007470651</v>
      </c>
      <c r="I34" s="542">
        <f t="shared" si="3"/>
        <v>37.95680023884708</v>
      </c>
      <c r="J34" s="18"/>
      <c r="K34" s="22">
        <v>2811</v>
      </c>
      <c r="Q34" s="549"/>
      <c r="R34" s="549"/>
      <c r="S34" s="549"/>
      <c r="T34" s="549"/>
      <c r="U34" s="549"/>
      <c r="V34" s="549"/>
      <c r="W34" s="549"/>
    </row>
    <row r="35" spans="1:23" ht="13" x14ac:dyDescent="0.25">
      <c r="A35" s="11" t="s">
        <v>891</v>
      </c>
      <c r="B35" s="16"/>
      <c r="C35" s="19">
        <v>96720</v>
      </c>
      <c r="D35" s="17">
        <f t="shared" si="0"/>
        <v>15612.535516014234</v>
      </c>
      <c r="E35" s="542">
        <f t="shared" si="1"/>
        <v>36.314527731276172</v>
      </c>
      <c r="F35" s="18"/>
      <c r="G35" s="19">
        <v>104530</v>
      </c>
      <c r="H35" s="17">
        <f t="shared" si="2"/>
        <v>16873.225160142349</v>
      </c>
      <c r="I35" s="542">
        <f t="shared" si="3"/>
        <v>39.246873281123854</v>
      </c>
      <c r="J35" s="18"/>
      <c r="K35" s="21">
        <v>2810</v>
      </c>
      <c r="Q35" s="549"/>
      <c r="R35" s="549"/>
      <c r="S35" s="549"/>
      <c r="T35" s="549"/>
      <c r="U35" s="549"/>
      <c r="V35" s="549"/>
      <c r="W35" s="549"/>
    </row>
    <row r="36" spans="1:23" ht="13" x14ac:dyDescent="0.25">
      <c r="A36" s="11" t="s">
        <v>892</v>
      </c>
      <c r="B36" s="16"/>
      <c r="C36" s="19">
        <v>100480</v>
      </c>
      <c r="D36" s="17">
        <f t="shared" si="0"/>
        <v>15645.974322004806</v>
      </c>
      <c r="E36" s="542">
        <f t="shared" si="1"/>
        <v>36.392305901657274</v>
      </c>
      <c r="F36" s="18"/>
      <c r="G36" s="19">
        <v>108570</v>
      </c>
      <c r="H36" s="17">
        <f t="shared" si="2"/>
        <v>16905.687023686918</v>
      </c>
      <c r="I36" s="542">
        <f t="shared" si="3"/>
        <v>39.322379097760042</v>
      </c>
      <c r="J36" s="18"/>
      <c r="K36" s="21">
        <v>2913</v>
      </c>
      <c r="Q36" s="549"/>
      <c r="R36" s="549"/>
      <c r="S36" s="549"/>
      <c r="T36" s="549"/>
      <c r="U36" s="549"/>
      <c r="V36" s="549"/>
      <c r="W36" s="549"/>
    </row>
    <row r="37" spans="1:23" ht="13" x14ac:dyDescent="0.25">
      <c r="A37" s="11" t="s">
        <v>893</v>
      </c>
      <c r="B37" s="16"/>
      <c r="C37" s="19">
        <v>94970</v>
      </c>
      <c r="D37" s="17">
        <f t="shared" si="0"/>
        <v>19465.631405332126</v>
      </c>
      <c r="E37" s="542">
        <f t="shared" si="1"/>
        <v>45.27677203684572</v>
      </c>
      <c r="F37" s="18"/>
      <c r="G37" s="19">
        <v>103220</v>
      </c>
      <c r="H37" s="17">
        <f t="shared" si="2"/>
        <v>21156.601807501127</v>
      </c>
      <c r="I37" s="542">
        <f t="shared" si="3"/>
        <v>49.209944294442614</v>
      </c>
      <c r="J37" s="18"/>
      <c r="K37" s="21">
        <v>2213</v>
      </c>
      <c r="Q37" s="549"/>
      <c r="R37" s="549"/>
      <c r="S37" s="549"/>
      <c r="T37" s="549"/>
      <c r="U37" s="549"/>
      <c r="V37" s="549"/>
      <c r="W37" s="549"/>
    </row>
    <row r="38" spans="1:23" ht="13" x14ac:dyDescent="0.25">
      <c r="A38" s="11" t="s">
        <v>894</v>
      </c>
      <c r="B38" s="16"/>
      <c r="C38" s="19">
        <v>90060</v>
      </c>
      <c r="D38" s="17">
        <f t="shared" si="0"/>
        <v>19287.212181303115</v>
      </c>
      <c r="E38" s="542">
        <f t="shared" si="1"/>
        <v>44.861771548798892</v>
      </c>
      <c r="F38" s="18"/>
      <c r="G38" s="19">
        <v>98560</v>
      </c>
      <c r="H38" s="17">
        <f t="shared" si="2"/>
        <v>21107.568649669498</v>
      </c>
      <c r="I38" s="542">
        <f t="shared" si="3"/>
        <v>49.095893891290459</v>
      </c>
      <c r="J38" s="18"/>
      <c r="K38" s="21">
        <v>2118</v>
      </c>
      <c r="Q38" s="549"/>
      <c r="R38" s="549"/>
      <c r="S38" s="549"/>
      <c r="T38" s="549"/>
      <c r="U38" s="549"/>
      <c r="V38" s="549"/>
      <c r="W38" s="549"/>
    </row>
    <row r="39" spans="1:23" ht="13" x14ac:dyDescent="0.25">
      <c r="A39" s="11" t="s">
        <v>895</v>
      </c>
      <c r="B39" s="16"/>
      <c r="C39" s="19">
        <v>95720</v>
      </c>
      <c r="D39" s="17">
        <f t="shared" si="0"/>
        <v>19271.031868619615</v>
      </c>
      <c r="E39" s="542">
        <f t="shared" si="1"/>
        <v>44.824136379735997</v>
      </c>
      <c r="F39" s="18"/>
      <c r="G39" s="19">
        <v>103010</v>
      </c>
      <c r="H39" s="17">
        <f t="shared" si="2"/>
        <v>20738.706569019083</v>
      </c>
      <c r="I39" s="542">
        <f t="shared" si="3"/>
        <v>48.237926122822877</v>
      </c>
      <c r="J39" s="18"/>
      <c r="K39" s="21">
        <v>2253</v>
      </c>
      <c r="Q39" s="549"/>
      <c r="R39" s="549"/>
      <c r="S39" s="549"/>
      <c r="T39" s="549"/>
      <c r="U39" s="549"/>
      <c r="V39" s="549"/>
      <c r="W39" s="549"/>
    </row>
    <row r="40" spans="1:23" ht="13" x14ac:dyDescent="0.25">
      <c r="A40" s="11" t="s">
        <v>313</v>
      </c>
      <c r="B40" s="16"/>
      <c r="C40" s="19">
        <v>84250</v>
      </c>
      <c r="D40" s="17">
        <f t="shared" si="0"/>
        <v>19903.623697916668</v>
      </c>
      <c r="E40" s="542">
        <f t="shared" si="1"/>
        <v>46.295535660398848</v>
      </c>
      <c r="F40" s="18"/>
      <c r="G40" s="19">
        <v>91420</v>
      </c>
      <c r="H40" s="17">
        <f t="shared" si="2"/>
        <v>21597.498854166668</v>
      </c>
      <c r="I40" s="542">
        <f t="shared" si="3"/>
        <v>50.235464333218552</v>
      </c>
      <c r="J40" s="18"/>
      <c r="K40" s="21">
        <v>1920</v>
      </c>
      <c r="Q40" s="549"/>
      <c r="R40" s="549"/>
      <c r="S40" s="549"/>
      <c r="T40" s="549"/>
      <c r="U40" s="549"/>
      <c r="V40" s="549"/>
      <c r="W40" s="549"/>
    </row>
    <row r="41" spans="1:23" ht="13" x14ac:dyDescent="0.25">
      <c r="A41" s="7" t="s">
        <v>314</v>
      </c>
      <c r="B41" s="8"/>
      <c r="C41" s="9" t="s">
        <v>315</v>
      </c>
      <c r="D41" s="9" t="s">
        <v>316</v>
      </c>
      <c r="E41" s="9" t="s">
        <v>307</v>
      </c>
      <c r="F41" s="9"/>
      <c r="G41" s="9" t="s">
        <v>315</v>
      </c>
      <c r="H41" s="9" t="s">
        <v>316</v>
      </c>
      <c r="I41" s="9" t="s">
        <v>307</v>
      </c>
      <c r="J41" s="9"/>
      <c r="K41" s="10"/>
      <c r="Q41" s="549"/>
      <c r="R41" s="549"/>
      <c r="S41" s="549"/>
      <c r="T41" s="549"/>
      <c r="U41" s="549"/>
      <c r="V41" s="549"/>
      <c r="W41" s="549"/>
    </row>
    <row r="42" spans="1:23" ht="13" x14ac:dyDescent="0.25">
      <c r="A42" s="15" t="s">
        <v>896</v>
      </c>
      <c r="B42" s="16"/>
      <c r="C42" s="24">
        <v>19546300</v>
      </c>
      <c r="D42" s="17">
        <f t="shared" ref="D42:D50" si="4">C42/2000</f>
        <v>9773.15</v>
      </c>
      <c r="E42" s="542">
        <f t="shared" ref="E42:E50" si="5">D42*1.05506/1000*2.2046</f>
        <v>22.7322030001394</v>
      </c>
      <c r="F42" s="18"/>
      <c r="G42" s="19">
        <v>20608570</v>
      </c>
      <c r="H42" s="17">
        <f>G42/2000</f>
        <v>10304.285</v>
      </c>
      <c r="I42" s="542">
        <f t="shared" ref="I42:I50" si="6">H42*1.05506/1000*2.2046</f>
        <v>23.967615189707661</v>
      </c>
      <c r="J42" s="18"/>
      <c r="K42" s="22"/>
      <c r="Q42" s="549"/>
      <c r="R42" s="549"/>
      <c r="S42" s="549"/>
      <c r="T42" s="549"/>
      <c r="U42" s="549"/>
      <c r="V42" s="549"/>
      <c r="W42" s="549"/>
    </row>
    <row r="43" spans="1:23" ht="13" x14ac:dyDescent="0.25">
      <c r="A43" s="15" t="s">
        <v>897</v>
      </c>
      <c r="B43" s="16"/>
      <c r="C43" s="24">
        <v>22460600</v>
      </c>
      <c r="D43" s="17">
        <f t="shared" si="4"/>
        <v>11230.3</v>
      </c>
      <c r="E43" s="542">
        <f t="shared" si="5"/>
        <v>26.121512445062798</v>
      </c>
      <c r="F43" s="18"/>
      <c r="G43" s="19">
        <v>23445900</v>
      </c>
      <c r="H43" s="17">
        <f t="shared" ref="H43:H50" si="7">G43/2000</f>
        <v>11722.95</v>
      </c>
      <c r="I43" s="542">
        <f t="shared" si="6"/>
        <v>27.267409091284208</v>
      </c>
      <c r="J43" s="18"/>
      <c r="K43" s="22"/>
      <c r="Q43" s="549"/>
      <c r="R43" s="549"/>
      <c r="S43" s="549"/>
      <c r="T43" s="549"/>
      <c r="U43" s="549"/>
      <c r="V43" s="549"/>
      <c r="W43" s="549"/>
    </row>
    <row r="44" spans="1:23" ht="13" x14ac:dyDescent="0.25">
      <c r="A44" s="11" t="s">
        <v>898</v>
      </c>
      <c r="B44" s="12"/>
      <c r="C44" s="24">
        <v>24600497.144575384</v>
      </c>
      <c r="D44" s="17">
        <f t="shared" si="4"/>
        <v>12300.248572287692</v>
      </c>
      <c r="E44" s="542">
        <f t="shared" si="5"/>
        <v>28.610197070281195</v>
      </c>
      <c r="F44" s="18"/>
      <c r="G44" s="19">
        <v>25679670</v>
      </c>
      <c r="H44" s="17">
        <f t="shared" si="7"/>
        <v>12839.834999999999</v>
      </c>
      <c r="I44" s="542">
        <f t="shared" si="6"/>
        <v>29.865267156269461</v>
      </c>
      <c r="J44" s="18"/>
      <c r="K44" s="22"/>
    </row>
    <row r="45" spans="1:23" ht="13" x14ac:dyDescent="0.25">
      <c r="A45" s="15" t="s">
        <v>899</v>
      </c>
      <c r="B45" s="16"/>
      <c r="C45" s="24">
        <v>16811000</v>
      </c>
      <c r="D45" s="17">
        <f t="shared" si="4"/>
        <v>8405.5</v>
      </c>
      <c r="E45" s="542">
        <f t="shared" si="5"/>
        <v>19.551069237418005</v>
      </c>
      <c r="F45" s="18"/>
      <c r="G45" s="19">
        <v>17703170</v>
      </c>
      <c r="H45" s="17">
        <f t="shared" si="7"/>
        <v>8851.5849999999991</v>
      </c>
      <c r="I45" s="542">
        <f t="shared" si="6"/>
        <v>20.588656379262464</v>
      </c>
      <c r="J45" s="18"/>
      <c r="K45" s="22"/>
    </row>
    <row r="46" spans="1:23" ht="13" x14ac:dyDescent="0.25">
      <c r="A46" s="15" t="s">
        <v>900</v>
      </c>
      <c r="B46" s="16"/>
      <c r="C46" s="24">
        <v>14797554.763920812</v>
      </c>
      <c r="D46" s="17">
        <f t="shared" si="4"/>
        <v>7398.7773819604063</v>
      </c>
      <c r="E46" s="542">
        <f t="shared" si="5"/>
        <v>17.209447250841734</v>
      </c>
      <c r="F46" s="18"/>
      <c r="G46" s="19">
        <v>15582870</v>
      </c>
      <c r="H46" s="17">
        <f t="shared" si="7"/>
        <v>7791.4350000000004</v>
      </c>
      <c r="I46" s="542">
        <f t="shared" si="6"/>
        <v>18.122763088911064</v>
      </c>
      <c r="J46" s="18"/>
      <c r="K46" s="22"/>
    </row>
    <row r="47" spans="1:23" ht="13" x14ac:dyDescent="0.25">
      <c r="A47" s="15" t="s">
        <v>901</v>
      </c>
      <c r="B47" s="16"/>
      <c r="C47" s="24">
        <v>14075990</v>
      </c>
      <c r="D47" s="17">
        <f t="shared" si="4"/>
        <v>7037.9949999999999</v>
      </c>
      <c r="E47" s="542">
        <f t="shared" si="5"/>
        <v>16.370272742561625</v>
      </c>
      <c r="F47" s="18"/>
      <c r="G47" s="19">
        <v>14974460</v>
      </c>
      <c r="H47" s="17">
        <f t="shared" si="7"/>
        <v>7487.23</v>
      </c>
      <c r="I47" s="542">
        <f t="shared" si="6"/>
        <v>17.415186738025483</v>
      </c>
      <c r="J47" s="18"/>
      <c r="K47" s="22"/>
    </row>
    <row r="48" spans="1:23" ht="13" x14ac:dyDescent="0.25">
      <c r="A48" s="15" t="s">
        <v>902</v>
      </c>
      <c r="B48" s="16"/>
      <c r="C48" s="24">
        <v>13243490</v>
      </c>
      <c r="D48" s="17">
        <f t="shared" si="4"/>
        <v>6621.7449999999999</v>
      </c>
      <c r="E48" s="542">
        <f t="shared" si="5"/>
        <v>15.40208137142662</v>
      </c>
      <c r="F48" s="18"/>
      <c r="G48" s="19">
        <v>14164160</v>
      </c>
      <c r="H48" s="17">
        <f t="shared" si="7"/>
        <v>7082.08</v>
      </c>
      <c r="I48" s="542">
        <f t="shared" si="6"/>
        <v>16.472813803454081</v>
      </c>
      <c r="J48" s="18"/>
      <c r="K48" s="22"/>
    </row>
    <row r="49" spans="1:11" ht="13" x14ac:dyDescent="0.25">
      <c r="A49" s="15" t="s">
        <v>971</v>
      </c>
      <c r="B49" s="16"/>
      <c r="C49" s="24">
        <v>12947318</v>
      </c>
      <c r="D49" s="17">
        <f t="shared" si="4"/>
        <v>6473.6589999999997</v>
      </c>
      <c r="E49" s="542">
        <f t="shared" si="5"/>
        <v>15.057635515844886</v>
      </c>
      <c r="F49" s="18"/>
      <c r="G49" s="19">
        <v>14062678</v>
      </c>
      <c r="H49" s="17">
        <f t="shared" si="7"/>
        <v>7031.3389999999999</v>
      </c>
      <c r="I49" s="542">
        <f t="shared" si="6"/>
        <v>16.354790984564566</v>
      </c>
      <c r="J49" s="18"/>
      <c r="K49" s="22"/>
    </row>
    <row r="50" spans="1:11" ht="13" x14ac:dyDescent="0.25">
      <c r="A50" s="15" t="s">
        <v>972</v>
      </c>
      <c r="B50" s="16"/>
      <c r="C50" s="24">
        <v>25370000</v>
      </c>
      <c r="D50" s="17">
        <f t="shared" si="4"/>
        <v>12685</v>
      </c>
      <c r="E50" s="542">
        <f t="shared" si="5"/>
        <v>29.505123226060004</v>
      </c>
      <c r="F50" s="18"/>
      <c r="G50" s="19">
        <v>26920000</v>
      </c>
      <c r="H50" s="17">
        <f t="shared" si="7"/>
        <v>13460</v>
      </c>
      <c r="I50" s="542">
        <f t="shared" si="6"/>
        <v>31.307761814960006</v>
      </c>
      <c r="J50" s="18"/>
      <c r="K50" s="22"/>
    </row>
    <row r="51" spans="1:11" ht="13" x14ac:dyDescent="0.25">
      <c r="A51" s="1681" t="s">
        <v>317</v>
      </c>
      <c r="B51" s="1682"/>
      <c r="C51" s="1682"/>
      <c r="D51" s="1682"/>
      <c r="E51" s="1682"/>
      <c r="F51" s="1682"/>
      <c r="G51" s="1682"/>
      <c r="H51" s="1682"/>
      <c r="I51" s="1682"/>
      <c r="J51" s="1682"/>
      <c r="K51" s="1683"/>
    </row>
    <row r="52" spans="1:11" x14ac:dyDescent="0.25">
      <c r="A52" s="1678" t="s">
        <v>903</v>
      </c>
      <c r="B52" s="1679"/>
      <c r="C52" s="1679"/>
      <c r="D52" s="1679"/>
      <c r="E52" s="1679"/>
      <c r="F52" s="1679"/>
      <c r="G52" s="1679"/>
      <c r="H52" s="1679"/>
      <c r="I52" s="1679"/>
      <c r="J52" s="1679"/>
      <c r="K52" s="1680"/>
    </row>
    <row r="53" spans="1:11" x14ac:dyDescent="0.25">
      <c r="A53" s="1667" t="s">
        <v>904</v>
      </c>
      <c r="B53" s="1668"/>
      <c r="C53" s="1668"/>
      <c r="D53" s="1668"/>
      <c r="E53" s="1668"/>
      <c r="F53" s="1668"/>
      <c r="G53" s="1668"/>
      <c r="H53" s="1668"/>
      <c r="I53" s="1668"/>
      <c r="J53" s="1668"/>
      <c r="K53" s="1669"/>
    </row>
    <row r="54" spans="1:11" x14ac:dyDescent="0.25">
      <c r="A54" s="1667" t="s">
        <v>905</v>
      </c>
      <c r="B54" s="1668"/>
      <c r="C54" s="1668"/>
      <c r="D54" s="1668"/>
      <c r="E54" s="1668"/>
      <c r="F54" s="1668"/>
      <c r="G54" s="1668"/>
      <c r="H54" s="1668"/>
      <c r="I54" s="1668"/>
      <c r="J54" s="1668"/>
      <c r="K54" s="1669"/>
    </row>
    <row r="55" spans="1:11" x14ac:dyDescent="0.25">
      <c r="A55" s="1667" t="s">
        <v>906</v>
      </c>
      <c r="B55" s="1668"/>
      <c r="C55" s="1668"/>
      <c r="D55" s="1668"/>
      <c r="E55" s="1668"/>
      <c r="F55" s="1668"/>
      <c r="G55" s="1668"/>
      <c r="H55" s="1668"/>
      <c r="I55" s="1668"/>
      <c r="J55" s="1668"/>
      <c r="K55" s="1669"/>
    </row>
    <row r="56" spans="1:11" x14ac:dyDescent="0.25">
      <c r="A56" s="1688" t="s">
        <v>318</v>
      </c>
      <c r="B56" s="1689"/>
      <c r="C56" s="1689"/>
      <c r="D56" s="1689"/>
      <c r="E56" s="1689"/>
      <c r="F56" s="1689"/>
      <c r="G56" s="1689"/>
      <c r="H56" s="1689"/>
      <c r="I56" s="1689"/>
      <c r="J56" s="1689"/>
      <c r="K56" s="1690"/>
    </row>
    <row r="57" spans="1:11" x14ac:dyDescent="0.25">
      <c r="A57" s="1667" t="s">
        <v>319</v>
      </c>
      <c r="B57" s="1668"/>
      <c r="C57" s="1668"/>
      <c r="D57" s="1668"/>
      <c r="E57" s="1668"/>
      <c r="F57" s="1668"/>
      <c r="G57" s="1668"/>
      <c r="H57" s="1668"/>
      <c r="I57" s="1668"/>
      <c r="J57" s="1668"/>
      <c r="K57" s="1669"/>
    </row>
    <row r="58" spans="1:11" x14ac:dyDescent="0.25">
      <c r="A58" s="1667" t="s">
        <v>907</v>
      </c>
      <c r="B58" s="1668"/>
      <c r="C58" s="1668"/>
      <c r="D58" s="1668"/>
      <c r="E58" s="1668"/>
      <c r="F58" s="1668"/>
      <c r="G58" s="1668"/>
      <c r="H58" s="1668"/>
      <c r="I58" s="1668"/>
      <c r="J58" s="1668"/>
      <c r="K58" s="1669"/>
    </row>
    <row r="59" spans="1:11" x14ac:dyDescent="0.25">
      <c r="A59" s="1667" t="s">
        <v>908</v>
      </c>
      <c r="B59" s="1668"/>
      <c r="C59" s="1668"/>
      <c r="D59" s="1668"/>
      <c r="E59" s="1668"/>
      <c r="F59" s="1668"/>
      <c r="G59" s="1668"/>
      <c r="H59" s="1668"/>
      <c r="I59" s="1668"/>
      <c r="J59" s="1668"/>
      <c r="K59" s="1669"/>
    </row>
    <row r="60" spans="1:11" x14ac:dyDescent="0.25">
      <c r="A60" s="25"/>
      <c r="B60" s="26"/>
      <c r="C60" s="26"/>
      <c r="D60" s="26"/>
      <c r="E60" s="26"/>
      <c r="F60" s="26"/>
      <c r="G60" s="26"/>
      <c r="H60" s="26"/>
      <c r="I60" s="26"/>
      <c r="J60" s="26"/>
      <c r="K60" s="27"/>
    </row>
    <row r="61" spans="1:11" x14ac:dyDescent="0.25">
      <c r="A61" s="1667" t="s">
        <v>320</v>
      </c>
      <c r="B61" s="1668"/>
      <c r="C61" s="1668"/>
      <c r="D61" s="1668"/>
      <c r="E61" s="1668"/>
      <c r="F61" s="1668"/>
      <c r="G61" s="1668"/>
      <c r="H61" s="1668"/>
      <c r="I61" s="1668"/>
      <c r="J61" s="1668"/>
      <c r="K61" s="1669"/>
    </row>
    <row r="62" spans="1:11" ht="13" thickBot="1" x14ac:dyDescent="0.3">
      <c r="A62" s="1673" t="s">
        <v>973</v>
      </c>
      <c r="B62" s="1674"/>
      <c r="C62" s="1674"/>
      <c r="D62" s="1674"/>
      <c r="E62" s="1674"/>
      <c r="F62" s="1674"/>
      <c r="G62" s="1674"/>
      <c r="H62" s="1674"/>
      <c r="I62" s="1674"/>
      <c r="J62" s="1674"/>
      <c r="K62" s="1675"/>
    </row>
    <row r="63" spans="1:11" x14ac:dyDescent="0.25">
      <c r="A63" s="537"/>
      <c r="B63" s="538"/>
      <c r="C63" s="538"/>
      <c r="D63" s="538"/>
      <c r="E63" s="538"/>
      <c r="F63" s="538"/>
      <c r="G63" s="538"/>
      <c r="H63" s="538"/>
      <c r="I63" s="538"/>
      <c r="J63" s="538"/>
      <c r="K63" s="538"/>
    </row>
    <row r="64" spans="1:11" x14ac:dyDescent="0.25">
      <c r="A64" s="537"/>
      <c r="B64" s="538"/>
      <c r="C64" s="538"/>
      <c r="D64" s="538"/>
      <c r="E64" s="538"/>
      <c r="F64" s="538"/>
      <c r="G64" s="538"/>
      <c r="H64" s="538"/>
      <c r="I64" s="538"/>
      <c r="J64" s="538"/>
      <c r="K64" s="538"/>
    </row>
    <row r="65" spans="1:14" x14ac:dyDescent="0.25">
      <c r="A65" s="537"/>
      <c r="B65" s="538"/>
      <c r="C65" s="538"/>
      <c r="D65" s="538"/>
      <c r="E65" s="538"/>
      <c r="F65" s="538"/>
      <c r="G65" s="538"/>
      <c r="H65" s="538"/>
      <c r="I65" s="538"/>
      <c r="J65" s="538"/>
      <c r="K65" s="538"/>
    </row>
    <row r="66" spans="1:14" x14ac:dyDescent="0.25">
      <c r="A66" s="537"/>
      <c r="B66" s="538"/>
      <c r="C66" s="538"/>
      <c r="D66" s="538"/>
      <c r="E66" s="538"/>
      <c r="F66" s="538"/>
      <c r="G66" s="538"/>
      <c r="H66" s="538"/>
      <c r="I66" s="538"/>
      <c r="J66" s="538"/>
      <c r="K66" s="538"/>
    </row>
    <row r="68" spans="1:14" ht="13" thickBot="1" x14ac:dyDescent="0.3"/>
    <row r="69" spans="1:14" ht="43.5" customHeight="1" thickTop="1" thickBot="1" x14ac:dyDescent="0.3">
      <c r="A69" s="371" t="s">
        <v>1083</v>
      </c>
      <c r="B69" s="372"/>
      <c r="C69" s="372"/>
      <c r="D69" s="372"/>
      <c r="E69" s="372"/>
      <c r="F69" s="372"/>
      <c r="G69" s="372"/>
      <c r="H69" s="372"/>
      <c r="I69" s="372"/>
      <c r="J69" s="372"/>
      <c r="K69" s="373"/>
      <c r="L69" s="373"/>
      <c r="M69" s="634"/>
      <c r="N69" s="635"/>
    </row>
    <row r="70" spans="1:14" ht="56.5" thickTop="1" x14ac:dyDescent="0.25">
      <c r="A70" s="636" t="s">
        <v>1090</v>
      </c>
      <c r="B70" s="637" t="s">
        <v>1031</v>
      </c>
      <c r="C70" s="638" t="s">
        <v>1040</v>
      </c>
      <c r="D70" s="638" t="s">
        <v>1041</v>
      </c>
      <c r="E70" s="637" t="s">
        <v>190</v>
      </c>
      <c r="F70" s="637" t="s">
        <v>1039</v>
      </c>
      <c r="G70" s="639" t="s">
        <v>1038</v>
      </c>
      <c r="H70" s="640" t="s">
        <v>267</v>
      </c>
      <c r="I70" s="637" t="s">
        <v>703</v>
      </c>
      <c r="J70" s="637" t="s">
        <v>1056</v>
      </c>
      <c r="K70" s="641" t="s">
        <v>702</v>
      </c>
      <c r="L70" s="641" t="s">
        <v>931</v>
      </c>
      <c r="M70" s="642" t="s">
        <v>533</v>
      </c>
      <c r="N70" s="643" t="s">
        <v>534</v>
      </c>
    </row>
    <row r="71" spans="1:14" ht="37.5" x14ac:dyDescent="0.25">
      <c r="A71" s="893" t="s">
        <v>1085</v>
      </c>
      <c r="B71" s="648" t="s">
        <v>865</v>
      </c>
      <c r="C71" s="894" t="s">
        <v>699</v>
      </c>
      <c r="D71" s="648">
        <v>2007</v>
      </c>
      <c r="E71" s="895" t="s">
        <v>700</v>
      </c>
      <c r="F71" s="649"/>
      <c r="G71" s="648"/>
      <c r="H71" s="895" t="s">
        <v>864</v>
      </c>
      <c r="I71" s="845">
        <f>mmBTU_to_GJ</f>
        <v>1.0549999999999999</v>
      </c>
      <c r="J71" s="644" t="s">
        <v>1058</v>
      </c>
      <c r="K71" s="645">
        <v>56.31533863997597</v>
      </c>
      <c r="L71" s="645" t="s">
        <v>932</v>
      </c>
      <c r="M71" s="646"/>
      <c r="N71" s="647"/>
    </row>
    <row r="72" spans="1:14" ht="37.5" x14ac:dyDescent="0.25">
      <c r="A72" s="893" t="s">
        <v>283</v>
      </c>
      <c r="B72" s="648" t="s">
        <v>865</v>
      </c>
      <c r="C72" s="894" t="s">
        <v>699</v>
      </c>
      <c r="D72" s="648">
        <v>2007</v>
      </c>
      <c r="E72" s="895" t="s">
        <v>700</v>
      </c>
      <c r="F72" s="649"/>
      <c r="G72" s="648"/>
      <c r="H72" s="895" t="s">
        <v>864</v>
      </c>
      <c r="I72" s="845">
        <f>mmBTU_to_GJ</f>
        <v>1.0549999999999999</v>
      </c>
      <c r="J72" s="644" t="s">
        <v>1058</v>
      </c>
      <c r="K72" s="645">
        <v>56.31533863997597</v>
      </c>
      <c r="L72" s="645" t="s">
        <v>932</v>
      </c>
      <c r="M72" s="646"/>
      <c r="N72" s="647"/>
    </row>
    <row r="73" spans="1:14" ht="37.5" x14ac:dyDescent="0.25">
      <c r="A73" s="893" t="s">
        <v>681</v>
      </c>
      <c r="B73" s="648" t="s">
        <v>865</v>
      </c>
      <c r="C73" s="894" t="s">
        <v>699</v>
      </c>
      <c r="D73" s="648">
        <v>2007</v>
      </c>
      <c r="E73" s="895" t="s">
        <v>700</v>
      </c>
      <c r="F73" s="649"/>
      <c r="G73" s="648"/>
      <c r="H73" s="895" t="s">
        <v>864</v>
      </c>
      <c r="I73" s="845">
        <f>mmBTU_to_GJ</f>
        <v>1.0549999999999999</v>
      </c>
      <c r="J73" s="644" t="s">
        <v>1058</v>
      </c>
      <c r="K73" s="645">
        <v>56.31533863997597</v>
      </c>
      <c r="L73" s="645" t="s">
        <v>932</v>
      </c>
      <c r="M73" s="646"/>
      <c r="N73" s="647"/>
    </row>
    <row r="74" spans="1:14" ht="37.5" x14ac:dyDescent="0.25">
      <c r="A74" s="893" t="s">
        <v>1086</v>
      </c>
      <c r="B74" s="648" t="s">
        <v>865</v>
      </c>
      <c r="C74" s="894" t="s">
        <v>699</v>
      </c>
      <c r="D74" s="648">
        <v>2007</v>
      </c>
      <c r="E74" s="895" t="s">
        <v>700</v>
      </c>
      <c r="F74" s="649"/>
      <c r="G74" s="648"/>
      <c r="H74" s="895" t="s">
        <v>864</v>
      </c>
      <c r="I74" s="845">
        <f>mmBTU_to_GJ</f>
        <v>1.0549999999999999</v>
      </c>
      <c r="J74" s="644" t="s">
        <v>1058</v>
      </c>
      <c r="K74" s="645">
        <v>56.31533863997597</v>
      </c>
      <c r="L74" s="645" t="s">
        <v>932</v>
      </c>
      <c r="M74" s="646"/>
      <c r="N74" s="647"/>
    </row>
    <row r="75" spans="1:14" ht="25" x14ac:dyDescent="0.25">
      <c r="A75" s="893" t="s">
        <v>682</v>
      </c>
      <c r="B75" s="648"/>
      <c r="C75" s="894" t="s">
        <v>699</v>
      </c>
      <c r="D75" s="648">
        <v>2007</v>
      </c>
      <c r="E75" s="895" t="s">
        <v>700</v>
      </c>
      <c r="F75" s="649"/>
      <c r="G75" s="648"/>
      <c r="H75" s="895" t="s">
        <v>864</v>
      </c>
      <c r="I75" s="845">
        <f>mmBTU_to_GJ</f>
        <v>1.0549999999999999</v>
      </c>
      <c r="J75" s="644" t="s">
        <v>1058</v>
      </c>
      <c r="K75" s="645">
        <v>56.31533863997597</v>
      </c>
      <c r="L75" s="645" t="s">
        <v>932</v>
      </c>
      <c r="M75" s="646"/>
      <c r="N75" s="647"/>
    </row>
    <row r="76" spans="1:14" ht="37.5" x14ac:dyDescent="0.25">
      <c r="A76" s="893" t="s">
        <v>683</v>
      </c>
      <c r="B76" s="648" t="s">
        <v>865</v>
      </c>
      <c r="C76" s="894" t="s">
        <v>699</v>
      </c>
      <c r="D76" s="648">
        <v>2007</v>
      </c>
      <c r="E76" s="895" t="s">
        <v>701</v>
      </c>
      <c r="F76" s="648"/>
      <c r="G76" s="648"/>
      <c r="H76" s="644" t="s">
        <v>296</v>
      </c>
      <c r="I76" s="845">
        <f>1/MJ_to_kWh/1000</f>
        <v>3.5999999999999995E-3</v>
      </c>
      <c r="J76" s="644" t="s">
        <v>1071</v>
      </c>
      <c r="K76" s="645">
        <v>0</v>
      </c>
      <c r="L76" s="645" t="s">
        <v>932</v>
      </c>
      <c r="M76" s="646"/>
      <c r="N76" s="647"/>
    </row>
    <row r="77" spans="1:14" ht="37.5" x14ac:dyDescent="0.25">
      <c r="A77" s="893" t="s">
        <v>698</v>
      </c>
      <c r="B77" s="648" t="s">
        <v>865</v>
      </c>
      <c r="C77" s="894" t="s">
        <v>699</v>
      </c>
      <c r="D77" s="648">
        <v>2007</v>
      </c>
      <c r="E77" s="895" t="s">
        <v>701</v>
      </c>
      <c r="F77" s="648"/>
      <c r="G77" s="648"/>
      <c r="H77" s="644" t="s">
        <v>296</v>
      </c>
      <c r="I77" s="845">
        <f>1/MJ_to_kWh/1000</f>
        <v>3.5999999999999995E-3</v>
      </c>
      <c r="J77" s="644" t="s">
        <v>1071</v>
      </c>
      <c r="K77" s="645">
        <v>0</v>
      </c>
      <c r="L77" s="645" t="s">
        <v>932</v>
      </c>
      <c r="M77" s="646"/>
      <c r="N77" s="647"/>
    </row>
    <row r="78" spans="1:14" ht="37.5" x14ac:dyDescent="0.25">
      <c r="A78" s="893" t="s">
        <v>684</v>
      </c>
      <c r="B78" s="648" t="s">
        <v>865</v>
      </c>
      <c r="C78" s="894" t="s">
        <v>699</v>
      </c>
      <c r="D78" s="648">
        <v>2007</v>
      </c>
      <c r="E78" s="895" t="s">
        <v>701</v>
      </c>
      <c r="F78" s="648"/>
      <c r="G78" s="648"/>
      <c r="H78" s="644" t="s">
        <v>296</v>
      </c>
      <c r="I78" s="845">
        <f>1/MJ_to_kWh/1000</f>
        <v>3.5999999999999995E-3</v>
      </c>
      <c r="J78" s="644" t="s">
        <v>1071</v>
      </c>
      <c r="K78" s="645">
        <v>0</v>
      </c>
      <c r="L78" s="645" t="s">
        <v>932</v>
      </c>
      <c r="M78" s="646"/>
      <c r="N78" s="647"/>
    </row>
    <row r="79" spans="1:14" ht="37.5" x14ac:dyDescent="0.25">
      <c r="A79" s="893" t="s">
        <v>1087</v>
      </c>
      <c r="B79" s="648" t="s">
        <v>865</v>
      </c>
      <c r="C79" s="894" t="s">
        <v>699</v>
      </c>
      <c r="D79" s="648">
        <v>2007</v>
      </c>
      <c r="E79" s="895" t="s">
        <v>700</v>
      </c>
      <c r="F79" s="649"/>
      <c r="G79" s="648"/>
      <c r="H79" s="644" t="s">
        <v>268</v>
      </c>
      <c r="I79" s="845">
        <f>$C$42/2000/lb_to_kg/1000000*mmBTU_to_GJ</f>
        <v>2.2735034516249999E-2</v>
      </c>
      <c r="J79" s="644" t="s">
        <v>1052</v>
      </c>
      <c r="K79" s="645">
        <v>102.75287348239476</v>
      </c>
      <c r="L79" s="645" t="s">
        <v>932</v>
      </c>
      <c r="M79" s="646"/>
      <c r="N79" s="647"/>
    </row>
    <row r="80" spans="1:14" ht="37.5" x14ac:dyDescent="0.25">
      <c r="A80" s="893" t="s">
        <v>716</v>
      </c>
      <c r="B80" s="648" t="s">
        <v>865</v>
      </c>
      <c r="C80" s="894" t="s">
        <v>699</v>
      </c>
      <c r="D80" s="648">
        <v>2007</v>
      </c>
      <c r="E80" s="895" t="s">
        <v>700</v>
      </c>
      <c r="F80" s="649"/>
      <c r="G80" s="648"/>
      <c r="H80" s="644" t="s">
        <v>268</v>
      </c>
      <c r="I80" s="845">
        <f>$C$42/2000/lb_to_kg/1000000*mmBTU_to_GJ</f>
        <v>2.2735034516249999E-2</v>
      </c>
      <c r="J80" s="644" t="s">
        <v>1052</v>
      </c>
      <c r="K80" s="645">
        <v>102.75287348239476</v>
      </c>
      <c r="L80" s="645" t="s">
        <v>932</v>
      </c>
      <c r="M80" s="646"/>
      <c r="N80" s="647"/>
    </row>
    <row r="81" spans="1:14" ht="37.5" x14ac:dyDescent="0.25">
      <c r="A81" s="893" t="s">
        <v>717</v>
      </c>
      <c r="B81" s="648" t="s">
        <v>865</v>
      </c>
      <c r="C81" s="894" t="s">
        <v>699</v>
      </c>
      <c r="D81" s="648">
        <v>2007</v>
      </c>
      <c r="E81" s="895" t="s">
        <v>700</v>
      </c>
      <c r="F81" s="649"/>
      <c r="G81" s="648"/>
      <c r="H81" s="644" t="s">
        <v>268</v>
      </c>
      <c r="I81" s="845">
        <f>$C$42/2000/lb_to_kg/1000000*mmBTU_to_GJ</f>
        <v>2.2735034516249999E-2</v>
      </c>
      <c r="J81" s="644" t="s">
        <v>1052</v>
      </c>
      <c r="K81" s="645">
        <v>102.75287348239476</v>
      </c>
      <c r="L81" s="645" t="s">
        <v>932</v>
      </c>
      <c r="M81" s="646"/>
      <c r="N81" s="647"/>
    </row>
    <row r="82" spans="1:14" ht="37.5" x14ac:dyDescent="0.25">
      <c r="A82" s="893" t="s">
        <v>912</v>
      </c>
      <c r="B82" s="648" t="s">
        <v>865</v>
      </c>
      <c r="C82" s="894" t="s">
        <v>699</v>
      </c>
      <c r="D82" s="648">
        <v>2007</v>
      </c>
      <c r="E82" s="895" t="s">
        <v>700</v>
      </c>
      <c r="F82" s="649"/>
      <c r="G82" s="648"/>
      <c r="H82" s="644" t="s">
        <v>269</v>
      </c>
      <c r="I82" s="845">
        <f>$C$14/gal_to_liters*mmBTU_to_GJ/1000000</f>
        <v>3.5803104359313075E-2</v>
      </c>
      <c r="J82" s="644" t="s">
        <v>1058</v>
      </c>
      <c r="K82" s="645">
        <v>74.122324937568308</v>
      </c>
      <c r="L82" s="645" t="s">
        <v>932</v>
      </c>
      <c r="M82" s="646"/>
      <c r="N82" s="647"/>
    </row>
    <row r="83" spans="1:14" ht="37.5" x14ac:dyDescent="0.25">
      <c r="A83" s="893" t="s">
        <v>910</v>
      </c>
      <c r="B83" s="648" t="s">
        <v>865</v>
      </c>
      <c r="C83" s="894" t="s">
        <v>699</v>
      </c>
      <c r="D83" s="648">
        <v>2007</v>
      </c>
      <c r="E83" s="895" t="s">
        <v>700</v>
      </c>
      <c r="F83" s="649"/>
      <c r="G83" s="648"/>
      <c r="H83" s="644" t="s">
        <v>269</v>
      </c>
      <c r="I83" s="845">
        <f>$Q$14/gal_to_liters*mmBTU_to_GJ/1000000</f>
        <v>2.4157130779392338E-2</v>
      </c>
      <c r="J83" s="644" t="s">
        <v>1052</v>
      </c>
      <c r="K83" s="645">
        <v>71.019041167591709</v>
      </c>
      <c r="L83" s="645" t="s">
        <v>932</v>
      </c>
      <c r="M83" s="646"/>
      <c r="N83" s="647"/>
    </row>
    <row r="84" spans="1:14" ht="37.5" x14ac:dyDescent="0.25">
      <c r="A84" s="893" t="s">
        <v>913</v>
      </c>
      <c r="B84" s="648" t="s">
        <v>865</v>
      </c>
      <c r="C84" s="894" t="s">
        <v>699</v>
      </c>
      <c r="D84" s="648">
        <v>2007</v>
      </c>
      <c r="E84" s="895" t="s">
        <v>700</v>
      </c>
      <c r="F84" s="649"/>
      <c r="G84" s="648"/>
      <c r="H84" s="644" t="s">
        <v>269</v>
      </c>
      <c r="I84" s="845">
        <f>$C$11/gal_to_liters*mmBTU_to_GJ/1000000</f>
        <v>3.2357978863936591E-2</v>
      </c>
      <c r="J84" s="644" t="s">
        <v>1052</v>
      </c>
      <c r="K84" s="645">
        <v>72.833307273582633</v>
      </c>
      <c r="L84" s="645" t="s">
        <v>932</v>
      </c>
      <c r="M84" s="646"/>
      <c r="N84" s="647"/>
    </row>
    <row r="85" spans="1:14" ht="275" x14ac:dyDescent="0.25">
      <c r="A85" s="893" t="s">
        <v>1081</v>
      </c>
      <c r="B85" s="844" t="s">
        <v>437</v>
      </c>
      <c r="C85" s="894" t="s">
        <v>699</v>
      </c>
      <c r="D85" s="648">
        <v>2007</v>
      </c>
      <c r="E85" s="895" t="s">
        <v>701</v>
      </c>
      <c r="F85" s="649"/>
      <c r="G85" s="648"/>
      <c r="H85" s="644" t="s">
        <v>268</v>
      </c>
      <c r="I85" s="845">
        <f>$E$45/1000</f>
        <v>1.9551069237418006E-2</v>
      </c>
      <c r="J85" s="644" t="s">
        <v>1052</v>
      </c>
      <c r="K85" s="645">
        <v>97.876597052612851</v>
      </c>
      <c r="L85" s="645" t="s">
        <v>932</v>
      </c>
      <c r="M85" s="646"/>
      <c r="N85" s="647"/>
    </row>
    <row r="86" spans="1:14" x14ac:dyDescent="0.25">
      <c r="A86" s="893" t="s">
        <v>815</v>
      </c>
      <c r="B86" s="844"/>
      <c r="C86" s="894"/>
      <c r="D86" s="648"/>
      <c r="E86" s="895" t="s">
        <v>701</v>
      </c>
      <c r="F86" s="649"/>
      <c r="G86" s="648"/>
      <c r="H86" s="644" t="s">
        <v>268</v>
      </c>
      <c r="I86" s="845">
        <f>$E$45/1000</f>
        <v>1.9551069237418006E-2</v>
      </c>
      <c r="J86" s="644" t="s">
        <v>1052</v>
      </c>
      <c r="K86" s="645">
        <v>97.876597052612851</v>
      </c>
      <c r="L86" s="645" t="s">
        <v>932</v>
      </c>
      <c r="M86" s="646"/>
      <c r="N86" s="647"/>
    </row>
    <row r="87" spans="1:14" ht="75" x14ac:dyDescent="0.25">
      <c r="A87" s="893" t="s">
        <v>824</v>
      </c>
      <c r="B87" s="995" t="s">
        <v>832</v>
      </c>
      <c r="C87" s="894"/>
      <c r="D87" s="648"/>
      <c r="E87" s="895" t="s">
        <v>701</v>
      </c>
      <c r="F87" s="649"/>
      <c r="G87" s="648"/>
      <c r="H87" s="644" t="s">
        <v>268</v>
      </c>
      <c r="I87" s="845">
        <f>18.608/1000</f>
        <v>1.8608E-2</v>
      </c>
      <c r="J87" s="644" t="s">
        <v>1052</v>
      </c>
      <c r="K87" s="645">
        <v>97.876597052612851</v>
      </c>
      <c r="L87" s="645" t="s">
        <v>932</v>
      </c>
      <c r="M87" s="646"/>
      <c r="N87" s="647"/>
    </row>
    <row r="88" spans="1:14" ht="75" x14ac:dyDescent="0.25">
      <c r="A88" s="893" t="s">
        <v>1088</v>
      </c>
      <c r="B88" s="648" t="s">
        <v>1089</v>
      </c>
      <c r="C88" s="894" t="s">
        <v>699</v>
      </c>
      <c r="D88" s="648">
        <v>2007</v>
      </c>
      <c r="E88" s="895" t="s">
        <v>701</v>
      </c>
      <c r="F88" s="649"/>
      <c r="G88" s="648"/>
      <c r="H88" s="644" t="s">
        <v>268</v>
      </c>
      <c r="I88" s="845">
        <v>2.8300000000000001E-3</v>
      </c>
      <c r="J88" s="644" t="s">
        <v>1071</v>
      </c>
      <c r="K88" s="645">
        <v>0</v>
      </c>
      <c r="L88" s="645" t="s">
        <v>932</v>
      </c>
      <c r="M88" s="646"/>
      <c r="N88" s="647"/>
    </row>
    <row r="90" spans="1:14" ht="13" thickBot="1" x14ac:dyDescent="0.3"/>
    <row r="91" spans="1:14" ht="33.75" customHeight="1" thickTop="1" x14ac:dyDescent="0.3">
      <c r="A91" s="1665" t="s">
        <v>992</v>
      </c>
      <c r="B91" s="1666"/>
      <c r="D91" s="1665" t="s">
        <v>685</v>
      </c>
      <c r="E91" s="1666"/>
      <c r="G91" s="1665" t="s">
        <v>686</v>
      </c>
      <c r="H91" s="1666"/>
      <c r="K91" s="1676" t="s">
        <v>688</v>
      </c>
      <c r="L91" s="1677"/>
    </row>
    <row r="92" spans="1:14" ht="41.25" customHeight="1" thickBot="1" x14ac:dyDescent="0.3">
      <c r="A92" s="1232" t="s">
        <v>1100</v>
      </c>
      <c r="B92" s="1046"/>
      <c r="D92" s="1663" t="s">
        <v>687</v>
      </c>
      <c r="E92" s="1664"/>
      <c r="G92" s="1232" t="s">
        <v>1101</v>
      </c>
      <c r="H92" s="1046"/>
      <c r="K92" s="1663" t="s">
        <v>689</v>
      </c>
      <c r="L92" s="1664"/>
      <c r="N92" s="1301"/>
    </row>
    <row r="93" spans="1:14" ht="14" x14ac:dyDescent="0.3">
      <c r="A93" s="30" t="s">
        <v>1084</v>
      </c>
      <c r="B93" s="31" t="s">
        <v>1092</v>
      </c>
      <c r="D93" s="30" t="s">
        <v>1084</v>
      </c>
      <c r="E93" s="31" t="s">
        <v>1092</v>
      </c>
      <c r="G93" s="30" t="s">
        <v>1084</v>
      </c>
      <c r="H93" s="31" t="s">
        <v>1092</v>
      </c>
      <c r="K93" s="30" t="s">
        <v>1084</v>
      </c>
      <c r="L93" s="31" t="s">
        <v>1092</v>
      </c>
    </row>
    <row r="94" spans="1:14" ht="28.5" customHeight="1" x14ac:dyDescent="0.25">
      <c r="A94" s="1043">
        <v>1992</v>
      </c>
      <c r="B94" s="1044">
        <v>70.563999999999993</v>
      </c>
      <c r="C94" s="865"/>
      <c r="D94" s="1235">
        <v>1992</v>
      </c>
      <c r="E94" s="1236">
        <v>358.2</v>
      </c>
      <c r="F94" s="1306"/>
      <c r="G94" s="1235">
        <v>1992</v>
      </c>
      <c r="H94" s="1238">
        <v>13.7</v>
      </c>
      <c r="K94" s="1235">
        <v>1980</v>
      </c>
      <c r="L94" s="1239">
        <v>55.195749555178075</v>
      </c>
    </row>
    <row r="95" spans="1:14" x14ac:dyDescent="0.25">
      <c r="A95" s="1043">
        <v>1993</v>
      </c>
      <c r="B95" s="1044">
        <v>72.244</v>
      </c>
      <c r="D95" s="1235">
        <v>1993</v>
      </c>
      <c r="E95" s="1236">
        <v>359.2</v>
      </c>
      <c r="F95" s="1306"/>
      <c r="G95" s="1235">
        <v>1993</v>
      </c>
      <c r="H95" s="1238">
        <v>13.97</v>
      </c>
      <c r="K95" s="1235">
        <v>1981</v>
      </c>
      <c r="L95" s="1239">
        <v>61.025412991342954</v>
      </c>
    </row>
    <row r="96" spans="1:14" x14ac:dyDescent="0.25">
      <c r="A96" s="1043">
        <v>1994</v>
      </c>
      <c r="B96" s="1044">
        <v>73.781000000000006</v>
      </c>
      <c r="D96" s="1235">
        <v>1994</v>
      </c>
      <c r="E96" s="1236">
        <v>368.1</v>
      </c>
      <c r="F96" s="1306"/>
      <c r="G96" s="1235">
        <v>1994</v>
      </c>
      <c r="H96" s="1238">
        <v>14.33</v>
      </c>
      <c r="K96" s="1235">
        <v>1982</v>
      </c>
      <c r="L96" s="1239">
        <v>62.017696129413558</v>
      </c>
    </row>
    <row r="97" spans="1:15" x14ac:dyDescent="0.25">
      <c r="A97" s="1043">
        <v>1995</v>
      </c>
      <c r="B97" s="1044">
        <v>75.320999999999998</v>
      </c>
      <c r="D97" s="1235">
        <v>1995</v>
      </c>
      <c r="E97" s="1236">
        <v>381.1</v>
      </c>
      <c r="F97" s="1306"/>
      <c r="G97" s="1235">
        <v>1995</v>
      </c>
      <c r="H97" s="1238">
        <v>14.86</v>
      </c>
      <c r="K97" s="1235">
        <v>1983</v>
      </c>
      <c r="L97" s="1239">
        <v>62.203749217801807</v>
      </c>
    </row>
    <row r="98" spans="1:15" x14ac:dyDescent="0.25">
      <c r="A98" s="1043">
        <v>1996</v>
      </c>
      <c r="B98" s="1044">
        <v>76.694999999999993</v>
      </c>
      <c r="D98" s="1235">
        <v>1996</v>
      </c>
      <c r="E98" s="1236">
        <v>381.7</v>
      </c>
      <c r="F98" s="1306"/>
      <c r="G98" s="1235">
        <v>1996</v>
      </c>
      <c r="H98" s="1238">
        <v>15.37</v>
      </c>
      <c r="K98" s="1235">
        <v>1984</v>
      </c>
      <c r="L98" s="1239">
        <v>63.81620931716656</v>
      </c>
    </row>
    <row r="99" spans="1:15" x14ac:dyDescent="0.25">
      <c r="A99" s="1043">
        <v>1997</v>
      </c>
      <c r="B99" s="1044">
        <v>78.009</v>
      </c>
      <c r="D99" s="1235">
        <v>1997</v>
      </c>
      <c r="E99" s="1236">
        <v>386.5</v>
      </c>
      <c r="F99" s="1306"/>
      <c r="G99" s="1235">
        <v>1997</v>
      </c>
      <c r="H99" s="1238">
        <v>15.78</v>
      </c>
      <c r="K99" s="1235">
        <v>1985</v>
      </c>
      <c r="L99" s="1239">
        <v>64.262922782386738</v>
      </c>
      <c r="M99" s="1303"/>
    </row>
    <row r="100" spans="1:15" x14ac:dyDescent="0.25">
      <c r="A100" s="1043">
        <v>1998</v>
      </c>
      <c r="B100" s="1044">
        <v>78.855000000000004</v>
      </c>
      <c r="D100" s="1235">
        <v>1998</v>
      </c>
      <c r="E100" s="1236">
        <v>389.5</v>
      </c>
      <c r="F100" s="1306"/>
      <c r="G100" s="1235">
        <v>1998</v>
      </c>
      <c r="H100" s="1238">
        <v>16.23</v>
      </c>
      <c r="K100" s="1235">
        <v>1986</v>
      </c>
      <c r="L100" s="1239">
        <v>64.135290363752389</v>
      </c>
      <c r="M100" s="1303"/>
      <c r="N100" s="1304"/>
      <c r="O100" s="1304"/>
    </row>
    <row r="101" spans="1:15" x14ac:dyDescent="0.25">
      <c r="A101" s="1043">
        <v>1999</v>
      </c>
      <c r="B101" s="1044">
        <v>80.061000000000007</v>
      </c>
      <c r="D101" s="1235">
        <v>1999</v>
      </c>
      <c r="E101" s="1236">
        <v>390.6</v>
      </c>
      <c r="F101" s="1306"/>
      <c r="G101" s="1235">
        <v>1999</v>
      </c>
      <c r="H101" s="1238">
        <v>16.399999999999999</v>
      </c>
      <c r="K101" s="1235">
        <v>1987</v>
      </c>
      <c r="L101" s="1239">
        <v>66.11359285258456</v>
      </c>
      <c r="M101" s="1303"/>
      <c r="N101" s="1304"/>
      <c r="O101" s="1304"/>
    </row>
    <row r="102" spans="1:15" x14ac:dyDescent="0.25">
      <c r="A102" s="1043">
        <v>2000</v>
      </c>
      <c r="B102" s="1044">
        <v>81.882999999999996</v>
      </c>
      <c r="D102" s="1235">
        <v>2000</v>
      </c>
      <c r="E102" s="1236">
        <v>394.1</v>
      </c>
      <c r="F102" s="1306"/>
      <c r="G102" s="1235">
        <v>2000</v>
      </c>
      <c r="H102" s="1238">
        <v>17.09</v>
      </c>
      <c r="K102" s="1235">
        <v>1988</v>
      </c>
      <c r="L102" s="1239">
        <v>72.112316528398225</v>
      </c>
      <c r="M102" s="1303"/>
      <c r="N102" s="1304"/>
      <c r="O102" s="1304"/>
    </row>
    <row r="103" spans="1:15" x14ac:dyDescent="0.25">
      <c r="A103" s="1043">
        <v>2001</v>
      </c>
      <c r="B103" s="1044">
        <v>83.753</v>
      </c>
      <c r="D103" s="1235">
        <v>2001</v>
      </c>
      <c r="E103" s="1236">
        <v>394.3</v>
      </c>
      <c r="F103" s="1306"/>
      <c r="G103" s="1235">
        <v>2001</v>
      </c>
      <c r="H103" s="1238">
        <v>17.57</v>
      </c>
      <c r="K103" s="1235">
        <v>1989</v>
      </c>
      <c r="L103" s="1239">
        <v>76.324186343331206</v>
      </c>
      <c r="M103" s="1303"/>
      <c r="N103" s="1304"/>
      <c r="O103" s="1304"/>
    </row>
    <row r="104" spans="1:15" x14ac:dyDescent="0.25">
      <c r="A104" s="1043">
        <v>2002</v>
      </c>
      <c r="B104" s="1044">
        <v>85.037999999999997</v>
      </c>
      <c r="D104" s="1235">
        <v>2002</v>
      </c>
      <c r="E104" s="1236">
        <v>395.6</v>
      </c>
      <c r="F104" s="1306"/>
      <c r="G104" s="1235">
        <v>2002</v>
      </c>
      <c r="H104" s="1238">
        <v>17.97</v>
      </c>
      <c r="K104" s="1235">
        <v>1990</v>
      </c>
      <c r="L104" s="1239">
        <v>77.217613273771548</v>
      </c>
      <c r="M104" s="1303"/>
      <c r="N104" s="1304"/>
      <c r="O104" s="1304"/>
    </row>
    <row r="105" spans="1:15" x14ac:dyDescent="0.25">
      <c r="A105" s="1043">
        <v>2003</v>
      </c>
      <c r="B105" s="1044">
        <v>86.728999999999999</v>
      </c>
      <c r="D105" s="1235">
        <v>2003</v>
      </c>
      <c r="E105" s="1236">
        <v>402</v>
      </c>
      <c r="F105" s="1306"/>
      <c r="G105" s="1235">
        <v>2003</v>
      </c>
      <c r="H105" s="1238">
        <v>18.5</v>
      </c>
      <c r="K105" s="1235">
        <v>1991</v>
      </c>
      <c r="L105" s="1239">
        <v>79.38736439055522</v>
      </c>
      <c r="M105" s="1303"/>
      <c r="N105" s="1304"/>
      <c r="O105" s="1304"/>
    </row>
    <row r="106" spans="1:15" x14ac:dyDescent="0.25">
      <c r="A106" s="1043">
        <v>2004</v>
      </c>
      <c r="B106" s="1044">
        <v>89.114000000000004</v>
      </c>
      <c r="D106" s="1235">
        <v>2004</v>
      </c>
      <c r="E106" s="1236">
        <v>444.2</v>
      </c>
      <c r="F106" s="1306"/>
      <c r="G106" s="1235">
        <v>2004</v>
      </c>
      <c r="H106" s="1238">
        <v>19.170000000000002</v>
      </c>
      <c r="K106" s="1235">
        <v>1992</v>
      </c>
      <c r="L106" s="1240">
        <v>80.280791320995533</v>
      </c>
      <c r="M106" s="1303"/>
      <c r="N106" s="1304"/>
      <c r="O106" s="1304"/>
    </row>
    <row r="107" spans="1:15" ht="13" x14ac:dyDescent="0.3">
      <c r="A107" s="1043">
        <v>2005</v>
      </c>
      <c r="B107" s="1044">
        <v>91.980999999999995</v>
      </c>
      <c r="D107" s="1235">
        <v>2005</v>
      </c>
      <c r="E107" s="1236">
        <v>468.2</v>
      </c>
      <c r="F107" s="1306"/>
      <c r="G107" s="1235">
        <v>2005</v>
      </c>
      <c r="H107" s="1396">
        <v>19.670000000000002</v>
      </c>
      <c r="K107" s="1235">
        <v>1993</v>
      </c>
      <c r="L107" s="1240">
        <v>81.174218251435875</v>
      </c>
      <c r="M107" s="1303"/>
      <c r="N107" s="1304"/>
      <c r="O107" s="1304"/>
    </row>
    <row r="108" spans="1:15" x14ac:dyDescent="0.25">
      <c r="A108" s="1043">
        <v>2006</v>
      </c>
      <c r="B108" s="1044">
        <v>94.811999999999998</v>
      </c>
      <c r="D108" s="1235">
        <v>2006</v>
      </c>
      <c r="E108" s="1236">
        <v>499.6</v>
      </c>
      <c r="F108" s="1306"/>
      <c r="G108" s="1235">
        <v>2006</v>
      </c>
      <c r="H108" s="1238">
        <v>19.600000000000001</v>
      </c>
      <c r="K108" s="1235">
        <v>1994</v>
      </c>
      <c r="L108" s="1240">
        <v>82.961072112316543</v>
      </c>
      <c r="M108" s="1303"/>
      <c r="N108" s="1304"/>
      <c r="O108" s="1304"/>
    </row>
    <row r="109" spans="1:15" x14ac:dyDescent="0.25">
      <c r="A109" s="1043">
        <v>2007</v>
      </c>
      <c r="B109" s="1044">
        <v>97.334000000000003</v>
      </c>
      <c r="D109" s="1235">
        <v>2007</v>
      </c>
      <c r="E109" s="1236">
        <v>525.4</v>
      </c>
      <c r="F109" s="1335"/>
      <c r="G109" s="1235">
        <v>2007</v>
      </c>
      <c r="H109" s="1238">
        <v>19.55</v>
      </c>
      <c r="K109" s="1235">
        <v>1995</v>
      </c>
      <c r="L109" s="1240">
        <v>91.512444160816855</v>
      </c>
      <c r="M109" s="1303"/>
      <c r="N109" s="1304"/>
      <c r="O109" s="1304"/>
    </row>
    <row r="110" spans="1:15" x14ac:dyDescent="0.25">
      <c r="A110" s="1043">
        <v>2008</v>
      </c>
      <c r="B110" s="1044">
        <v>99.25</v>
      </c>
      <c r="D110" s="1235">
        <v>2008</v>
      </c>
      <c r="E110" s="1236">
        <v>575.4</v>
      </c>
      <c r="F110" s="1306"/>
      <c r="G110" s="1235">
        <v>2008</v>
      </c>
      <c r="H110" s="1238">
        <v>19.5</v>
      </c>
      <c r="K110" s="1235">
        <v>1996</v>
      </c>
      <c r="L110" s="1240">
        <v>93.044033184428855</v>
      </c>
      <c r="M110" s="1303"/>
      <c r="N110" s="1304"/>
      <c r="O110" s="1304"/>
    </row>
    <row r="111" spans="1:15" ht="14.5" x14ac:dyDescent="0.35">
      <c r="A111" s="1043">
        <v>2009</v>
      </c>
      <c r="B111" s="1233">
        <v>100</v>
      </c>
      <c r="D111" s="864">
        <v>2009</v>
      </c>
      <c r="E111" s="1236">
        <v>521.9</v>
      </c>
      <c r="F111" s="1306"/>
      <c r="G111" s="864">
        <v>2009</v>
      </c>
      <c r="H111" s="1047">
        <v>20.3</v>
      </c>
      <c r="K111" s="1235">
        <v>1997</v>
      </c>
      <c r="L111" s="1240">
        <v>93.873643905552015</v>
      </c>
      <c r="M111" s="1303"/>
      <c r="N111" s="1304"/>
      <c r="O111" s="1304"/>
    </row>
    <row r="112" spans="1:15" ht="14.5" x14ac:dyDescent="0.35">
      <c r="A112" s="1043">
        <v>2010</v>
      </c>
      <c r="B112" s="1233">
        <v>101.217</v>
      </c>
      <c r="D112" s="864">
        <v>2010</v>
      </c>
      <c r="E112" s="1236">
        <v>550.79999999999995</v>
      </c>
      <c r="F112" s="1306"/>
      <c r="G112" s="864">
        <v>2010</v>
      </c>
      <c r="H112" s="1047">
        <v>21.07</v>
      </c>
      <c r="K112" s="1235">
        <v>1998</v>
      </c>
      <c r="L112" s="1240">
        <v>94.894703254626677</v>
      </c>
      <c r="M112" s="1303"/>
      <c r="N112" s="1304"/>
      <c r="O112" s="1304"/>
    </row>
    <row r="113" spans="1:15" ht="14.5" x14ac:dyDescent="0.35">
      <c r="A113" s="1043">
        <v>2011</v>
      </c>
      <c r="B113" s="1233">
        <v>103.307</v>
      </c>
      <c r="D113" s="864">
        <v>2011</v>
      </c>
      <c r="E113" s="1236">
        <v>585.70000000000005</v>
      </c>
      <c r="F113" s="1306"/>
      <c r="G113" s="864">
        <v>2011</v>
      </c>
      <c r="H113" s="1047">
        <v>21.45</v>
      </c>
      <c r="K113" s="1235">
        <v>1999</v>
      </c>
      <c r="L113" s="1240">
        <v>95.532865347798349</v>
      </c>
      <c r="M113" s="1303"/>
      <c r="N113" s="1304"/>
      <c r="O113" s="1304"/>
    </row>
    <row r="114" spans="1:15" ht="14.5" x14ac:dyDescent="0.35">
      <c r="A114" s="1043">
        <v>2012</v>
      </c>
      <c r="B114" s="1233">
        <v>105.21299999999999</v>
      </c>
      <c r="D114" s="864">
        <v>2012</v>
      </c>
      <c r="E114" s="1236">
        <v>584.6</v>
      </c>
      <c r="F114" s="1306"/>
      <c r="G114" s="864">
        <v>2012</v>
      </c>
      <c r="H114" s="1047">
        <v>21.45</v>
      </c>
      <c r="K114" s="1235">
        <v>2000</v>
      </c>
      <c r="L114" s="1240">
        <v>100</v>
      </c>
      <c r="M114" s="1303"/>
      <c r="N114" s="1304"/>
      <c r="O114" s="1304"/>
    </row>
    <row r="115" spans="1:15" ht="14.5" x14ac:dyDescent="0.35">
      <c r="A115" s="1043">
        <v>2013</v>
      </c>
      <c r="B115" s="1233">
        <v>106.91</v>
      </c>
      <c r="D115" s="864">
        <v>2013</v>
      </c>
      <c r="E115" s="1236">
        <v>567.29999999999995</v>
      </c>
      <c r="F115" s="1306"/>
      <c r="G115" s="864">
        <v>2013</v>
      </c>
      <c r="H115" s="1047">
        <v>21.4</v>
      </c>
      <c r="K115" s="1235">
        <v>2001</v>
      </c>
      <c r="L115" s="1240">
        <v>101.08487555839186</v>
      </c>
      <c r="M115" s="1303"/>
      <c r="N115" s="1304"/>
      <c r="O115" s="1304"/>
    </row>
    <row r="116" spans="1:15" ht="14.5" x14ac:dyDescent="0.35">
      <c r="A116" s="1043">
        <v>2014</v>
      </c>
      <c r="B116" s="1233">
        <v>108.827</v>
      </c>
      <c r="D116" s="864">
        <v>2014</v>
      </c>
      <c r="E116" s="1236">
        <v>576.1</v>
      </c>
      <c r="F116" s="1306"/>
      <c r="G116" s="864">
        <v>2014</v>
      </c>
      <c r="H116" s="1047">
        <v>21.488333333333333</v>
      </c>
      <c r="K116" s="1235">
        <v>2002</v>
      </c>
      <c r="L116" s="1240">
        <v>100.38289725590302</v>
      </c>
      <c r="M116" s="1303"/>
      <c r="N116" s="1304"/>
      <c r="O116" s="1304"/>
    </row>
    <row r="117" spans="1:15" ht="14.5" x14ac:dyDescent="0.35">
      <c r="A117" s="1043">
        <v>2015</v>
      </c>
      <c r="B117" s="1233">
        <v>110.01</v>
      </c>
      <c r="D117" s="864">
        <v>2015</v>
      </c>
      <c r="E117" s="1236">
        <v>556.79999999999995</v>
      </c>
      <c r="F117" s="1306"/>
      <c r="G117" s="864">
        <v>2015</v>
      </c>
      <c r="H117" s="1047">
        <v>21.754999999999999</v>
      </c>
      <c r="K117" s="1235">
        <v>2003</v>
      </c>
      <c r="L117" s="1240">
        <v>105.04148053605616</v>
      </c>
      <c r="M117" s="1303"/>
      <c r="N117" s="1304"/>
      <c r="O117" s="1304"/>
    </row>
    <row r="118" spans="1:15" ht="15" thickBot="1" x14ac:dyDescent="0.4">
      <c r="A118" s="1043">
        <v>2016</v>
      </c>
      <c r="B118" s="1233">
        <v>111.41200000000001</v>
      </c>
      <c r="D118" s="866">
        <v>2016</v>
      </c>
      <c r="E118" s="1237">
        <v>541.70000000000005</v>
      </c>
      <c r="F118" s="1306"/>
      <c r="G118" s="866">
        <v>2016</v>
      </c>
      <c r="H118" s="1048">
        <v>22.714999999999993</v>
      </c>
      <c r="K118" s="1235">
        <v>2004</v>
      </c>
      <c r="L118" s="1240">
        <v>110.27440970006384</v>
      </c>
      <c r="M118" s="1303"/>
      <c r="N118" s="1304"/>
      <c r="O118" s="1304"/>
    </row>
    <row r="119" spans="1:15" ht="13.5" thickTop="1" thickBot="1" x14ac:dyDescent="0.3">
      <c r="A119" s="1045">
        <v>2017</v>
      </c>
      <c r="B119" s="1234">
        <v>112.854</v>
      </c>
      <c r="G119" s="305" t="s">
        <v>1102</v>
      </c>
      <c r="H119" s="305"/>
      <c r="K119" s="1235">
        <v>2005</v>
      </c>
      <c r="L119" s="1240">
        <v>119.52776005105299</v>
      </c>
      <c r="M119" s="1303"/>
      <c r="N119" s="1304"/>
      <c r="O119" s="1304"/>
    </row>
    <row r="120" spans="1:15" ht="13" thickTop="1" x14ac:dyDescent="0.25">
      <c r="K120" s="1235">
        <v>2006</v>
      </c>
      <c r="L120" s="1240">
        <v>125.5902999361838</v>
      </c>
      <c r="M120" s="1303"/>
      <c r="N120" s="1304"/>
      <c r="O120" s="1304"/>
    </row>
    <row r="121" spans="1:15" x14ac:dyDescent="0.25">
      <c r="K121" s="1235">
        <v>2007</v>
      </c>
      <c r="L121" s="1240">
        <v>129.73835354179963</v>
      </c>
      <c r="M121" s="1303"/>
      <c r="N121" s="1304"/>
      <c r="O121" s="1304"/>
    </row>
    <row r="122" spans="1:15" x14ac:dyDescent="0.25">
      <c r="K122" s="1235">
        <v>2008</v>
      </c>
      <c r="L122" s="1240">
        <v>145.6285896617741</v>
      </c>
      <c r="M122" s="1303"/>
      <c r="N122" s="1304"/>
      <c r="O122" s="1304"/>
    </row>
    <row r="123" spans="1:15" x14ac:dyDescent="0.25">
      <c r="K123" s="1235">
        <v>2009</v>
      </c>
      <c r="L123" s="1241">
        <v>143.39502233567327</v>
      </c>
      <c r="M123" s="1303"/>
      <c r="N123" s="1304"/>
      <c r="O123" s="1304"/>
    </row>
    <row r="124" spans="1:15" x14ac:dyDescent="0.25">
      <c r="K124" s="1235">
        <v>2010</v>
      </c>
      <c r="L124" s="1241">
        <v>149.13848117421827</v>
      </c>
      <c r="M124" s="1303"/>
      <c r="N124" s="1304"/>
      <c r="O124" s="1304"/>
    </row>
    <row r="125" spans="1:15" x14ac:dyDescent="0.25">
      <c r="K125" s="1235">
        <v>2011</v>
      </c>
      <c r="L125" s="1241">
        <v>160.8806636885769</v>
      </c>
      <c r="M125" s="1303"/>
      <c r="N125" s="1304"/>
      <c r="O125" s="1304"/>
    </row>
    <row r="126" spans="1:15" x14ac:dyDescent="0.25">
      <c r="K126" s="1235">
        <v>2012</v>
      </c>
      <c r="L126" s="1241">
        <v>166.11359285258459</v>
      </c>
      <c r="M126" s="1303"/>
      <c r="N126" s="1304"/>
      <c r="O126" s="1304"/>
    </row>
    <row r="127" spans="1:15" x14ac:dyDescent="0.25">
      <c r="K127" s="1235">
        <v>2013</v>
      </c>
      <c r="L127" s="1241">
        <v>168.41097638800255</v>
      </c>
      <c r="M127" s="1303"/>
      <c r="N127" s="1304"/>
      <c r="O127" s="1304"/>
    </row>
    <row r="128" spans="1:15" x14ac:dyDescent="0.25">
      <c r="K128" s="1235">
        <v>2014</v>
      </c>
      <c r="L128" s="1241">
        <v>171.79323548181239</v>
      </c>
      <c r="N128" s="1304"/>
      <c r="O128" s="1304"/>
    </row>
    <row r="129" spans="1:15" x14ac:dyDescent="0.25">
      <c r="K129" s="1235">
        <v>2015</v>
      </c>
      <c r="L129" s="1241">
        <v>168.98532227185709</v>
      </c>
      <c r="N129" s="1304"/>
      <c r="O129" s="1304"/>
    </row>
    <row r="130" spans="1:15" ht="13" thickBot="1" x14ac:dyDescent="0.3">
      <c r="K130" s="1242">
        <v>2016</v>
      </c>
      <c r="L130" s="1243">
        <v>170.4530950861519</v>
      </c>
      <c r="M130" s="1303"/>
      <c r="N130" s="1304"/>
      <c r="O130" s="1304"/>
    </row>
    <row r="131" spans="1:15" ht="13" thickTop="1" x14ac:dyDescent="0.25">
      <c r="K131" s="305" t="s">
        <v>1204</v>
      </c>
    </row>
    <row r="132" spans="1:15" ht="13" thickBot="1" x14ac:dyDescent="0.3">
      <c r="K132" s="305" t="s">
        <v>1231</v>
      </c>
    </row>
    <row r="133" spans="1:15" ht="28.5" thickBot="1" x14ac:dyDescent="0.35">
      <c r="A133" s="1439" t="s">
        <v>1103</v>
      </c>
      <c r="B133" s="1440"/>
      <c r="C133" s="1440"/>
      <c r="D133" s="1440"/>
      <c r="E133" s="1440"/>
      <c r="F133" s="1440"/>
      <c r="G133" s="1440"/>
      <c r="H133" s="1440"/>
      <c r="I133" s="1441"/>
    </row>
    <row r="134" spans="1:15" ht="52" x14ac:dyDescent="0.3">
      <c r="A134" s="1423"/>
      <c r="B134" s="606"/>
      <c r="C134" s="1670" t="s">
        <v>124</v>
      </c>
      <c r="D134" s="1670"/>
      <c r="E134" s="1670"/>
      <c r="F134" s="1671" t="s">
        <v>125</v>
      </c>
      <c r="G134" s="1670"/>
      <c r="H134" s="1672"/>
      <c r="I134" s="1424" t="s">
        <v>126</v>
      </c>
    </row>
    <row r="135" spans="1:15" ht="30" customHeight="1" thickBot="1" x14ac:dyDescent="0.35">
      <c r="A135" s="581" t="s">
        <v>127</v>
      </c>
      <c r="B135" s="607" t="s">
        <v>128</v>
      </c>
      <c r="C135" s="608" t="s">
        <v>129</v>
      </c>
      <c r="D135" s="608" t="s">
        <v>398</v>
      </c>
      <c r="E135" s="608" t="s">
        <v>399</v>
      </c>
      <c r="F135" s="581" t="s">
        <v>403</v>
      </c>
      <c r="G135" s="582" t="s">
        <v>404</v>
      </c>
      <c r="H135" s="583" t="s">
        <v>405</v>
      </c>
      <c r="I135" s="1425" t="s">
        <v>130</v>
      </c>
    </row>
    <row r="136" spans="1:15" x14ac:dyDescent="0.25">
      <c r="A136" s="1426" t="s">
        <v>1085</v>
      </c>
      <c r="B136" s="609" t="s">
        <v>131</v>
      </c>
      <c r="C136" s="846">
        <f t="shared" ref="C136:I145" si="8">+AVERAGEIFS(D$165:D$524,$B$165:$B$524,$A136,$C$165:$C$524,"&gt;="&amp;startup_year,$C$165:$C$524,"&lt;="&amp;(startup_year+anal_period))</f>
        <v>1092000</v>
      </c>
      <c r="D136" s="847">
        <f t="shared" si="8"/>
        <v>1092000</v>
      </c>
      <c r="E136" s="848">
        <f t="shared" si="8"/>
        <v>3971.5555555555557</v>
      </c>
      <c r="F136" s="849">
        <f t="shared" si="8"/>
        <v>5.74</v>
      </c>
      <c r="G136" s="849">
        <f t="shared" si="8"/>
        <v>0.18462200000000004</v>
      </c>
      <c r="H136" s="849">
        <f t="shared" si="8"/>
        <v>8.6102222222222209E-4</v>
      </c>
      <c r="I136" s="1427">
        <f t="shared" si="8"/>
        <v>11.566300000000002</v>
      </c>
    </row>
    <row r="137" spans="1:15" ht="16.5" customHeight="1" x14ac:dyDescent="0.25">
      <c r="A137" s="1428" t="s">
        <v>283</v>
      </c>
      <c r="B137" s="610" t="s">
        <v>131</v>
      </c>
      <c r="C137" s="850">
        <f t="shared" si="8"/>
        <v>1092000</v>
      </c>
      <c r="D137" s="851">
        <f t="shared" si="8"/>
        <v>1092000</v>
      </c>
      <c r="E137" s="852">
        <f t="shared" si="8"/>
        <v>3971.5555555555557</v>
      </c>
      <c r="F137" s="853">
        <f t="shared" si="8"/>
        <v>5.74</v>
      </c>
      <c r="G137" s="853">
        <f t="shared" si="8"/>
        <v>0.18462200000000004</v>
      </c>
      <c r="H137" s="853">
        <f t="shared" si="8"/>
        <v>8.6102222222222209E-4</v>
      </c>
      <c r="I137" s="1429">
        <f t="shared" si="8"/>
        <v>11.566300000000002</v>
      </c>
    </row>
    <row r="138" spans="1:15" x14ac:dyDescent="0.25">
      <c r="A138" s="1430" t="s">
        <v>1086</v>
      </c>
      <c r="B138" s="1418" t="s">
        <v>131</v>
      </c>
      <c r="C138" s="1419">
        <f t="shared" si="8"/>
        <v>1092000</v>
      </c>
      <c r="D138" s="1420">
        <f t="shared" si="8"/>
        <v>1092000</v>
      </c>
      <c r="E138" s="1421">
        <f t="shared" si="8"/>
        <v>3971.5555555555557</v>
      </c>
      <c r="F138" s="1422">
        <f t="shared" si="8"/>
        <v>5.74</v>
      </c>
      <c r="G138" s="1422">
        <f t="shared" si="8"/>
        <v>0.18462200000000004</v>
      </c>
      <c r="H138" s="1422">
        <f t="shared" si="8"/>
        <v>8.6102222222222209E-4</v>
      </c>
      <c r="I138" s="1431">
        <f t="shared" si="8"/>
        <v>11.566300000000002</v>
      </c>
    </row>
    <row r="139" spans="1:15" x14ac:dyDescent="0.25">
      <c r="A139" s="1428" t="s">
        <v>681</v>
      </c>
      <c r="B139" s="611" t="s">
        <v>131</v>
      </c>
      <c r="C139" s="851">
        <f t="shared" si="8"/>
        <v>1092000</v>
      </c>
      <c r="D139" s="851">
        <f t="shared" si="8"/>
        <v>1092000</v>
      </c>
      <c r="E139" s="851">
        <f t="shared" si="8"/>
        <v>3971.5555555555557</v>
      </c>
      <c r="F139" s="854">
        <f t="shared" si="8"/>
        <v>5.74</v>
      </c>
      <c r="G139" s="853">
        <f t="shared" si="8"/>
        <v>0.18462200000000004</v>
      </c>
      <c r="H139" s="855">
        <f t="shared" si="8"/>
        <v>8.6102222222222209E-4</v>
      </c>
      <c r="I139" s="1429">
        <f t="shared" si="8"/>
        <v>11.566300000000002</v>
      </c>
    </row>
    <row r="140" spans="1:15" x14ac:dyDescent="0.25">
      <c r="A140" s="1428" t="s">
        <v>682</v>
      </c>
      <c r="B140" s="611" t="s">
        <v>1295</v>
      </c>
      <c r="C140" s="851">
        <f t="shared" si="8"/>
        <v>-1185000</v>
      </c>
      <c r="D140" s="851">
        <f t="shared" si="8"/>
        <v>0</v>
      </c>
      <c r="E140" s="851">
        <f t="shared" si="8"/>
        <v>0</v>
      </c>
      <c r="F140" s="854">
        <f t="shared" si="8"/>
        <v>-85.800000000000011</v>
      </c>
      <c r="G140" s="853">
        <f t="shared" si="8"/>
        <v>0.54700000000000004</v>
      </c>
      <c r="H140" s="855">
        <f t="shared" si="8"/>
        <v>-1.8286999999999995E-3</v>
      </c>
      <c r="I140" s="1429">
        <f t="shared" si="8"/>
        <v>-70.08</v>
      </c>
    </row>
    <row r="141" spans="1:15" x14ac:dyDescent="0.25">
      <c r="A141" s="1428" t="s">
        <v>683</v>
      </c>
      <c r="B141" s="611" t="s">
        <v>132</v>
      </c>
      <c r="C141" s="851">
        <f t="shared" si="8"/>
        <v>1722555.5555555555</v>
      </c>
      <c r="D141" s="851">
        <f t="shared" si="8"/>
        <v>1293777.7777777778</v>
      </c>
      <c r="E141" s="851">
        <f t="shared" si="8"/>
        <v>15361.111111111111</v>
      </c>
      <c r="F141" s="854">
        <f t="shared" si="8"/>
        <v>125.73222222222223</v>
      </c>
      <c r="G141" s="853">
        <f t="shared" si="8"/>
        <v>0.20455800000000002</v>
      </c>
      <c r="H141" s="855">
        <f t="shared" si="8"/>
        <v>1.7955444444444446E-3</v>
      </c>
      <c r="I141" s="1429">
        <f t="shared" si="8"/>
        <v>130.52666666666664</v>
      </c>
    </row>
    <row r="142" spans="1:15" x14ac:dyDescent="0.25">
      <c r="A142" s="1428" t="s">
        <v>698</v>
      </c>
      <c r="B142" s="611" t="s">
        <v>132</v>
      </c>
      <c r="C142" s="851">
        <f t="shared" si="8"/>
        <v>1722555.5555555555</v>
      </c>
      <c r="D142" s="851">
        <f t="shared" si="8"/>
        <v>1293777.7777777778</v>
      </c>
      <c r="E142" s="851">
        <f t="shared" si="8"/>
        <v>15361.111111111111</v>
      </c>
      <c r="F142" s="854">
        <f t="shared" si="8"/>
        <v>125.73222222222223</v>
      </c>
      <c r="G142" s="853">
        <f t="shared" si="8"/>
        <v>0.20455800000000002</v>
      </c>
      <c r="H142" s="855">
        <f t="shared" si="8"/>
        <v>1.7955444444444446E-3</v>
      </c>
      <c r="I142" s="1429">
        <f t="shared" si="8"/>
        <v>130.52666666666664</v>
      </c>
    </row>
    <row r="143" spans="1:15" x14ac:dyDescent="0.25">
      <c r="A143" s="1428" t="s">
        <v>684</v>
      </c>
      <c r="B143" s="611" t="s">
        <v>132</v>
      </c>
      <c r="C143" s="851">
        <f t="shared" si="8"/>
        <v>1722555.5555555555</v>
      </c>
      <c r="D143" s="851">
        <f t="shared" si="8"/>
        <v>1293777.7777777778</v>
      </c>
      <c r="E143" s="851">
        <f t="shared" si="8"/>
        <v>15361.111111111111</v>
      </c>
      <c r="F143" s="854">
        <f t="shared" si="8"/>
        <v>125.73222222222223</v>
      </c>
      <c r="G143" s="853">
        <f t="shared" si="8"/>
        <v>0.20455800000000002</v>
      </c>
      <c r="H143" s="855">
        <f t="shared" si="8"/>
        <v>1.7955444444444446E-3</v>
      </c>
      <c r="I143" s="1429">
        <f t="shared" si="8"/>
        <v>130.52666666666664</v>
      </c>
    </row>
    <row r="144" spans="1:15" x14ac:dyDescent="0.25">
      <c r="A144" s="1428" t="s">
        <v>1087</v>
      </c>
      <c r="B144" s="611" t="s">
        <v>133</v>
      </c>
      <c r="C144" s="851">
        <f t="shared" si="8"/>
        <v>1022000</v>
      </c>
      <c r="D144" s="851">
        <f t="shared" si="8"/>
        <v>1021000</v>
      </c>
      <c r="E144" s="851">
        <f t="shared" si="8"/>
        <v>15510</v>
      </c>
      <c r="F144" s="854">
        <f t="shared" si="8"/>
        <v>1.6978444444444447</v>
      </c>
      <c r="G144" s="853">
        <f t="shared" si="8"/>
        <v>0.14096234111111108</v>
      </c>
      <c r="H144" s="855">
        <f t="shared" si="8"/>
        <v>3.279166666666666E-5</v>
      </c>
      <c r="I144" s="1429">
        <f t="shared" si="8"/>
        <v>5.9552888888888873</v>
      </c>
    </row>
    <row r="145" spans="1:9" x14ac:dyDescent="0.25">
      <c r="A145" s="1428" t="s">
        <v>716</v>
      </c>
      <c r="B145" s="611" t="s">
        <v>133</v>
      </c>
      <c r="C145" s="851">
        <f t="shared" si="8"/>
        <v>1022000</v>
      </c>
      <c r="D145" s="851">
        <f t="shared" si="8"/>
        <v>1021000</v>
      </c>
      <c r="E145" s="851">
        <f t="shared" si="8"/>
        <v>15510</v>
      </c>
      <c r="F145" s="854">
        <f t="shared" si="8"/>
        <v>1.6978444444444447</v>
      </c>
      <c r="G145" s="853">
        <f t="shared" si="8"/>
        <v>0.14096234111111108</v>
      </c>
      <c r="H145" s="855">
        <f t="shared" si="8"/>
        <v>3.279166666666666E-5</v>
      </c>
      <c r="I145" s="1429">
        <f t="shared" si="8"/>
        <v>5.9552888888888873</v>
      </c>
    </row>
    <row r="146" spans="1:9" x14ac:dyDescent="0.25">
      <c r="A146" s="1428" t="s">
        <v>717</v>
      </c>
      <c r="B146" s="611" t="s">
        <v>133</v>
      </c>
      <c r="C146" s="851">
        <f t="shared" ref="C146:I153" si="9">+AVERAGEIFS(D$165:D$524,$B$165:$B$524,$A146,$C$165:$C$524,"&gt;="&amp;startup_year,$C$165:$C$524,"&lt;="&amp;(startup_year+anal_period))</f>
        <v>1022000</v>
      </c>
      <c r="D146" s="851">
        <f t="shared" si="9"/>
        <v>1021000</v>
      </c>
      <c r="E146" s="851">
        <f t="shared" si="9"/>
        <v>15510</v>
      </c>
      <c r="F146" s="854">
        <f t="shared" si="9"/>
        <v>1.6978444444444447</v>
      </c>
      <c r="G146" s="853">
        <f t="shared" si="9"/>
        <v>0.14096234111111108</v>
      </c>
      <c r="H146" s="855">
        <f t="shared" si="9"/>
        <v>3.279166666666666E-5</v>
      </c>
      <c r="I146" s="1429">
        <f t="shared" si="9"/>
        <v>5.9552888888888873</v>
      </c>
    </row>
    <row r="147" spans="1:9" x14ac:dyDescent="0.25">
      <c r="A147" s="1428" t="s">
        <v>912</v>
      </c>
      <c r="B147" s="611" t="s">
        <v>134</v>
      </c>
      <c r="C147" s="851">
        <f t="shared" si="9"/>
        <v>1209000</v>
      </c>
      <c r="D147" s="851">
        <f t="shared" si="9"/>
        <v>1202000</v>
      </c>
      <c r="E147" s="851">
        <f t="shared" si="9"/>
        <v>1052000</v>
      </c>
      <c r="F147" s="854">
        <f t="shared" si="9"/>
        <v>17.978222222222218</v>
      </c>
      <c r="G147" s="853">
        <f t="shared" si="9"/>
        <v>0.1641276666666667</v>
      </c>
      <c r="H147" s="855">
        <f t="shared" si="9"/>
        <v>2.9047555555555561E-4</v>
      </c>
      <c r="I147" s="1429">
        <f t="shared" si="9"/>
        <v>22.99966666666667</v>
      </c>
    </row>
    <row r="148" spans="1:9" x14ac:dyDescent="0.25">
      <c r="A148" s="1428" t="s">
        <v>910</v>
      </c>
      <c r="B148" s="611" t="s">
        <v>1104</v>
      </c>
      <c r="C148" s="851">
        <f t="shared" si="9"/>
        <v>1585222.2222222222</v>
      </c>
      <c r="D148" s="851">
        <f t="shared" si="9"/>
        <v>696333.33333333337</v>
      </c>
      <c r="E148" s="851">
        <f t="shared" si="9"/>
        <v>286011.11111111112</v>
      </c>
      <c r="F148" s="854">
        <f t="shared" si="9"/>
        <v>38.073444444444448</v>
      </c>
      <c r="G148" s="853">
        <f t="shared" si="9"/>
        <v>0.1118</v>
      </c>
      <c r="H148" s="855">
        <f t="shared" si="9"/>
        <v>2.5350000000000004E-2</v>
      </c>
      <c r="I148" s="1429">
        <f t="shared" si="9"/>
        <v>45.206666666666663</v>
      </c>
    </row>
    <row r="149" spans="1:9" x14ac:dyDescent="0.25">
      <c r="A149" s="1428" t="s">
        <v>913</v>
      </c>
      <c r="B149" s="611" t="s">
        <v>134</v>
      </c>
      <c r="C149" s="851">
        <f t="shared" si="9"/>
        <v>1249111.111111111</v>
      </c>
      <c r="D149" s="851">
        <f t="shared" si="9"/>
        <v>1242000</v>
      </c>
      <c r="E149" s="851">
        <f t="shared" si="9"/>
        <v>1078000</v>
      </c>
      <c r="F149" s="854">
        <f t="shared" si="9"/>
        <v>23.850666666666669</v>
      </c>
      <c r="G149" s="853">
        <f t="shared" si="9"/>
        <v>0.16985744444444445</v>
      </c>
      <c r="H149" s="855">
        <f t="shared" si="9"/>
        <v>3.7835111111111111E-4</v>
      </c>
      <c r="I149" s="1429">
        <f t="shared" si="9"/>
        <v>29.169000000000008</v>
      </c>
    </row>
    <row r="150" spans="1:9" x14ac:dyDescent="0.25">
      <c r="A150" s="1428" t="s">
        <v>1081</v>
      </c>
      <c r="B150" s="611" t="s">
        <v>1296</v>
      </c>
      <c r="C150" s="851">
        <f t="shared" si="9"/>
        <v>1190000</v>
      </c>
      <c r="D150" s="851">
        <f t="shared" si="9"/>
        <v>51592.222222222219</v>
      </c>
      <c r="E150" s="851">
        <f t="shared" si="9"/>
        <v>29220</v>
      </c>
      <c r="F150" s="854">
        <f t="shared" si="9"/>
        <v>3.7602333333333329</v>
      </c>
      <c r="G150" s="853">
        <f t="shared" si="9"/>
        <v>8.4359666666666642E-3</v>
      </c>
      <c r="H150" s="855">
        <f t="shared" si="9"/>
        <v>-3.8261034444444448E-3</v>
      </c>
      <c r="I150" s="1429">
        <f t="shared" si="9"/>
        <v>3.0076888888888895</v>
      </c>
    </row>
    <row r="151" spans="1:9" x14ac:dyDescent="0.25">
      <c r="A151" s="1428" t="s">
        <v>815</v>
      </c>
      <c r="B151" s="611" t="s">
        <v>1296</v>
      </c>
      <c r="C151" s="851">
        <f t="shared" si="9"/>
        <v>1190000</v>
      </c>
      <c r="D151" s="851">
        <f t="shared" si="9"/>
        <v>51592.222222222219</v>
      </c>
      <c r="E151" s="851">
        <f t="shared" si="9"/>
        <v>29220</v>
      </c>
      <c r="F151" s="854">
        <f t="shared" si="9"/>
        <v>3.7602333333333329</v>
      </c>
      <c r="G151" s="853">
        <f t="shared" si="9"/>
        <v>8.4359666666666642E-3</v>
      </c>
      <c r="H151" s="855">
        <f t="shared" si="9"/>
        <v>-3.8261034444444448E-3</v>
      </c>
      <c r="I151" s="1429">
        <f t="shared" si="9"/>
        <v>3.0076888888888895</v>
      </c>
    </row>
    <row r="152" spans="1:9" x14ac:dyDescent="0.25">
      <c r="A152" s="1428" t="s">
        <v>824</v>
      </c>
      <c r="B152" s="611" t="s">
        <v>1296</v>
      </c>
      <c r="C152" s="851">
        <f t="shared" si="9"/>
        <v>1190000</v>
      </c>
      <c r="D152" s="851">
        <f t="shared" si="9"/>
        <v>51592.222222222219</v>
      </c>
      <c r="E152" s="851">
        <f t="shared" si="9"/>
        <v>29220</v>
      </c>
      <c r="F152" s="854">
        <f t="shared" si="9"/>
        <v>3.7602333333333329</v>
      </c>
      <c r="G152" s="853">
        <f t="shared" si="9"/>
        <v>8.4359666666666642E-3</v>
      </c>
      <c r="H152" s="855">
        <f t="shared" si="9"/>
        <v>-3.8261034444444448E-3</v>
      </c>
      <c r="I152" s="1429">
        <f t="shared" si="9"/>
        <v>3.0076888888888895</v>
      </c>
    </row>
    <row r="153" spans="1:9" ht="13" thickBot="1" x14ac:dyDescent="0.3">
      <c r="A153" s="1432" t="s">
        <v>1088</v>
      </c>
      <c r="B153" s="1433" t="s">
        <v>1297</v>
      </c>
      <c r="C153" s="1434">
        <f t="shared" si="9"/>
        <v>1384000</v>
      </c>
      <c r="D153" s="1434">
        <f t="shared" si="9"/>
        <v>1383000</v>
      </c>
      <c r="E153" s="1434">
        <f t="shared" si="9"/>
        <v>5034</v>
      </c>
      <c r="F153" s="1435">
        <f t="shared" si="9"/>
        <v>78.571100000000001</v>
      </c>
      <c r="G153" s="1436">
        <f t="shared" si="9"/>
        <v>0.27494000000000002</v>
      </c>
      <c r="H153" s="1437">
        <f t="shared" si="9"/>
        <v>2.3304000000000003E-3</v>
      </c>
      <c r="I153" s="1438">
        <f t="shared" si="9"/>
        <v>87.59429999999999</v>
      </c>
    </row>
    <row r="162" spans="2:10" ht="13" thickBot="1" x14ac:dyDescent="0.3">
      <c r="B162" s="305" t="s">
        <v>1294</v>
      </c>
    </row>
    <row r="163" spans="2:10" ht="37.5" x14ac:dyDescent="0.25">
      <c r="D163" s="1400" t="s">
        <v>124</v>
      </c>
      <c r="E163" s="1401"/>
      <c r="F163" s="1402"/>
      <c r="G163" s="1400" t="s">
        <v>125</v>
      </c>
      <c r="H163" s="1401"/>
      <c r="I163" s="1401"/>
      <c r="J163" s="1402" t="s">
        <v>126</v>
      </c>
    </row>
    <row r="164" spans="2:10" ht="13.5" thickBot="1" x14ac:dyDescent="0.35">
      <c r="B164" s="1" t="s">
        <v>248</v>
      </c>
      <c r="C164" s="1" t="s">
        <v>1084</v>
      </c>
      <c r="D164" s="1403" t="s">
        <v>129</v>
      </c>
      <c r="E164" s="1404" t="s">
        <v>398</v>
      </c>
      <c r="F164" s="1405" t="s">
        <v>399</v>
      </c>
      <c r="G164" s="1403" t="s">
        <v>403</v>
      </c>
      <c r="H164" s="1404" t="s">
        <v>404</v>
      </c>
      <c r="I164" s="1404" t="s">
        <v>405</v>
      </c>
      <c r="J164" s="1405" t="s">
        <v>130</v>
      </c>
    </row>
    <row r="165" spans="2:10" x14ac:dyDescent="0.25">
      <c r="B165" s="1406" t="s">
        <v>1085</v>
      </c>
      <c r="C165" s="1407">
        <v>2005</v>
      </c>
      <c r="D165" s="1406">
        <v>1094000</v>
      </c>
      <c r="E165" s="1408">
        <v>1094000</v>
      </c>
      <c r="F165" s="1409">
        <v>4252</v>
      </c>
      <c r="G165" s="1406">
        <v>5.9984999999999999</v>
      </c>
      <c r="H165" s="1408">
        <v>0.18232600000000002</v>
      </c>
      <c r="I165" s="1408">
        <v>8.8801999999999994E-5</v>
      </c>
      <c r="J165" s="1409">
        <v>11.536999999999999</v>
      </c>
    </row>
    <row r="166" spans="2:10" x14ac:dyDescent="0.25">
      <c r="B166" s="1410" t="s">
        <v>283</v>
      </c>
      <c r="C166" s="1411">
        <v>2005</v>
      </c>
      <c r="D166" s="1410">
        <v>1094000</v>
      </c>
      <c r="E166" s="1412">
        <v>1094000</v>
      </c>
      <c r="F166" s="1413">
        <v>4252</v>
      </c>
      <c r="G166" s="1410">
        <v>5.9984999999999999</v>
      </c>
      <c r="H166" s="1412">
        <v>0.18232600000000002</v>
      </c>
      <c r="I166" s="1412">
        <v>8.8801999999999994E-5</v>
      </c>
      <c r="J166" s="1413">
        <v>11.536999999999999</v>
      </c>
    </row>
    <row r="167" spans="2:10" x14ac:dyDescent="0.25">
      <c r="B167" s="1410" t="s">
        <v>1086</v>
      </c>
      <c r="C167" s="1411">
        <v>2005</v>
      </c>
      <c r="D167" s="1410">
        <v>1094000</v>
      </c>
      <c r="E167" s="1412">
        <v>1094000</v>
      </c>
      <c r="F167" s="1413">
        <v>4252</v>
      </c>
      <c r="G167" s="1410">
        <v>5.9984999999999999</v>
      </c>
      <c r="H167" s="1412">
        <v>0.18232600000000002</v>
      </c>
      <c r="I167" s="1412">
        <v>8.8801999999999994E-5</v>
      </c>
      <c r="J167" s="1413">
        <v>11.536999999999999</v>
      </c>
    </row>
    <row r="168" spans="2:10" x14ac:dyDescent="0.25">
      <c r="B168" s="1410" t="s">
        <v>681</v>
      </c>
      <c r="C168" s="1411">
        <v>2005</v>
      </c>
      <c r="D168" s="1410">
        <v>1094000</v>
      </c>
      <c r="E168" s="1412">
        <v>1094000</v>
      </c>
      <c r="F168" s="1413">
        <v>4252</v>
      </c>
      <c r="G168" s="1410">
        <v>5.9984999999999999</v>
      </c>
      <c r="H168" s="1412">
        <v>0.18232600000000002</v>
      </c>
      <c r="I168" s="1412">
        <v>8.8801999999999994E-5</v>
      </c>
      <c r="J168" s="1413">
        <v>11.536999999999999</v>
      </c>
    </row>
    <row r="169" spans="2:10" x14ac:dyDescent="0.25">
      <c r="B169" s="1410" t="s">
        <v>682</v>
      </c>
      <c r="C169" s="1411">
        <v>2005</v>
      </c>
      <c r="D169" s="1410">
        <v>-1208000</v>
      </c>
      <c r="E169" s="1412">
        <v>0</v>
      </c>
      <c r="F169" s="1413">
        <v>0</v>
      </c>
      <c r="G169" s="1410">
        <v>-85.789999999999992</v>
      </c>
      <c r="H169" s="1412">
        <v>0.54689999999999994</v>
      </c>
      <c r="I169" s="1412">
        <v>-1.4884E-3</v>
      </c>
      <c r="J169" s="1413">
        <v>-70</v>
      </c>
    </row>
    <row r="170" spans="2:10" x14ac:dyDescent="0.25">
      <c r="B170" s="1410" t="s">
        <v>683</v>
      </c>
      <c r="C170" s="1411">
        <v>2005</v>
      </c>
      <c r="D170" s="1410">
        <v>2475000</v>
      </c>
      <c r="E170" s="1412">
        <v>2129000</v>
      </c>
      <c r="F170" s="1413">
        <v>124000</v>
      </c>
      <c r="G170" s="1410">
        <v>251.83</v>
      </c>
      <c r="H170" s="1412">
        <v>0.31369799999999998</v>
      </c>
      <c r="I170" s="1412">
        <v>3.6604999999999997E-3</v>
      </c>
      <c r="J170" s="1413">
        <v>255.85999999999999</v>
      </c>
    </row>
    <row r="171" spans="2:10" x14ac:dyDescent="0.25">
      <c r="B171" s="1410" t="s">
        <v>698</v>
      </c>
      <c r="C171" s="1411">
        <v>2005</v>
      </c>
      <c r="D171" s="1410">
        <v>2475000</v>
      </c>
      <c r="E171" s="1412">
        <v>2129000</v>
      </c>
      <c r="F171" s="1413">
        <v>124000</v>
      </c>
      <c r="G171" s="1410">
        <v>251.83</v>
      </c>
      <c r="H171" s="1412">
        <v>0.31369799999999998</v>
      </c>
      <c r="I171" s="1412">
        <v>3.6604999999999997E-3</v>
      </c>
      <c r="J171" s="1413">
        <v>255.85999999999999</v>
      </c>
    </row>
    <row r="172" spans="2:10" x14ac:dyDescent="0.25">
      <c r="B172" s="1410" t="s">
        <v>684</v>
      </c>
      <c r="C172" s="1411">
        <v>2005</v>
      </c>
      <c r="D172" s="1410">
        <v>2475000</v>
      </c>
      <c r="E172" s="1412">
        <v>2129000</v>
      </c>
      <c r="F172" s="1413">
        <v>124000</v>
      </c>
      <c r="G172" s="1410">
        <v>251.83</v>
      </c>
      <c r="H172" s="1412">
        <v>0.31369799999999998</v>
      </c>
      <c r="I172" s="1412">
        <v>3.6604999999999997E-3</v>
      </c>
      <c r="J172" s="1413">
        <v>255.85999999999999</v>
      </c>
    </row>
    <row r="173" spans="2:10" x14ac:dyDescent="0.25">
      <c r="B173" s="1410" t="s">
        <v>1087</v>
      </c>
      <c r="C173" s="1411">
        <v>2005</v>
      </c>
      <c r="D173" s="1410">
        <v>1023000</v>
      </c>
      <c r="E173" s="1412">
        <v>1022000</v>
      </c>
      <c r="F173" s="1413">
        <v>15840</v>
      </c>
      <c r="G173" s="1410">
        <v>1.9352</v>
      </c>
      <c r="H173" s="1412">
        <v>0.14136591000000001</v>
      </c>
      <c r="I173" s="1412">
        <v>3.6392E-5</v>
      </c>
      <c r="J173" s="1413">
        <v>6.2023000000000001</v>
      </c>
    </row>
    <row r="174" spans="2:10" x14ac:dyDescent="0.25">
      <c r="B174" s="1410" t="s">
        <v>716</v>
      </c>
      <c r="C174" s="1411">
        <v>2005</v>
      </c>
      <c r="D174" s="1410">
        <v>1023000</v>
      </c>
      <c r="E174" s="1412">
        <v>1022000</v>
      </c>
      <c r="F174" s="1413">
        <v>15840</v>
      </c>
      <c r="G174" s="1410">
        <v>1.9352</v>
      </c>
      <c r="H174" s="1412">
        <v>0.14136591000000001</v>
      </c>
      <c r="I174" s="1412">
        <v>3.6392E-5</v>
      </c>
      <c r="J174" s="1413">
        <v>6.2023000000000001</v>
      </c>
    </row>
    <row r="175" spans="2:10" x14ac:dyDescent="0.25">
      <c r="B175" s="1410" t="s">
        <v>717</v>
      </c>
      <c r="C175" s="1411">
        <v>2005</v>
      </c>
      <c r="D175" s="1410">
        <v>1023000</v>
      </c>
      <c r="E175" s="1412">
        <v>1022000</v>
      </c>
      <c r="F175" s="1413">
        <v>15840</v>
      </c>
      <c r="G175" s="1410">
        <v>1.9352</v>
      </c>
      <c r="H175" s="1412">
        <v>0.14136591000000001</v>
      </c>
      <c r="I175" s="1412">
        <v>3.6392E-5</v>
      </c>
      <c r="J175" s="1413">
        <v>6.2023000000000001</v>
      </c>
    </row>
    <row r="176" spans="2:10" x14ac:dyDescent="0.25">
      <c r="B176" s="1410" t="s">
        <v>912</v>
      </c>
      <c r="C176" s="1411">
        <v>2005</v>
      </c>
      <c r="D176" s="1410">
        <v>1205000</v>
      </c>
      <c r="E176" s="1412">
        <v>1200000</v>
      </c>
      <c r="F176" s="1413">
        <v>1056000</v>
      </c>
      <c r="G176" s="1410">
        <v>18.433</v>
      </c>
      <c r="H176" s="1412">
        <v>0.18217</v>
      </c>
      <c r="I176" s="1412">
        <v>2.0549999999999998E-4</v>
      </c>
      <c r="J176" s="1413">
        <v>23.908999999999999</v>
      </c>
    </row>
    <row r="177" spans="2:10" x14ac:dyDescent="0.25">
      <c r="B177" s="1410" t="s">
        <v>910</v>
      </c>
      <c r="C177" s="1411">
        <v>2005</v>
      </c>
      <c r="D177" s="1410">
        <v>1760000</v>
      </c>
      <c r="E177" s="1412">
        <v>783400</v>
      </c>
      <c r="F177" s="1413">
        <v>307400</v>
      </c>
      <c r="G177" s="1410">
        <v>47.923999999999999</v>
      </c>
      <c r="H177" s="1412">
        <v>0.13161500000000001</v>
      </c>
      <c r="I177" s="1412">
        <v>3.3619999999999997E-2</v>
      </c>
      <c r="J177" s="1413">
        <v>56.43</v>
      </c>
    </row>
    <row r="178" spans="2:10" x14ac:dyDescent="0.25">
      <c r="B178" s="1410" t="s">
        <v>913</v>
      </c>
      <c r="C178" s="1411">
        <v>2005</v>
      </c>
      <c r="D178" s="1410">
        <v>1248000</v>
      </c>
      <c r="E178" s="1412">
        <v>1242000</v>
      </c>
      <c r="F178" s="1413">
        <v>1084000</v>
      </c>
      <c r="G178" s="1410">
        <v>24.465</v>
      </c>
      <c r="H178" s="1412">
        <v>0.18840200000000001</v>
      </c>
      <c r="I178" s="1412">
        <v>2.7361999999999997E-4</v>
      </c>
      <c r="J178" s="1413">
        <v>30.237000000000002</v>
      </c>
    </row>
    <row r="179" spans="2:10" x14ac:dyDescent="0.25">
      <c r="B179" s="1410" t="s">
        <v>1081</v>
      </c>
      <c r="C179" s="1411">
        <v>2005</v>
      </c>
      <c r="D179" s="1410">
        <v>1195000</v>
      </c>
      <c r="E179" s="1412">
        <v>56800</v>
      </c>
      <c r="F179" s="1413">
        <v>32280</v>
      </c>
      <c r="G179" s="1410">
        <v>4.3339999999999996</v>
      </c>
      <c r="H179" s="1412">
        <v>9.434399999999999E-3</v>
      </c>
      <c r="I179" s="1412">
        <v>-3.8369229999999999E-3</v>
      </c>
      <c r="J179" s="1413">
        <v>3.6147</v>
      </c>
    </row>
    <row r="180" spans="2:10" x14ac:dyDescent="0.25">
      <c r="B180" s="1410" t="s">
        <v>815</v>
      </c>
      <c r="C180" s="1411">
        <v>2005</v>
      </c>
      <c r="D180" s="1410">
        <v>1195000</v>
      </c>
      <c r="E180" s="1412">
        <v>56800</v>
      </c>
      <c r="F180" s="1413">
        <v>32280</v>
      </c>
      <c r="G180" s="1410">
        <v>4.3339999999999996</v>
      </c>
      <c r="H180" s="1412">
        <v>9.434399999999999E-3</v>
      </c>
      <c r="I180" s="1412">
        <v>-3.8369229999999999E-3</v>
      </c>
      <c r="J180" s="1413">
        <v>3.6147</v>
      </c>
    </row>
    <row r="181" spans="2:10" x14ac:dyDescent="0.25">
      <c r="B181" s="1410" t="s">
        <v>824</v>
      </c>
      <c r="C181" s="1411">
        <v>2005</v>
      </c>
      <c r="D181" s="1410">
        <v>1195000</v>
      </c>
      <c r="E181" s="1412">
        <v>56800</v>
      </c>
      <c r="F181" s="1413">
        <v>32280</v>
      </c>
      <c r="G181" s="1410">
        <v>4.3339999999999996</v>
      </c>
      <c r="H181" s="1412">
        <v>9.434399999999999E-3</v>
      </c>
      <c r="I181" s="1412">
        <v>-3.8369229999999999E-3</v>
      </c>
      <c r="J181" s="1413">
        <v>3.6147</v>
      </c>
    </row>
    <row r="182" spans="2:10" ht="13" thickBot="1" x14ac:dyDescent="0.3">
      <c r="B182" s="1414" t="s">
        <v>1088</v>
      </c>
      <c r="C182" s="1415">
        <v>2005</v>
      </c>
      <c r="D182" s="1414">
        <v>1387000</v>
      </c>
      <c r="E182" s="1416">
        <v>1386000</v>
      </c>
      <c r="F182" s="1417">
        <v>5427</v>
      </c>
      <c r="G182" s="1414">
        <v>78.934799999999996</v>
      </c>
      <c r="H182" s="1416">
        <v>0.27050000000000002</v>
      </c>
      <c r="I182" s="1416">
        <v>1.418723E-3</v>
      </c>
      <c r="J182" s="1417">
        <v>87.571399999999997</v>
      </c>
    </row>
    <row r="183" spans="2:10" x14ac:dyDescent="0.25">
      <c r="B183" s="1406" t="s">
        <v>1085</v>
      </c>
      <c r="C183" s="1407">
        <v>2010</v>
      </c>
      <c r="D183" s="1406">
        <v>1094000</v>
      </c>
      <c r="E183" s="1408">
        <v>1093000</v>
      </c>
      <c r="F183" s="1409">
        <v>4104</v>
      </c>
      <c r="G183" s="1406">
        <v>5.9177</v>
      </c>
      <c r="H183" s="1408">
        <v>0.18431800000000001</v>
      </c>
      <c r="I183" s="1408">
        <v>8.6370000000000001E-4</v>
      </c>
      <c r="J183" s="1409">
        <v>11.7387</v>
      </c>
    </row>
    <row r="184" spans="2:10" x14ac:dyDescent="0.25">
      <c r="B184" s="1410" t="s">
        <v>283</v>
      </c>
      <c r="C184" s="1411">
        <v>2010</v>
      </c>
      <c r="D184" s="1410">
        <v>1094000</v>
      </c>
      <c r="E184" s="1412">
        <v>1093000</v>
      </c>
      <c r="F184" s="1413">
        <v>4104</v>
      </c>
      <c r="G184" s="1410">
        <v>5.9177</v>
      </c>
      <c r="H184" s="1412">
        <v>0.18431800000000001</v>
      </c>
      <c r="I184" s="1412">
        <v>8.6370000000000001E-4</v>
      </c>
      <c r="J184" s="1413">
        <v>11.7387</v>
      </c>
    </row>
    <row r="185" spans="2:10" x14ac:dyDescent="0.25">
      <c r="B185" s="1410" t="s">
        <v>1086</v>
      </c>
      <c r="C185" s="1411">
        <v>2010</v>
      </c>
      <c r="D185" s="1410">
        <v>1094000</v>
      </c>
      <c r="E185" s="1412">
        <v>1093000</v>
      </c>
      <c r="F185" s="1413">
        <v>4104</v>
      </c>
      <c r="G185" s="1410">
        <v>5.9177</v>
      </c>
      <c r="H185" s="1412">
        <v>0.18431800000000001</v>
      </c>
      <c r="I185" s="1412">
        <v>8.6370000000000001E-4</v>
      </c>
      <c r="J185" s="1413">
        <v>11.7387</v>
      </c>
    </row>
    <row r="186" spans="2:10" x14ac:dyDescent="0.25">
      <c r="B186" s="1410" t="s">
        <v>681</v>
      </c>
      <c r="C186" s="1411">
        <v>2010</v>
      </c>
      <c r="D186" s="1410">
        <v>1094000</v>
      </c>
      <c r="E186" s="1412">
        <v>1093000</v>
      </c>
      <c r="F186" s="1413">
        <v>4104</v>
      </c>
      <c r="G186" s="1410">
        <v>5.9177</v>
      </c>
      <c r="H186" s="1412">
        <v>0.18431800000000001</v>
      </c>
      <c r="I186" s="1412">
        <v>8.6370000000000001E-4</v>
      </c>
      <c r="J186" s="1413">
        <v>11.7387</v>
      </c>
    </row>
    <row r="187" spans="2:10" x14ac:dyDescent="0.25">
      <c r="B187" s="1410" t="s">
        <v>682</v>
      </c>
      <c r="C187" s="1411">
        <v>2010</v>
      </c>
      <c r="D187" s="1410">
        <v>-1208000</v>
      </c>
      <c r="E187" s="1412">
        <v>0</v>
      </c>
      <c r="F187" s="1413">
        <v>0</v>
      </c>
      <c r="G187" s="1410">
        <v>-85.789999999999992</v>
      </c>
      <c r="H187" s="1412">
        <v>0.54600000000000004</v>
      </c>
      <c r="I187" s="1412">
        <v>-1.8614999999999999E-3</v>
      </c>
      <c r="J187" s="1413">
        <v>-70.12</v>
      </c>
    </row>
    <row r="188" spans="2:10" x14ac:dyDescent="0.25">
      <c r="B188" s="1410" t="s">
        <v>683</v>
      </c>
      <c r="C188" s="1411">
        <v>2010</v>
      </c>
      <c r="D188" s="1410">
        <v>2254000</v>
      </c>
      <c r="E188" s="1412">
        <v>1938000</v>
      </c>
      <c r="F188" s="1413">
        <v>52730</v>
      </c>
      <c r="G188" s="1410">
        <v>220.67</v>
      </c>
      <c r="H188" s="1412">
        <v>0.288267</v>
      </c>
      <c r="I188" s="1412">
        <v>3.4012000000000001E-3</v>
      </c>
      <c r="J188" s="1413">
        <v>228.91000000000003</v>
      </c>
    </row>
    <row r="189" spans="2:10" x14ac:dyDescent="0.25">
      <c r="B189" s="1410" t="s">
        <v>698</v>
      </c>
      <c r="C189" s="1411">
        <v>2010</v>
      </c>
      <c r="D189" s="1410">
        <v>2254000</v>
      </c>
      <c r="E189" s="1412">
        <v>1938000</v>
      </c>
      <c r="F189" s="1413">
        <v>52730</v>
      </c>
      <c r="G189" s="1410">
        <v>220.67</v>
      </c>
      <c r="H189" s="1412">
        <v>0.288267</v>
      </c>
      <c r="I189" s="1412">
        <v>3.4012000000000001E-3</v>
      </c>
      <c r="J189" s="1413">
        <v>228.91000000000003</v>
      </c>
    </row>
    <row r="190" spans="2:10" x14ac:dyDescent="0.25">
      <c r="B190" s="1410" t="s">
        <v>684</v>
      </c>
      <c r="C190" s="1411">
        <v>2010</v>
      </c>
      <c r="D190" s="1410">
        <v>2254000</v>
      </c>
      <c r="E190" s="1412">
        <v>1938000</v>
      </c>
      <c r="F190" s="1413">
        <v>52730</v>
      </c>
      <c r="G190" s="1410">
        <v>220.67</v>
      </c>
      <c r="H190" s="1412">
        <v>0.288267</v>
      </c>
      <c r="I190" s="1412">
        <v>3.4012000000000001E-3</v>
      </c>
      <c r="J190" s="1413">
        <v>228.91000000000003</v>
      </c>
    </row>
    <row r="191" spans="2:10" x14ac:dyDescent="0.25">
      <c r="B191" s="1410" t="s">
        <v>1087</v>
      </c>
      <c r="C191" s="1411">
        <v>2010</v>
      </c>
      <c r="D191" s="1410">
        <v>1023000</v>
      </c>
      <c r="E191" s="1412">
        <v>1022000</v>
      </c>
      <c r="F191" s="1413">
        <v>15710</v>
      </c>
      <c r="G191" s="1410">
        <v>1.8761000000000001</v>
      </c>
      <c r="H191" s="1412">
        <v>0.14136795000000002</v>
      </c>
      <c r="I191" s="1412">
        <v>3.5802E-5</v>
      </c>
      <c r="J191" s="1413">
        <v>6.1511000000000005</v>
      </c>
    </row>
    <row r="192" spans="2:10" x14ac:dyDescent="0.25">
      <c r="B192" s="1410" t="s">
        <v>716</v>
      </c>
      <c r="C192" s="1411">
        <v>2010</v>
      </c>
      <c r="D192" s="1410">
        <v>1023000</v>
      </c>
      <c r="E192" s="1412">
        <v>1022000</v>
      </c>
      <c r="F192" s="1413">
        <v>15710</v>
      </c>
      <c r="G192" s="1410">
        <v>1.8761000000000001</v>
      </c>
      <c r="H192" s="1412">
        <v>0.14136795000000002</v>
      </c>
      <c r="I192" s="1412">
        <v>3.5802E-5</v>
      </c>
      <c r="J192" s="1413">
        <v>6.1511000000000005</v>
      </c>
    </row>
    <row r="193" spans="2:10" x14ac:dyDescent="0.25">
      <c r="B193" s="1410" t="s">
        <v>717</v>
      </c>
      <c r="C193" s="1411">
        <v>2010</v>
      </c>
      <c r="D193" s="1410">
        <v>1023000</v>
      </c>
      <c r="E193" s="1412">
        <v>1022000</v>
      </c>
      <c r="F193" s="1413">
        <v>15710</v>
      </c>
      <c r="G193" s="1410">
        <v>1.8761000000000001</v>
      </c>
      <c r="H193" s="1412">
        <v>0.14136795000000002</v>
      </c>
      <c r="I193" s="1412">
        <v>3.5802E-5</v>
      </c>
      <c r="J193" s="1413">
        <v>6.1511000000000005</v>
      </c>
    </row>
    <row r="194" spans="2:10" x14ac:dyDescent="0.25">
      <c r="B194" s="1410" t="s">
        <v>912</v>
      </c>
      <c r="C194" s="1411">
        <v>2010</v>
      </c>
      <c r="D194" s="1410">
        <v>1206000</v>
      </c>
      <c r="E194" s="1412">
        <v>1201000</v>
      </c>
      <c r="F194" s="1413">
        <v>1056000</v>
      </c>
      <c r="G194" s="1410">
        <v>18.166999999999998</v>
      </c>
      <c r="H194" s="1412">
        <v>0.18199899999999999</v>
      </c>
      <c r="I194" s="1412">
        <v>2.9639E-4</v>
      </c>
      <c r="J194" s="1413">
        <v>23.741999999999997</v>
      </c>
    </row>
    <row r="195" spans="2:10" x14ac:dyDescent="0.25">
      <c r="B195" s="1410" t="s">
        <v>910</v>
      </c>
      <c r="C195" s="1411">
        <v>2010</v>
      </c>
      <c r="D195" s="1410">
        <v>1687000</v>
      </c>
      <c r="E195" s="1412">
        <v>740000</v>
      </c>
      <c r="F195" s="1413">
        <v>297100</v>
      </c>
      <c r="G195" s="1410">
        <v>42.921999999999997</v>
      </c>
      <c r="H195" s="1412">
        <v>0.12687100000000001</v>
      </c>
      <c r="I195" s="1412">
        <v>2.955E-2</v>
      </c>
      <c r="J195" s="1413">
        <v>50.54</v>
      </c>
    </row>
    <row r="196" spans="2:10" x14ac:dyDescent="0.25">
      <c r="B196" s="1410" t="s">
        <v>913</v>
      </c>
      <c r="C196" s="1411">
        <v>2010</v>
      </c>
      <c r="D196" s="1410">
        <v>1248000</v>
      </c>
      <c r="E196" s="1412">
        <v>1242000</v>
      </c>
      <c r="F196" s="1413">
        <v>1083000</v>
      </c>
      <c r="G196" s="1410">
        <v>24.158999999999999</v>
      </c>
      <c r="H196" s="1412">
        <v>0.18823500000000001</v>
      </c>
      <c r="I196" s="1412">
        <v>3.8572999999999998E-4</v>
      </c>
      <c r="J196" s="1413">
        <v>30.041</v>
      </c>
    </row>
    <row r="197" spans="2:10" x14ac:dyDescent="0.25">
      <c r="B197" s="1410" t="s">
        <v>1081</v>
      </c>
      <c r="C197" s="1411">
        <v>2010</v>
      </c>
      <c r="D197" s="1410">
        <v>1194000</v>
      </c>
      <c r="E197" s="1412">
        <v>56320</v>
      </c>
      <c r="F197" s="1413">
        <v>32080</v>
      </c>
      <c r="G197" s="1410">
        <v>4.2514000000000003</v>
      </c>
      <c r="H197" s="1412">
        <v>9.6048000000000001E-3</v>
      </c>
      <c r="I197" s="1412">
        <v>-3.820487E-3</v>
      </c>
      <c r="J197" s="1413">
        <v>3.5488999999999997</v>
      </c>
    </row>
    <row r="198" spans="2:10" x14ac:dyDescent="0.25">
      <c r="B198" s="1410" t="s">
        <v>815</v>
      </c>
      <c r="C198" s="1411">
        <v>2010</v>
      </c>
      <c r="D198" s="1410">
        <v>1194000</v>
      </c>
      <c r="E198" s="1412">
        <v>56320</v>
      </c>
      <c r="F198" s="1413">
        <v>32080</v>
      </c>
      <c r="G198" s="1410">
        <v>4.2514000000000003</v>
      </c>
      <c r="H198" s="1412">
        <v>9.6048000000000001E-3</v>
      </c>
      <c r="I198" s="1412">
        <v>-3.820487E-3</v>
      </c>
      <c r="J198" s="1413">
        <v>3.5488999999999997</v>
      </c>
    </row>
    <row r="199" spans="2:10" x14ac:dyDescent="0.25">
      <c r="B199" s="1410" t="s">
        <v>824</v>
      </c>
      <c r="C199" s="1411">
        <v>2010</v>
      </c>
      <c r="D199" s="1410">
        <v>1194000</v>
      </c>
      <c r="E199" s="1412">
        <v>56320</v>
      </c>
      <c r="F199" s="1413">
        <v>32080</v>
      </c>
      <c r="G199" s="1410">
        <v>4.2514000000000003</v>
      </c>
      <c r="H199" s="1412">
        <v>9.6048000000000001E-3</v>
      </c>
      <c r="I199" s="1412">
        <v>-3.820487E-3</v>
      </c>
      <c r="J199" s="1413">
        <v>3.5488999999999997</v>
      </c>
    </row>
    <row r="200" spans="2:10" ht="13" thickBot="1" x14ac:dyDescent="0.3">
      <c r="B200" s="1414" t="s">
        <v>1088</v>
      </c>
      <c r="C200" s="1415">
        <v>2010</v>
      </c>
      <c r="D200" s="1414">
        <v>1386000</v>
      </c>
      <c r="E200" s="1416">
        <v>1385000</v>
      </c>
      <c r="F200" s="1417">
        <v>5215</v>
      </c>
      <c r="G200" s="1414">
        <v>78.8352</v>
      </c>
      <c r="H200" s="1416">
        <v>0.27453</v>
      </c>
      <c r="I200" s="1416">
        <v>2.3346E-3</v>
      </c>
      <c r="J200" s="1417">
        <v>87.848799999999997</v>
      </c>
    </row>
    <row r="201" spans="2:10" x14ac:dyDescent="0.25">
      <c r="B201" s="1406" t="s">
        <v>1085</v>
      </c>
      <c r="C201" s="1407">
        <v>2015</v>
      </c>
      <c r="D201" s="1406">
        <v>1093000</v>
      </c>
      <c r="E201" s="1408">
        <v>1092000</v>
      </c>
      <c r="F201" s="1409">
        <v>4020</v>
      </c>
      <c r="G201" s="1406">
        <v>5.8287000000000004</v>
      </c>
      <c r="H201" s="1408">
        <v>0.18472100000000002</v>
      </c>
      <c r="I201" s="1408">
        <v>8.6249999999999999E-4</v>
      </c>
      <c r="J201" s="1409">
        <v>11.659600000000001</v>
      </c>
    </row>
    <row r="202" spans="2:10" x14ac:dyDescent="0.25">
      <c r="B202" s="1410" t="s">
        <v>283</v>
      </c>
      <c r="C202" s="1411">
        <v>2015</v>
      </c>
      <c r="D202" s="1410">
        <v>1093000</v>
      </c>
      <c r="E202" s="1412">
        <v>1092000</v>
      </c>
      <c r="F202" s="1413">
        <v>4020</v>
      </c>
      <c r="G202" s="1410">
        <v>5.8287000000000004</v>
      </c>
      <c r="H202" s="1412">
        <v>0.18472100000000002</v>
      </c>
      <c r="I202" s="1412">
        <v>8.6249999999999999E-4</v>
      </c>
      <c r="J202" s="1413">
        <v>11.659600000000001</v>
      </c>
    </row>
    <row r="203" spans="2:10" x14ac:dyDescent="0.25">
      <c r="B203" s="1410" t="s">
        <v>1086</v>
      </c>
      <c r="C203" s="1411">
        <v>2015</v>
      </c>
      <c r="D203" s="1410">
        <v>1093000</v>
      </c>
      <c r="E203" s="1412">
        <v>1092000</v>
      </c>
      <c r="F203" s="1413">
        <v>4020</v>
      </c>
      <c r="G203" s="1410">
        <v>5.8287000000000004</v>
      </c>
      <c r="H203" s="1412">
        <v>0.18472100000000002</v>
      </c>
      <c r="I203" s="1412">
        <v>8.6249999999999999E-4</v>
      </c>
      <c r="J203" s="1413">
        <v>11.659600000000001</v>
      </c>
    </row>
    <row r="204" spans="2:10" x14ac:dyDescent="0.25">
      <c r="B204" s="1410" t="s">
        <v>681</v>
      </c>
      <c r="C204" s="1411">
        <v>2015</v>
      </c>
      <c r="D204" s="1410">
        <v>1093000</v>
      </c>
      <c r="E204" s="1412">
        <v>1092000</v>
      </c>
      <c r="F204" s="1413">
        <v>4020</v>
      </c>
      <c r="G204" s="1410">
        <v>5.8287000000000004</v>
      </c>
      <c r="H204" s="1412">
        <v>0.18472100000000002</v>
      </c>
      <c r="I204" s="1412">
        <v>8.6249999999999999E-4</v>
      </c>
      <c r="J204" s="1413">
        <v>11.659600000000001</v>
      </c>
    </row>
    <row r="205" spans="2:10" x14ac:dyDescent="0.25">
      <c r="B205" s="1410" t="s">
        <v>682</v>
      </c>
      <c r="C205" s="1411">
        <v>2015</v>
      </c>
      <c r="D205" s="1410">
        <v>-1194000</v>
      </c>
      <c r="E205" s="1412">
        <v>0</v>
      </c>
      <c r="F205" s="1413">
        <v>0</v>
      </c>
      <c r="G205" s="1410">
        <v>-85.789999999999992</v>
      </c>
      <c r="H205" s="1412">
        <v>0.54659999999999997</v>
      </c>
      <c r="I205" s="1412">
        <v>-1.8422E-3</v>
      </c>
      <c r="J205" s="1413">
        <v>-70.099999999999994</v>
      </c>
    </row>
    <row r="206" spans="2:10" x14ac:dyDescent="0.25">
      <c r="B206" s="1410" t="s">
        <v>683</v>
      </c>
      <c r="C206" s="1411">
        <v>2015</v>
      </c>
      <c r="D206" s="1410">
        <v>2038000</v>
      </c>
      <c r="E206" s="1412">
        <v>1688000</v>
      </c>
      <c r="F206" s="1413">
        <v>38920</v>
      </c>
      <c r="G206" s="1410">
        <v>180.61</v>
      </c>
      <c r="H206" s="1412">
        <v>0.25748300000000002</v>
      </c>
      <c r="I206" s="1412">
        <v>2.7356999999999998E-3</v>
      </c>
      <c r="J206" s="1413">
        <v>187.32</v>
      </c>
    </row>
    <row r="207" spans="2:10" x14ac:dyDescent="0.25">
      <c r="B207" s="1410" t="s">
        <v>698</v>
      </c>
      <c r="C207" s="1411">
        <v>2015</v>
      </c>
      <c r="D207" s="1410">
        <v>2038000</v>
      </c>
      <c r="E207" s="1412">
        <v>1688000</v>
      </c>
      <c r="F207" s="1413">
        <v>38920</v>
      </c>
      <c r="G207" s="1410">
        <v>180.61</v>
      </c>
      <c r="H207" s="1412">
        <v>0.25748300000000002</v>
      </c>
      <c r="I207" s="1412">
        <v>2.7356999999999998E-3</v>
      </c>
      <c r="J207" s="1413">
        <v>187.32</v>
      </c>
    </row>
    <row r="208" spans="2:10" x14ac:dyDescent="0.25">
      <c r="B208" s="1410" t="s">
        <v>684</v>
      </c>
      <c r="C208" s="1411">
        <v>2015</v>
      </c>
      <c r="D208" s="1410">
        <v>2038000</v>
      </c>
      <c r="E208" s="1412">
        <v>1688000</v>
      </c>
      <c r="F208" s="1413">
        <v>38920</v>
      </c>
      <c r="G208" s="1410">
        <v>180.61</v>
      </c>
      <c r="H208" s="1412">
        <v>0.25748300000000002</v>
      </c>
      <c r="I208" s="1412">
        <v>2.7356999999999998E-3</v>
      </c>
      <c r="J208" s="1413">
        <v>187.32</v>
      </c>
    </row>
    <row r="209" spans="2:10" x14ac:dyDescent="0.25">
      <c r="B209" s="1410" t="s">
        <v>1087</v>
      </c>
      <c r="C209" s="1411">
        <v>2015</v>
      </c>
      <c r="D209" s="1410">
        <v>1022000</v>
      </c>
      <c r="E209" s="1412">
        <v>1021000</v>
      </c>
      <c r="F209" s="1413">
        <v>15590</v>
      </c>
      <c r="G209" s="1410">
        <v>1.8048999999999999</v>
      </c>
      <c r="H209" s="1412">
        <v>0.14106285999999998</v>
      </c>
      <c r="I209" s="1412">
        <v>3.4603000000000001E-5</v>
      </c>
      <c r="J209" s="1413">
        <v>6.0683999999999996</v>
      </c>
    </row>
    <row r="210" spans="2:10" x14ac:dyDescent="0.25">
      <c r="B210" s="1410" t="s">
        <v>716</v>
      </c>
      <c r="C210" s="1411">
        <v>2015</v>
      </c>
      <c r="D210" s="1410">
        <v>1022000</v>
      </c>
      <c r="E210" s="1412">
        <v>1021000</v>
      </c>
      <c r="F210" s="1413">
        <v>15590</v>
      </c>
      <c r="G210" s="1410">
        <v>1.8048999999999999</v>
      </c>
      <c r="H210" s="1412">
        <v>0.14106285999999998</v>
      </c>
      <c r="I210" s="1412">
        <v>3.4603000000000001E-5</v>
      </c>
      <c r="J210" s="1413">
        <v>6.0683999999999996</v>
      </c>
    </row>
    <row r="211" spans="2:10" x14ac:dyDescent="0.25">
      <c r="B211" s="1410" t="s">
        <v>717</v>
      </c>
      <c r="C211" s="1411">
        <v>2015</v>
      </c>
      <c r="D211" s="1410">
        <v>1022000</v>
      </c>
      <c r="E211" s="1412">
        <v>1021000</v>
      </c>
      <c r="F211" s="1413">
        <v>15590</v>
      </c>
      <c r="G211" s="1410">
        <v>1.8048999999999999</v>
      </c>
      <c r="H211" s="1412">
        <v>0.14106285999999998</v>
      </c>
      <c r="I211" s="1412">
        <v>3.4603000000000001E-5</v>
      </c>
      <c r="J211" s="1413">
        <v>6.0683999999999996</v>
      </c>
    </row>
    <row r="212" spans="2:10" x14ac:dyDescent="0.25">
      <c r="B212" s="1410" t="s">
        <v>912</v>
      </c>
      <c r="C212" s="1411">
        <v>2015</v>
      </c>
      <c r="D212" s="1410">
        <v>1210000</v>
      </c>
      <c r="E212" s="1412">
        <v>1204000</v>
      </c>
      <c r="F212" s="1413">
        <v>1053000</v>
      </c>
      <c r="G212" s="1410">
        <v>18.527999999999999</v>
      </c>
      <c r="H212" s="1412">
        <v>0.16494200000000001</v>
      </c>
      <c r="I212" s="1412">
        <v>2.9771000000000002E-4</v>
      </c>
      <c r="J212" s="1413">
        <v>23.579000000000001</v>
      </c>
    </row>
    <row r="213" spans="2:10" x14ac:dyDescent="0.25">
      <c r="B213" s="1410" t="s">
        <v>910</v>
      </c>
      <c r="C213" s="1411">
        <v>2015</v>
      </c>
      <c r="D213" s="1410">
        <v>1642000</v>
      </c>
      <c r="E213" s="1412">
        <v>724000</v>
      </c>
      <c r="F213" s="1413">
        <v>290600</v>
      </c>
      <c r="G213" s="1410">
        <v>41.042999999999999</v>
      </c>
      <c r="H213" s="1412">
        <v>0.1162</v>
      </c>
      <c r="I213" s="1412">
        <v>2.7609999999999999E-2</v>
      </c>
      <c r="J213" s="1413">
        <v>48.36</v>
      </c>
    </row>
    <row r="214" spans="2:10" x14ac:dyDescent="0.25">
      <c r="B214" s="1410" t="s">
        <v>913</v>
      </c>
      <c r="C214" s="1411">
        <v>2015</v>
      </c>
      <c r="D214" s="1410">
        <v>1252000</v>
      </c>
      <c r="E214" s="1412">
        <v>1245000</v>
      </c>
      <c r="F214" s="1413">
        <v>1081000</v>
      </c>
      <c r="G214" s="1410">
        <v>24.462</v>
      </c>
      <c r="H214" s="1412">
        <v>0.17067199999999999</v>
      </c>
      <c r="I214" s="1412">
        <v>3.8633E-4</v>
      </c>
      <c r="J214" s="1413">
        <v>29.811999999999998</v>
      </c>
    </row>
    <row r="215" spans="2:10" x14ac:dyDescent="0.25">
      <c r="B215" s="1410" t="s">
        <v>1081</v>
      </c>
      <c r="C215" s="1411">
        <v>2015</v>
      </c>
      <c r="D215" s="1410">
        <v>1191000</v>
      </c>
      <c r="E215" s="1412">
        <v>53390</v>
      </c>
      <c r="F215" s="1413">
        <v>29910</v>
      </c>
      <c r="G215" s="1410">
        <v>3.9701</v>
      </c>
      <c r="H215" s="1412">
        <v>8.6864999999999998E-3</v>
      </c>
      <c r="I215" s="1412">
        <v>-3.8232459999999998E-3</v>
      </c>
      <c r="J215" s="1413">
        <v>3.2326999999999999</v>
      </c>
    </row>
    <row r="216" spans="2:10" x14ac:dyDescent="0.25">
      <c r="B216" s="1410" t="s">
        <v>815</v>
      </c>
      <c r="C216" s="1411">
        <v>2015</v>
      </c>
      <c r="D216" s="1410">
        <v>1191000</v>
      </c>
      <c r="E216" s="1412">
        <v>53390</v>
      </c>
      <c r="F216" s="1413">
        <v>29910</v>
      </c>
      <c r="G216" s="1410">
        <v>3.9701</v>
      </c>
      <c r="H216" s="1412">
        <v>8.6864999999999998E-3</v>
      </c>
      <c r="I216" s="1412">
        <v>-3.8232459999999998E-3</v>
      </c>
      <c r="J216" s="1413">
        <v>3.2326999999999999</v>
      </c>
    </row>
    <row r="217" spans="2:10" x14ac:dyDescent="0.25">
      <c r="B217" s="1410" t="s">
        <v>824</v>
      </c>
      <c r="C217" s="1411">
        <v>2015</v>
      </c>
      <c r="D217" s="1410">
        <v>1191000</v>
      </c>
      <c r="E217" s="1412">
        <v>53390</v>
      </c>
      <c r="F217" s="1413">
        <v>29910</v>
      </c>
      <c r="G217" s="1410">
        <v>3.9701</v>
      </c>
      <c r="H217" s="1412">
        <v>8.6864999999999998E-3</v>
      </c>
      <c r="I217" s="1412">
        <v>-3.8232459999999998E-3</v>
      </c>
      <c r="J217" s="1413">
        <v>3.2326999999999999</v>
      </c>
    </row>
    <row r="218" spans="2:10" ht="13" thickBot="1" x14ac:dyDescent="0.3">
      <c r="B218" s="1414" t="s">
        <v>1088</v>
      </c>
      <c r="C218" s="1415">
        <v>2015</v>
      </c>
      <c r="D218" s="1414">
        <v>1385000</v>
      </c>
      <c r="E218" s="1416">
        <v>1384000</v>
      </c>
      <c r="F218" s="1417">
        <v>5105</v>
      </c>
      <c r="G218" s="1414">
        <v>78.707400000000007</v>
      </c>
      <c r="H218" s="1416">
        <v>0.27494000000000002</v>
      </c>
      <c r="I218" s="1416">
        <v>2.3330999999999998E-3</v>
      </c>
      <c r="J218" s="1417">
        <v>87.730800000000002</v>
      </c>
    </row>
    <row r="219" spans="2:10" x14ac:dyDescent="0.25">
      <c r="B219" s="1406" t="s">
        <v>1085</v>
      </c>
      <c r="C219" s="1407">
        <v>2020</v>
      </c>
      <c r="D219" s="1406">
        <v>1093000</v>
      </c>
      <c r="E219" s="1408">
        <v>1092000</v>
      </c>
      <c r="F219" s="1409">
        <v>3993</v>
      </c>
      <c r="G219" s="1406">
        <v>5.7995000000000001</v>
      </c>
      <c r="H219" s="1408">
        <v>0.18462100000000001</v>
      </c>
      <c r="I219" s="1408">
        <v>8.6209999999999998E-4</v>
      </c>
      <c r="J219" s="1409">
        <v>11.6227</v>
      </c>
    </row>
    <row r="220" spans="2:10" x14ac:dyDescent="0.25">
      <c r="B220" s="1410" t="s">
        <v>283</v>
      </c>
      <c r="C220" s="1411">
        <v>2020</v>
      </c>
      <c r="D220" s="1410">
        <v>1093000</v>
      </c>
      <c r="E220" s="1412">
        <v>1092000</v>
      </c>
      <c r="F220" s="1413">
        <v>3993</v>
      </c>
      <c r="G220" s="1410">
        <v>5.7995000000000001</v>
      </c>
      <c r="H220" s="1412">
        <v>0.18462100000000001</v>
      </c>
      <c r="I220" s="1412">
        <v>8.6209999999999998E-4</v>
      </c>
      <c r="J220" s="1413">
        <v>11.6227</v>
      </c>
    </row>
    <row r="221" spans="2:10" x14ac:dyDescent="0.25">
      <c r="B221" s="1410" t="s">
        <v>1086</v>
      </c>
      <c r="C221" s="1411">
        <v>2020</v>
      </c>
      <c r="D221" s="1410">
        <v>1093000</v>
      </c>
      <c r="E221" s="1412">
        <v>1092000</v>
      </c>
      <c r="F221" s="1413">
        <v>3993</v>
      </c>
      <c r="G221" s="1410">
        <v>5.7995000000000001</v>
      </c>
      <c r="H221" s="1412">
        <v>0.18462100000000001</v>
      </c>
      <c r="I221" s="1412">
        <v>8.6209999999999998E-4</v>
      </c>
      <c r="J221" s="1413">
        <v>11.6227</v>
      </c>
    </row>
    <row r="222" spans="2:10" x14ac:dyDescent="0.25">
      <c r="B222" s="1410" t="s">
        <v>681</v>
      </c>
      <c r="C222" s="1411">
        <v>2020</v>
      </c>
      <c r="D222" s="1410">
        <v>1093000</v>
      </c>
      <c r="E222" s="1412">
        <v>1092000</v>
      </c>
      <c r="F222" s="1413">
        <v>3993</v>
      </c>
      <c r="G222" s="1410">
        <v>5.7995000000000001</v>
      </c>
      <c r="H222" s="1412">
        <v>0.18462100000000001</v>
      </c>
      <c r="I222" s="1412">
        <v>8.6209999999999998E-4</v>
      </c>
      <c r="J222" s="1413">
        <v>11.6227</v>
      </c>
    </row>
    <row r="223" spans="2:10" x14ac:dyDescent="0.25">
      <c r="B223" s="1410" t="s">
        <v>682</v>
      </c>
      <c r="C223" s="1411">
        <v>2020</v>
      </c>
      <c r="D223" s="1410">
        <v>-1185000</v>
      </c>
      <c r="E223" s="1412">
        <v>0</v>
      </c>
      <c r="F223" s="1413">
        <v>0</v>
      </c>
      <c r="G223" s="1410">
        <v>-85.800000000000011</v>
      </c>
      <c r="H223" s="1412">
        <v>0.54700000000000004</v>
      </c>
      <c r="I223" s="1412">
        <v>-1.8286999999999999E-3</v>
      </c>
      <c r="J223" s="1413">
        <v>-70.08</v>
      </c>
    </row>
    <row r="224" spans="2:10" x14ac:dyDescent="0.25">
      <c r="B224" s="1410" t="s">
        <v>683</v>
      </c>
      <c r="C224" s="1411">
        <v>2020</v>
      </c>
      <c r="D224" s="1410">
        <v>1866000</v>
      </c>
      <c r="E224" s="1412">
        <v>1484000</v>
      </c>
      <c r="F224" s="1413">
        <v>26490</v>
      </c>
      <c r="G224" s="1410">
        <v>161.61000000000001</v>
      </c>
      <c r="H224" s="1412">
        <v>0.22423899999999999</v>
      </c>
      <c r="I224" s="1412">
        <v>2.4153E-3</v>
      </c>
      <c r="J224" s="1413">
        <v>168.06</v>
      </c>
    </row>
    <row r="225" spans="2:10" x14ac:dyDescent="0.25">
      <c r="B225" s="1410" t="s">
        <v>698</v>
      </c>
      <c r="C225" s="1411">
        <v>2020</v>
      </c>
      <c r="D225" s="1410">
        <v>1866000</v>
      </c>
      <c r="E225" s="1412">
        <v>1484000</v>
      </c>
      <c r="F225" s="1413">
        <v>26490</v>
      </c>
      <c r="G225" s="1410">
        <v>161.61000000000001</v>
      </c>
      <c r="H225" s="1412">
        <v>0.22423899999999999</v>
      </c>
      <c r="I225" s="1412">
        <v>2.4153E-3</v>
      </c>
      <c r="J225" s="1413">
        <v>168.06</v>
      </c>
    </row>
    <row r="226" spans="2:10" x14ac:dyDescent="0.25">
      <c r="B226" s="1410" t="s">
        <v>684</v>
      </c>
      <c r="C226" s="1411">
        <v>2020</v>
      </c>
      <c r="D226" s="1410">
        <v>1866000</v>
      </c>
      <c r="E226" s="1412">
        <v>1484000</v>
      </c>
      <c r="F226" s="1413">
        <v>26490</v>
      </c>
      <c r="G226" s="1410">
        <v>161.61000000000001</v>
      </c>
      <c r="H226" s="1412">
        <v>0.22423899999999999</v>
      </c>
      <c r="I226" s="1412">
        <v>2.4153E-3</v>
      </c>
      <c r="J226" s="1413">
        <v>168.06</v>
      </c>
    </row>
    <row r="227" spans="2:10" x14ac:dyDescent="0.25">
      <c r="B227" s="1410" t="s">
        <v>1087</v>
      </c>
      <c r="C227" s="1411">
        <v>2020</v>
      </c>
      <c r="D227" s="1410">
        <v>1022000</v>
      </c>
      <c r="E227" s="1412">
        <v>1021000</v>
      </c>
      <c r="F227" s="1413">
        <v>15530</v>
      </c>
      <c r="G227" s="1410">
        <v>1.7706</v>
      </c>
      <c r="H227" s="1412">
        <v>0.14096106</v>
      </c>
      <c r="I227" s="1412">
        <v>3.4058000000000005E-5</v>
      </c>
      <c r="J227" s="1413">
        <v>6.0322999999999993</v>
      </c>
    </row>
    <row r="228" spans="2:10" x14ac:dyDescent="0.25">
      <c r="B228" s="1410" t="s">
        <v>716</v>
      </c>
      <c r="C228" s="1411">
        <v>2020</v>
      </c>
      <c r="D228" s="1410">
        <v>1022000</v>
      </c>
      <c r="E228" s="1412">
        <v>1021000</v>
      </c>
      <c r="F228" s="1413">
        <v>15530</v>
      </c>
      <c r="G228" s="1410">
        <v>1.7706</v>
      </c>
      <c r="H228" s="1412">
        <v>0.14096106</v>
      </c>
      <c r="I228" s="1412">
        <v>3.4058000000000005E-5</v>
      </c>
      <c r="J228" s="1413">
        <v>6.0322999999999993</v>
      </c>
    </row>
    <row r="229" spans="2:10" x14ac:dyDescent="0.25">
      <c r="B229" s="1410" t="s">
        <v>717</v>
      </c>
      <c r="C229" s="1411">
        <v>2020</v>
      </c>
      <c r="D229" s="1410">
        <v>1022000</v>
      </c>
      <c r="E229" s="1412">
        <v>1021000</v>
      </c>
      <c r="F229" s="1413">
        <v>15530</v>
      </c>
      <c r="G229" s="1410">
        <v>1.7706</v>
      </c>
      <c r="H229" s="1412">
        <v>0.14096106</v>
      </c>
      <c r="I229" s="1412">
        <v>3.4058000000000005E-5</v>
      </c>
      <c r="J229" s="1413">
        <v>6.0322999999999993</v>
      </c>
    </row>
    <row r="230" spans="2:10" x14ac:dyDescent="0.25">
      <c r="B230" s="1410" t="s">
        <v>912</v>
      </c>
      <c r="C230" s="1411">
        <v>2020</v>
      </c>
      <c r="D230" s="1410">
        <v>1211000</v>
      </c>
      <c r="E230" s="1412">
        <v>1205000</v>
      </c>
      <c r="F230" s="1413">
        <v>1052000</v>
      </c>
      <c r="G230" s="1410">
        <v>18.605999999999998</v>
      </c>
      <c r="H230" s="1412">
        <v>0.162991</v>
      </c>
      <c r="I230" s="1412">
        <v>3.0018999999999998E-4</v>
      </c>
      <c r="J230" s="1413">
        <v>23.607999999999997</v>
      </c>
    </row>
    <row r="231" spans="2:10" x14ac:dyDescent="0.25">
      <c r="B231" s="1410" t="s">
        <v>910</v>
      </c>
      <c r="C231" s="1411">
        <v>2020</v>
      </c>
      <c r="D231" s="1410">
        <v>1591000</v>
      </c>
      <c r="E231" s="1412">
        <v>703100</v>
      </c>
      <c r="F231" s="1413">
        <v>286400</v>
      </c>
      <c r="G231" s="1410">
        <v>39.366999999999997</v>
      </c>
      <c r="H231" s="1412">
        <v>0.11210000000000001</v>
      </c>
      <c r="I231" s="1412">
        <v>2.5360000000000001E-2</v>
      </c>
      <c r="J231" s="1413">
        <v>46.16</v>
      </c>
    </row>
    <row r="232" spans="2:10" x14ac:dyDescent="0.25">
      <c r="B232" s="1410" t="s">
        <v>913</v>
      </c>
      <c r="C232" s="1411">
        <v>2020</v>
      </c>
      <c r="D232" s="1410">
        <v>1252000</v>
      </c>
      <c r="E232" s="1412">
        <v>1245000</v>
      </c>
      <c r="F232" s="1413">
        <v>1078000</v>
      </c>
      <c r="G232" s="1410">
        <v>24.533999999999999</v>
      </c>
      <c r="H232" s="1412">
        <v>0.16861900000000002</v>
      </c>
      <c r="I232" s="1412">
        <v>3.8906999999999999E-4</v>
      </c>
      <c r="J232" s="1413">
        <v>29.833999999999996</v>
      </c>
    </row>
    <row r="233" spans="2:10" x14ac:dyDescent="0.25">
      <c r="B233" s="1410" t="s">
        <v>1081</v>
      </c>
      <c r="C233" s="1411">
        <v>2020</v>
      </c>
      <c r="D233" s="1410">
        <v>1190000</v>
      </c>
      <c r="E233" s="1412">
        <v>52190</v>
      </c>
      <c r="F233" s="1413">
        <v>29260</v>
      </c>
      <c r="G233" s="1410">
        <v>3.8701999999999996</v>
      </c>
      <c r="H233" s="1412">
        <v>8.4535000000000009E-3</v>
      </c>
      <c r="I233" s="1412">
        <v>-3.824488E-3</v>
      </c>
      <c r="J233" s="1413">
        <v>3.1251000000000002</v>
      </c>
    </row>
    <row r="234" spans="2:10" x14ac:dyDescent="0.25">
      <c r="B234" s="1410" t="s">
        <v>815</v>
      </c>
      <c r="C234" s="1411">
        <v>2020</v>
      </c>
      <c r="D234" s="1410">
        <v>1190000</v>
      </c>
      <c r="E234" s="1412">
        <v>52190</v>
      </c>
      <c r="F234" s="1413">
        <v>29260</v>
      </c>
      <c r="G234" s="1410">
        <v>3.8701999999999996</v>
      </c>
      <c r="H234" s="1412">
        <v>8.4535000000000009E-3</v>
      </c>
      <c r="I234" s="1412">
        <v>-3.824488E-3</v>
      </c>
      <c r="J234" s="1413">
        <v>3.1251000000000002</v>
      </c>
    </row>
    <row r="235" spans="2:10" x14ac:dyDescent="0.25">
      <c r="B235" s="1410" t="s">
        <v>824</v>
      </c>
      <c r="C235" s="1411">
        <v>2020</v>
      </c>
      <c r="D235" s="1410">
        <v>1190000</v>
      </c>
      <c r="E235" s="1412">
        <v>52190</v>
      </c>
      <c r="F235" s="1413">
        <v>29260</v>
      </c>
      <c r="G235" s="1410">
        <v>3.8701999999999996</v>
      </c>
      <c r="H235" s="1412">
        <v>8.4535000000000009E-3</v>
      </c>
      <c r="I235" s="1412">
        <v>-3.824488E-3</v>
      </c>
      <c r="J235" s="1413">
        <v>3.1251000000000002</v>
      </c>
    </row>
    <row r="236" spans="2:10" ht="13" thickBot="1" x14ac:dyDescent="0.3">
      <c r="B236" s="1414" t="s">
        <v>1088</v>
      </c>
      <c r="C236" s="1415">
        <v>2020</v>
      </c>
      <c r="D236" s="1414">
        <v>1384000</v>
      </c>
      <c r="E236" s="1416">
        <v>1384000</v>
      </c>
      <c r="F236" s="1417">
        <v>5066</v>
      </c>
      <c r="G236" s="1414">
        <v>78.656899999999993</v>
      </c>
      <c r="H236" s="1416">
        <v>0.27494000000000002</v>
      </c>
      <c r="I236" s="1416">
        <v>2.3319E-3</v>
      </c>
      <c r="J236" s="1417">
        <v>87.680599999999998</v>
      </c>
    </row>
    <row r="237" spans="2:10" x14ac:dyDescent="0.25">
      <c r="B237" s="1406" t="s">
        <v>1085</v>
      </c>
      <c r="C237" s="1407">
        <v>2025</v>
      </c>
      <c r="D237" s="1406">
        <v>1093000</v>
      </c>
      <c r="E237" s="1408">
        <v>1092000</v>
      </c>
      <c r="F237" s="1409">
        <v>3984</v>
      </c>
      <c r="G237" s="1406">
        <v>5.7702</v>
      </c>
      <c r="H237" s="1408">
        <v>0.18462100000000001</v>
      </c>
      <c r="I237" s="1408">
        <v>8.6159999999999991E-4</v>
      </c>
      <c r="J237" s="1409">
        <v>11.5953</v>
      </c>
    </row>
    <row r="238" spans="2:10" x14ac:dyDescent="0.25">
      <c r="B238" s="1410" t="s">
        <v>283</v>
      </c>
      <c r="C238" s="1411">
        <v>2025</v>
      </c>
      <c r="D238" s="1410">
        <v>1093000</v>
      </c>
      <c r="E238" s="1412">
        <v>1092000</v>
      </c>
      <c r="F238" s="1413">
        <v>3984</v>
      </c>
      <c r="G238" s="1410">
        <v>5.7702</v>
      </c>
      <c r="H238" s="1412">
        <v>0.18462100000000001</v>
      </c>
      <c r="I238" s="1412">
        <v>8.6159999999999991E-4</v>
      </c>
      <c r="J238" s="1413">
        <v>11.5953</v>
      </c>
    </row>
    <row r="239" spans="2:10" x14ac:dyDescent="0.25">
      <c r="B239" s="1410" t="s">
        <v>1086</v>
      </c>
      <c r="C239" s="1411">
        <v>2025</v>
      </c>
      <c r="D239" s="1410">
        <v>1093000</v>
      </c>
      <c r="E239" s="1412">
        <v>1092000</v>
      </c>
      <c r="F239" s="1413">
        <v>3984</v>
      </c>
      <c r="G239" s="1410">
        <v>5.7702</v>
      </c>
      <c r="H239" s="1412">
        <v>0.18462100000000001</v>
      </c>
      <c r="I239" s="1412">
        <v>8.6159999999999991E-4</v>
      </c>
      <c r="J239" s="1413">
        <v>11.5953</v>
      </c>
    </row>
    <row r="240" spans="2:10" x14ac:dyDescent="0.25">
      <c r="B240" s="1410" t="s">
        <v>681</v>
      </c>
      <c r="C240" s="1411">
        <v>2025</v>
      </c>
      <c r="D240" s="1410">
        <v>1093000</v>
      </c>
      <c r="E240" s="1412">
        <v>1092000</v>
      </c>
      <c r="F240" s="1413">
        <v>3984</v>
      </c>
      <c r="G240" s="1410">
        <v>5.7702</v>
      </c>
      <c r="H240" s="1412">
        <v>0.18462100000000001</v>
      </c>
      <c r="I240" s="1412">
        <v>8.6159999999999991E-4</v>
      </c>
      <c r="J240" s="1413">
        <v>11.5953</v>
      </c>
    </row>
    <row r="241" spans="2:10" x14ac:dyDescent="0.25">
      <c r="B241" s="1410" t="s">
        <v>682</v>
      </c>
      <c r="C241" s="1411">
        <v>2025</v>
      </c>
      <c r="D241" s="1410">
        <v>-1185000</v>
      </c>
      <c r="E241" s="1412">
        <v>0</v>
      </c>
      <c r="F241" s="1413">
        <v>0</v>
      </c>
      <c r="G241" s="1410">
        <v>-85.800000000000011</v>
      </c>
      <c r="H241" s="1412">
        <v>0.54700000000000004</v>
      </c>
      <c r="I241" s="1412">
        <v>-1.8286999999999999E-3</v>
      </c>
      <c r="J241" s="1413">
        <v>-70.08</v>
      </c>
    </row>
    <row r="242" spans="2:10" x14ac:dyDescent="0.25">
      <c r="B242" s="1410" t="s">
        <v>683</v>
      </c>
      <c r="C242" s="1411">
        <v>2025</v>
      </c>
      <c r="D242" s="1410">
        <v>1787000</v>
      </c>
      <c r="E242" s="1412">
        <v>1356000</v>
      </c>
      <c r="F242" s="1413">
        <v>23200</v>
      </c>
      <c r="G242" s="1410">
        <v>145.11000000000001</v>
      </c>
      <c r="H242" s="1412">
        <v>0.20658799999999999</v>
      </c>
      <c r="I242" s="1412">
        <v>2.1538999999999998E-3</v>
      </c>
      <c r="J242" s="1413">
        <v>150.89999999999998</v>
      </c>
    </row>
    <row r="243" spans="2:10" x14ac:dyDescent="0.25">
      <c r="B243" s="1410" t="s">
        <v>698</v>
      </c>
      <c r="C243" s="1411">
        <v>2025</v>
      </c>
      <c r="D243" s="1410">
        <v>1787000</v>
      </c>
      <c r="E243" s="1412">
        <v>1356000</v>
      </c>
      <c r="F243" s="1413">
        <v>23200</v>
      </c>
      <c r="G243" s="1410">
        <v>145.11000000000001</v>
      </c>
      <c r="H243" s="1412">
        <v>0.20658799999999999</v>
      </c>
      <c r="I243" s="1412">
        <v>2.1538999999999998E-3</v>
      </c>
      <c r="J243" s="1413">
        <v>150.89999999999998</v>
      </c>
    </row>
    <row r="244" spans="2:10" x14ac:dyDescent="0.25">
      <c r="B244" s="1410" t="s">
        <v>684</v>
      </c>
      <c r="C244" s="1411">
        <v>2025</v>
      </c>
      <c r="D244" s="1410">
        <v>1787000</v>
      </c>
      <c r="E244" s="1412">
        <v>1356000</v>
      </c>
      <c r="F244" s="1413">
        <v>23200</v>
      </c>
      <c r="G244" s="1410">
        <v>145.11000000000001</v>
      </c>
      <c r="H244" s="1412">
        <v>0.20658799999999999</v>
      </c>
      <c r="I244" s="1412">
        <v>2.1538999999999998E-3</v>
      </c>
      <c r="J244" s="1413">
        <v>150.89999999999998</v>
      </c>
    </row>
    <row r="245" spans="2:10" x14ac:dyDescent="0.25">
      <c r="B245" s="1410" t="s">
        <v>1087</v>
      </c>
      <c r="C245" s="1411">
        <v>2025</v>
      </c>
      <c r="D245" s="1410">
        <v>1022000</v>
      </c>
      <c r="E245" s="1412">
        <v>1021000</v>
      </c>
      <c r="F245" s="1413">
        <v>15530</v>
      </c>
      <c r="G245" s="1410">
        <v>1.7374000000000001</v>
      </c>
      <c r="H245" s="1412">
        <v>0.14096106999999999</v>
      </c>
      <c r="I245" s="1412">
        <v>3.3522000000000002E-5</v>
      </c>
      <c r="J245" s="1413">
        <v>5.9969999999999999</v>
      </c>
    </row>
    <row r="246" spans="2:10" x14ac:dyDescent="0.25">
      <c r="B246" s="1410" t="s">
        <v>716</v>
      </c>
      <c r="C246" s="1411">
        <v>2025</v>
      </c>
      <c r="D246" s="1410">
        <v>1022000</v>
      </c>
      <c r="E246" s="1412">
        <v>1021000</v>
      </c>
      <c r="F246" s="1413">
        <v>15530</v>
      </c>
      <c r="G246" s="1410">
        <v>1.7374000000000001</v>
      </c>
      <c r="H246" s="1412">
        <v>0.14096106999999999</v>
      </c>
      <c r="I246" s="1412">
        <v>3.3522000000000002E-5</v>
      </c>
      <c r="J246" s="1413">
        <v>5.9969999999999999</v>
      </c>
    </row>
    <row r="247" spans="2:10" x14ac:dyDescent="0.25">
      <c r="B247" s="1410" t="s">
        <v>717</v>
      </c>
      <c r="C247" s="1411">
        <v>2025</v>
      </c>
      <c r="D247" s="1410">
        <v>1022000</v>
      </c>
      <c r="E247" s="1412">
        <v>1021000</v>
      </c>
      <c r="F247" s="1413">
        <v>15530</v>
      </c>
      <c r="G247" s="1410">
        <v>1.7374000000000001</v>
      </c>
      <c r="H247" s="1412">
        <v>0.14096106999999999</v>
      </c>
      <c r="I247" s="1412">
        <v>3.3522000000000002E-5</v>
      </c>
      <c r="J247" s="1413">
        <v>5.9969999999999999</v>
      </c>
    </row>
    <row r="248" spans="2:10" x14ac:dyDescent="0.25">
      <c r="B248" s="1410" t="s">
        <v>912</v>
      </c>
      <c r="C248" s="1411">
        <v>2025</v>
      </c>
      <c r="D248" s="1410">
        <v>1210000</v>
      </c>
      <c r="E248" s="1412">
        <v>1203000</v>
      </c>
      <c r="F248" s="1413">
        <v>1052000</v>
      </c>
      <c r="G248" s="1410">
        <v>18.323</v>
      </c>
      <c r="H248" s="1412">
        <v>0.16309799999999999</v>
      </c>
      <c r="I248" s="1412">
        <v>2.9605000000000001E-4</v>
      </c>
      <c r="J248" s="1413">
        <v>23.334</v>
      </c>
    </row>
    <row r="249" spans="2:10" x14ac:dyDescent="0.25">
      <c r="B249" s="1410" t="s">
        <v>910</v>
      </c>
      <c r="C249" s="1411">
        <v>2025</v>
      </c>
      <c r="D249" s="1410">
        <v>1588000</v>
      </c>
      <c r="E249" s="1412">
        <v>698600</v>
      </c>
      <c r="F249" s="1413">
        <v>286300</v>
      </c>
      <c r="G249" s="1410">
        <v>38.775999999999996</v>
      </c>
      <c r="H249" s="1412">
        <v>0.1116</v>
      </c>
      <c r="I249" s="1412">
        <v>2.5360000000000001E-2</v>
      </c>
      <c r="J249" s="1413">
        <v>45.71</v>
      </c>
    </row>
    <row r="250" spans="2:10" x14ac:dyDescent="0.25">
      <c r="B250" s="1410" t="s">
        <v>913</v>
      </c>
      <c r="C250" s="1411">
        <v>2025</v>
      </c>
      <c r="D250" s="1410">
        <v>1251000</v>
      </c>
      <c r="E250" s="1412">
        <v>1243000</v>
      </c>
      <c r="F250" s="1413">
        <v>1078000</v>
      </c>
      <c r="G250" s="1410">
        <v>24.223999999999997</v>
      </c>
      <c r="H250" s="1412">
        <v>0.16872600000000001</v>
      </c>
      <c r="I250" s="1412">
        <v>3.8451000000000002E-4</v>
      </c>
      <c r="J250" s="1413">
        <v>29.523000000000003</v>
      </c>
    </row>
    <row r="251" spans="2:10" x14ac:dyDescent="0.25">
      <c r="B251" s="1410" t="s">
        <v>1081</v>
      </c>
      <c r="C251" s="1411">
        <v>2025</v>
      </c>
      <c r="D251" s="1410">
        <v>1190000</v>
      </c>
      <c r="E251" s="1412">
        <v>51790</v>
      </c>
      <c r="F251" s="1413">
        <v>29250</v>
      </c>
      <c r="G251" s="1410">
        <v>3.8201000000000001</v>
      </c>
      <c r="H251" s="1412">
        <v>8.410599999999999E-3</v>
      </c>
      <c r="I251" s="1412">
        <v>-3.8247120000000001E-3</v>
      </c>
      <c r="J251" s="1413">
        <v>3.0718000000000001</v>
      </c>
    </row>
    <row r="252" spans="2:10" x14ac:dyDescent="0.25">
      <c r="B252" s="1410" t="s">
        <v>815</v>
      </c>
      <c r="C252" s="1411">
        <v>2025</v>
      </c>
      <c r="D252" s="1410">
        <v>1190000</v>
      </c>
      <c r="E252" s="1412">
        <v>51790</v>
      </c>
      <c r="F252" s="1413">
        <v>29250</v>
      </c>
      <c r="G252" s="1410">
        <v>3.8201000000000001</v>
      </c>
      <c r="H252" s="1412">
        <v>8.410599999999999E-3</v>
      </c>
      <c r="I252" s="1412">
        <v>-3.8247120000000001E-3</v>
      </c>
      <c r="J252" s="1413">
        <v>3.0718000000000001</v>
      </c>
    </row>
    <row r="253" spans="2:10" x14ac:dyDescent="0.25">
      <c r="B253" s="1410" t="s">
        <v>824</v>
      </c>
      <c r="C253" s="1411">
        <v>2025</v>
      </c>
      <c r="D253" s="1410">
        <v>1190000</v>
      </c>
      <c r="E253" s="1412">
        <v>51790</v>
      </c>
      <c r="F253" s="1413">
        <v>29250</v>
      </c>
      <c r="G253" s="1410">
        <v>3.8201000000000001</v>
      </c>
      <c r="H253" s="1412">
        <v>8.410599999999999E-3</v>
      </c>
      <c r="I253" s="1412">
        <v>-3.8247120000000001E-3</v>
      </c>
      <c r="J253" s="1413">
        <v>3.0718000000000001</v>
      </c>
    </row>
    <row r="254" spans="2:10" ht="13" thickBot="1" x14ac:dyDescent="0.3">
      <c r="B254" s="1414" t="s">
        <v>1088</v>
      </c>
      <c r="C254" s="1415">
        <v>2025</v>
      </c>
      <c r="D254" s="1414">
        <v>1384000</v>
      </c>
      <c r="E254" s="1416">
        <v>1383000</v>
      </c>
      <c r="F254" s="1417">
        <v>5053</v>
      </c>
      <c r="G254" s="1414">
        <v>78.616100000000003</v>
      </c>
      <c r="H254" s="1416">
        <v>0.27494000000000002</v>
      </c>
      <c r="I254" s="1416">
        <v>2.3316999999999999E-3</v>
      </c>
      <c r="J254" s="1417">
        <v>87.639700000000005</v>
      </c>
    </row>
    <row r="255" spans="2:10" x14ac:dyDescent="0.25">
      <c r="B255" s="1406" t="s">
        <v>1085</v>
      </c>
      <c r="C255" s="1407">
        <v>2030</v>
      </c>
      <c r="D255" s="1406">
        <v>1092000</v>
      </c>
      <c r="E255" s="1408">
        <v>1092000</v>
      </c>
      <c r="F255" s="1409">
        <v>3981</v>
      </c>
      <c r="G255" s="1406">
        <v>5.7552000000000003</v>
      </c>
      <c r="H255" s="1408">
        <v>0.18462100000000001</v>
      </c>
      <c r="I255" s="1408">
        <v>8.6129999999999996E-4</v>
      </c>
      <c r="J255" s="1409">
        <v>11.5802</v>
      </c>
    </row>
    <row r="256" spans="2:10" x14ac:dyDescent="0.25">
      <c r="B256" s="1410" t="s">
        <v>283</v>
      </c>
      <c r="C256" s="1411">
        <v>2030</v>
      </c>
      <c r="D256" s="1410">
        <v>1092000</v>
      </c>
      <c r="E256" s="1412">
        <v>1092000</v>
      </c>
      <c r="F256" s="1413">
        <v>3981</v>
      </c>
      <c r="G256" s="1410">
        <v>5.7552000000000003</v>
      </c>
      <c r="H256" s="1412">
        <v>0.18462100000000001</v>
      </c>
      <c r="I256" s="1412">
        <v>8.6129999999999996E-4</v>
      </c>
      <c r="J256" s="1413">
        <v>11.5802</v>
      </c>
    </row>
    <row r="257" spans="2:10" x14ac:dyDescent="0.25">
      <c r="B257" s="1410" t="s">
        <v>1086</v>
      </c>
      <c r="C257" s="1411">
        <v>2030</v>
      </c>
      <c r="D257" s="1410">
        <v>1092000</v>
      </c>
      <c r="E257" s="1412">
        <v>1092000</v>
      </c>
      <c r="F257" s="1413">
        <v>3981</v>
      </c>
      <c r="G257" s="1410">
        <v>5.7552000000000003</v>
      </c>
      <c r="H257" s="1412">
        <v>0.18462100000000001</v>
      </c>
      <c r="I257" s="1412">
        <v>8.6129999999999996E-4</v>
      </c>
      <c r="J257" s="1413">
        <v>11.5802</v>
      </c>
    </row>
    <row r="258" spans="2:10" x14ac:dyDescent="0.25">
      <c r="B258" s="1410" t="s">
        <v>681</v>
      </c>
      <c r="C258" s="1411">
        <v>2030</v>
      </c>
      <c r="D258" s="1410">
        <v>1092000</v>
      </c>
      <c r="E258" s="1412">
        <v>1092000</v>
      </c>
      <c r="F258" s="1413">
        <v>3981</v>
      </c>
      <c r="G258" s="1410">
        <v>5.7552000000000003</v>
      </c>
      <c r="H258" s="1412">
        <v>0.18462100000000001</v>
      </c>
      <c r="I258" s="1412">
        <v>8.6129999999999996E-4</v>
      </c>
      <c r="J258" s="1413">
        <v>11.5802</v>
      </c>
    </row>
    <row r="259" spans="2:10" x14ac:dyDescent="0.25">
      <c r="B259" s="1410" t="s">
        <v>682</v>
      </c>
      <c r="C259" s="1411">
        <v>2030</v>
      </c>
      <c r="D259" s="1410">
        <v>-1185000</v>
      </c>
      <c r="E259" s="1412">
        <v>0</v>
      </c>
      <c r="F259" s="1413">
        <v>0</v>
      </c>
      <c r="G259" s="1410">
        <v>-85.800000000000011</v>
      </c>
      <c r="H259" s="1412">
        <v>0.54700000000000004</v>
      </c>
      <c r="I259" s="1412">
        <v>-1.8286999999999999E-3</v>
      </c>
      <c r="J259" s="1413">
        <v>-70.08</v>
      </c>
    </row>
    <row r="260" spans="2:10" x14ac:dyDescent="0.25">
      <c r="B260" s="1410" t="s">
        <v>683</v>
      </c>
      <c r="C260" s="1411">
        <v>2030</v>
      </c>
      <c r="D260" s="1410">
        <v>1749000</v>
      </c>
      <c r="E260" s="1412">
        <v>1310000</v>
      </c>
      <c r="F260" s="1413">
        <v>19790</v>
      </c>
      <c r="G260" s="1410">
        <v>134.88</v>
      </c>
      <c r="H260" s="1412">
        <v>0.20275799999999999</v>
      </c>
      <c r="I260" s="1412">
        <v>1.9713E-3</v>
      </c>
      <c r="J260" s="1413">
        <v>140.09</v>
      </c>
    </row>
    <row r="261" spans="2:10" x14ac:dyDescent="0.25">
      <c r="B261" s="1410" t="s">
        <v>698</v>
      </c>
      <c r="C261" s="1411">
        <v>2030</v>
      </c>
      <c r="D261" s="1410">
        <v>1749000</v>
      </c>
      <c r="E261" s="1412">
        <v>1310000</v>
      </c>
      <c r="F261" s="1413">
        <v>19790</v>
      </c>
      <c r="G261" s="1410">
        <v>134.88</v>
      </c>
      <c r="H261" s="1412">
        <v>0.20275799999999999</v>
      </c>
      <c r="I261" s="1412">
        <v>1.9713E-3</v>
      </c>
      <c r="J261" s="1413">
        <v>140.09</v>
      </c>
    </row>
    <row r="262" spans="2:10" x14ac:dyDescent="0.25">
      <c r="B262" s="1410" t="s">
        <v>684</v>
      </c>
      <c r="C262" s="1411">
        <v>2030</v>
      </c>
      <c r="D262" s="1410">
        <v>1749000</v>
      </c>
      <c r="E262" s="1412">
        <v>1310000</v>
      </c>
      <c r="F262" s="1413">
        <v>19790</v>
      </c>
      <c r="G262" s="1410">
        <v>134.88</v>
      </c>
      <c r="H262" s="1412">
        <v>0.20275799999999999</v>
      </c>
      <c r="I262" s="1412">
        <v>1.9713E-3</v>
      </c>
      <c r="J262" s="1413">
        <v>140.09</v>
      </c>
    </row>
    <row r="263" spans="2:10" x14ac:dyDescent="0.25">
      <c r="B263" s="1410" t="s">
        <v>1087</v>
      </c>
      <c r="C263" s="1411">
        <v>2030</v>
      </c>
      <c r="D263" s="1410">
        <v>1022000</v>
      </c>
      <c r="E263" s="1412">
        <v>1021000</v>
      </c>
      <c r="F263" s="1413">
        <v>15520</v>
      </c>
      <c r="G263" s="1410">
        <v>1.716</v>
      </c>
      <c r="H263" s="1412">
        <v>0.14096175</v>
      </c>
      <c r="I263" s="1412">
        <v>3.3149000000000004E-5</v>
      </c>
      <c r="J263" s="1413">
        <v>5.9754000000000005</v>
      </c>
    </row>
    <row r="264" spans="2:10" x14ac:dyDescent="0.25">
      <c r="B264" s="1410" t="s">
        <v>716</v>
      </c>
      <c r="C264" s="1411">
        <v>2030</v>
      </c>
      <c r="D264" s="1410">
        <v>1022000</v>
      </c>
      <c r="E264" s="1412">
        <v>1021000</v>
      </c>
      <c r="F264" s="1413">
        <v>15520</v>
      </c>
      <c r="G264" s="1410">
        <v>1.716</v>
      </c>
      <c r="H264" s="1412">
        <v>0.14096175</v>
      </c>
      <c r="I264" s="1412">
        <v>3.3149000000000004E-5</v>
      </c>
      <c r="J264" s="1413">
        <v>5.9754000000000005</v>
      </c>
    </row>
    <row r="265" spans="2:10" x14ac:dyDescent="0.25">
      <c r="B265" s="1410" t="s">
        <v>717</v>
      </c>
      <c r="C265" s="1411">
        <v>2030</v>
      </c>
      <c r="D265" s="1410">
        <v>1022000</v>
      </c>
      <c r="E265" s="1412">
        <v>1021000</v>
      </c>
      <c r="F265" s="1413">
        <v>15520</v>
      </c>
      <c r="G265" s="1410">
        <v>1.716</v>
      </c>
      <c r="H265" s="1412">
        <v>0.14096175</v>
      </c>
      <c r="I265" s="1412">
        <v>3.3149000000000004E-5</v>
      </c>
      <c r="J265" s="1413">
        <v>5.9754000000000005</v>
      </c>
    </row>
    <row r="266" spans="2:10" x14ac:dyDescent="0.25">
      <c r="B266" s="1410" t="s">
        <v>912</v>
      </c>
      <c r="C266" s="1411">
        <v>2030</v>
      </c>
      <c r="D266" s="1410">
        <v>1209000</v>
      </c>
      <c r="E266" s="1412">
        <v>1202000</v>
      </c>
      <c r="F266" s="1413">
        <v>1052000</v>
      </c>
      <c r="G266" s="1410">
        <v>18.120999999999999</v>
      </c>
      <c r="H266" s="1412">
        <v>0.16412299999999999</v>
      </c>
      <c r="I266" s="1412">
        <v>2.9339999999999998E-4</v>
      </c>
      <c r="J266" s="1413">
        <v>23.162000000000003</v>
      </c>
    </row>
    <row r="267" spans="2:10" x14ac:dyDescent="0.25">
      <c r="B267" s="1410" t="s">
        <v>910</v>
      </c>
      <c r="C267" s="1411">
        <v>2030</v>
      </c>
      <c r="D267" s="1410">
        <v>1586000</v>
      </c>
      <c r="E267" s="1412">
        <v>697000</v>
      </c>
      <c r="F267" s="1413">
        <v>286200</v>
      </c>
      <c r="G267" s="1410">
        <v>38.404000000000003</v>
      </c>
      <c r="H267" s="1412">
        <v>0.1118</v>
      </c>
      <c r="I267" s="1412">
        <v>2.5350000000000001E-2</v>
      </c>
      <c r="J267" s="1413">
        <v>45.44</v>
      </c>
    </row>
    <row r="268" spans="2:10" x14ac:dyDescent="0.25">
      <c r="B268" s="1410" t="s">
        <v>913</v>
      </c>
      <c r="C268" s="1411">
        <v>2030</v>
      </c>
      <c r="D268" s="1410">
        <v>1250000</v>
      </c>
      <c r="E268" s="1412">
        <v>1242000</v>
      </c>
      <c r="F268" s="1413">
        <v>1078000</v>
      </c>
      <c r="G268" s="1410">
        <v>24.006999999999998</v>
      </c>
      <c r="H268" s="1412">
        <v>0.16975200000000001</v>
      </c>
      <c r="I268" s="1412">
        <v>3.8147000000000002E-4</v>
      </c>
      <c r="J268" s="1413">
        <v>29.335999999999999</v>
      </c>
    </row>
    <row r="269" spans="2:10" x14ac:dyDescent="0.25">
      <c r="B269" s="1410" t="s">
        <v>1081</v>
      </c>
      <c r="C269" s="1411">
        <v>2030</v>
      </c>
      <c r="D269" s="1410">
        <v>1190000</v>
      </c>
      <c r="E269" s="1412">
        <v>51650</v>
      </c>
      <c r="F269" s="1413">
        <v>29230</v>
      </c>
      <c r="G269" s="1410">
        <v>3.7881999999999998</v>
      </c>
      <c r="H269" s="1412">
        <v>8.4297E-3</v>
      </c>
      <c r="I269" s="1412">
        <v>-3.825901E-3</v>
      </c>
      <c r="J269" s="1413">
        <v>3.0377000000000001</v>
      </c>
    </row>
    <row r="270" spans="2:10" x14ac:dyDescent="0.25">
      <c r="B270" s="1410" t="s">
        <v>815</v>
      </c>
      <c r="C270" s="1411">
        <v>2030</v>
      </c>
      <c r="D270" s="1410">
        <v>1190000</v>
      </c>
      <c r="E270" s="1412">
        <v>51650</v>
      </c>
      <c r="F270" s="1413">
        <v>29230</v>
      </c>
      <c r="G270" s="1410">
        <v>3.7881999999999998</v>
      </c>
      <c r="H270" s="1412">
        <v>8.4297E-3</v>
      </c>
      <c r="I270" s="1412">
        <v>-3.825901E-3</v>
      </c>
      <c r="J270" s="1413">
        <v>3.0377000000000001</v>
      </c>
    </row>
    <row r="271" spans="2:10" x14ac:dyDescent="0.25">
      <c r="B271" s="1410" t="s">
        <v>824</v>
      </c>
      <c r="C271" s="1411">
        <v>2030</v>
      </c>
      <c r="D271" s="1410">
        <v>1190000</v>
      </c>
      <c r="E271" s="1412">
        <v>51650</v>
      </c>
      <c r="F271" s="1413">
        <v>29230</v>
      </c>
      <c r="G271" s="1410">
        <v>3.7881999999999998</v>
      </c>
      <c r="H271" s="1412">
        <v>8.4297E-3</v>
      </c>
      <c r="I271" s="1412">
        <v>-3.825901E-3</v>
      </c>
      <c r="J271" s="1413">
        <v>3.0377000000000001</v>
      </c>
    </row>
    <row r="272" spans="2:10" ht="13" thickBot="1" x14ac:dyDescent="0.3">
      <c r="B272" s="1414" t="s">
        <v>1088</v>
      </c>
      <c r="C272" s="1415">
        <v>2030</v>
      </c>
      <c r="D272" s="1414">
        <v>1384000</v>
      </c>
      <c r="E272" s="1416">
        <v>1383000</v>
      </c>
      <c r="F272" s="1417">
        <v>5048</v>
      </c>
      <c r="G272" s="1414">
        <v>78.598700000000008</v>
      </c>
      <c r="H272" s="1416">
        <v>0.27484000000000003</v>
      </c>
      <c r="I272" s="1416">
        <v>2.3306000000000004E-3</v>
      </c>
      <c r="J272" s="1417">
        <v>87.622100000000003</v>
      </c>
    </row>
    <row r="273" spans="2:10" x14ac:dyDescent="0.25">
      <c r="B273" s="1406" t="s">
        <v>1085</v>
      </c>
      <c r="C273" s="1407">
        <v>2035</v>
      </c>
      <c r="D273" s="1406">
        <v>1092000</v>
      </c>
      <c r="E273" s="1408">
        <v>1092000</v>
      </c>
      <c r="F273" s="1409">
        <v>3981</v>
      </c>
      <c r="G273" s="1406">
        <v>5.7552000000000003</v>
      </c>
      <c r="H273" s="1408">
        <v>0.18462100000000001</v>
      </c>
      <c r="I273" s="1408">
        <v>8.6129999999999996E-4</v>
      </c>
      <c r="J273" s="1409">
        <v>11.5802</v>
      </c>
    </row>
    <row r="274" spans="2:10" x14ac:dyDescent="0.25">
      <c r="B274" s="1410" t="s">
        <v>283</v>
      </c>
      <c r="C274" s="1411">
        <v>2035</v>
      </c>
      <c r="D274" s="1410">
        <v>1092000</v>
      </c>
      <c r="E274" s="1412">
        <v>1092000</v>
      </c>
      <c r="F274" s="1413">
        <v>3981</v>
      </c>
      <c r="G274" s="1410">
        <v>5.7552000000000003</v>
      </c>
      <c r="H274" s="1412">
        <v>0.18462100000000001</v>
      </c>
      <c r="I274" s="1412">
        <v>8.6129999999999996E-4</v>
      </c>
      <c r="J274" s="1413">
        <v>11.5802</v>
      </c>
    </row>
    <row r="275" spans="2:10" x14ac:dyDescent="0.25">
      <c r="B275" s="1410" t="s">
        <v>1086</v>
      </c>
      <c r="C275" s="1411">
        <v>2035</v>
      </c>
      <c r="D275" s="1410">
        <v>1092000</v>
      </c>
      <c r="E275" s="1412">
        <v>1092000</v>
      </c>
      <c r="F275" s="1413">
        <v>3981</v>
      </c>
      <c r="G275" s="1410">
        <v>5.7552000000000003</v>
      </c>
      <c r="H275" s="1412">
        <v>0.18462100000000001</v>
      </c>
      <c r="I275" s="1412">
        <v>8.6129999999999996E-4</v>
      </c>
      <c r="J275" s="1413">
        <v>11.5802</v>
      </c>
    </row>
    <row r="276" spans="2:10" x14ac:dyDescent="0.25">
      <c r="B276" s="1410" t="s">
        <v>681</v>
      </c>
      <c r="C276" s="1411">
        <v>2035</v>
      </c>
      <c r="D276" s="1410">
        <v>1092000</v>
      </c>
      <c r="E276" s="1412">
        <v>1092000</v>
      </c>
      <c r="F276" s="1413">
        <v>3981</v>
      </c>
      <c r="G276" s="1410">
        <v>5.7552000000000003</v>
      </c>
      <c r="H276" s="1412">
        <v>0.18462100000000001</v>
      </c>
      <c r="I276" s="1412">
        <v>8.6129999999999996E-4</v>
      </c>
      <c r="J276" s="1413">
        <v>11.5802</v>
      </c>
    </row>
    <row r="277" spans="2:10" x14ac:dyDescent="0.25">
      <c r="B277" s="1410" t="s">
        <v>682</v>
      </c>
      <c r="C277" s="1411">
        <v>2035</v>
      </c>
      <c r="D277" s="1410">
        <v>-1185000</v>
      </c>
      <c r="E277" s="1412">
        <v>0</v>
      </c>
      <c r="F277" s="1413">
        <v>0</v>
      </c>
      <c r="G277" s="1410">
        <v>-85.800000000000011</v>
      </c>
      <c r="H277" s="1412">
        <v>0.54700000000000004</v>
      </c>
      <c r="I277" s="1412">
        <v>-1.8286999999999999E-3</v>
      </c>
      <c r="J277" s="1413">
        <v>-70.08</v>
      </c>
    </row>
    <row r="278" spans="2:10" x14ac:dyDescent="0.25">
      <c r="B278" s="1410" t="s">
        <v>683</v>
      </c>
      <c r="C278" s="1411">
        <v>2035</v>
      </c>
      <c r="D278" s="1410">
        <v>1745000</v>
      </c>
      <c r="E278" s="1412">
        <v>1314000</v>
      </c>
      <c r="F278" s="1413">
        <v>18650</v>
      </c>
      <c r="G278" s="1410">
        <v>132.69</v>
      </c>
      <c r="H278" s="1412">
        <v>0.204869</v>
      </c>
      <c r="I278" s="1412">
        <v>1.9257999999999999E-3</v>
      </c>
      <c r="J278" s="1413">
        <v>137.91999999999999</v>
      </c>
    </row>
    <row r="279" spans="2:10" x14ac:dyDescent="0.25">
      <c r="B279" s="1410" t="s">
        <v>698</v>
      </c>
      <c r="C279" s="1411">
        <v>2035</v>
      </c>
      <c r="D279" s="1410">
        <v>1745000</v>
      </c>
      <c r="E279" s="1412">
        <v>1314000</v>
      </c>
      <c r="F279" s="1413">
        <v>18650</v>
      </c>
      <c r="G279" s="1410">
        <v>132.69</v>
      </c>
      <c r="H279" s="1412">
        <v>0.204869</v>
      </c>
      <c r="I279" s="1412">
        <v>1.9257999999999999E-3</v>
      </c>
      <c r="J279" s="1413">
        <v>137.91999999999999</v>
      </c>
    </row>
    <row r="280" spans="2:10" x14ac:dyDescent="0.25">
      <c r="B280" s="1410" t="s">
        <v>684</v>
      </c>
      <c r="C280" s="1411">
        <v>2035</v>
      </c>
      <c r="D280" s="1410">
        <v>1745000</v>
      </c>
      <c r="E280" s="1412">
        <v>1314000</v>
      </c>
      <c r="F280" s="1413">
        <v>18650</v>
      </c>
      <c r="G280" s="1410">
        <v>132.69</v>
      </c>
      <c r="H280" s="1412">
        <v>0.204869</v>
      </c>
      <c r="I280" s="1412">
        <v>1.9257999999999999E-3</v>
      </c>
      <c r="J280" s="1413">
        <v>137.91999999999999</v>
      </c>
    </row>
    <row r="281" spans="2:10" x14ac:dyDescent="0.25">
      <c r="B281" s="1410" t="s">
        <v>1087</v>
      </c>
      <c r="C281" s="1411">
        <v>2035</v>
      </c>
      <c r="D281" s="1410">
        <v>1022000</v>
      </c>
      <c r="E281" s="1412">
        <v>1021000</v>
      </c>
      <c r="F281" s="1413">
        <v>15520</v>
      </c>
      <c r="G281" s="1410">
        <v>1.7124999999999999</v>
      </c>
      <c r="H281" s="1412">
        <v>0.14096197999999999</v>
      </c>
      <c r="I281" s="1412">
        <v>3.3061000000000001E-5</v>
      </c>
      <c r="J281" s="1413">
        <v>5.9708000000000006</v>
      </c>
    </row>
    <row r="282" spans="2:10" x14ac:dyDescent="0.25">
      <c r="B282" s="1410" t="s">
        <v>716</v>
      </c>
      <c r="C282" s="1411">
        <v>2035</v>
      </c>
      <c r="D282" s="1410">
        <v>1022000</v>
      </c>
      <c r="E282" s="1412">
        <v>1021000</v>
      </c>
      <c r="F282" s="1413">
        <v>15520</v>
      </c>
      <c r="G282" s="1410">
        <v>1.7124999999999999</v>
      </c>
      <c r="H282" s="1412">
        <v>0.14096197999999999</v>
      </c>
      <c r="I282" s="1412">
        <v>3.3061000000000001E-5</v>
      </c>
      <c r="J282" s="1413">
        <v>5.9708000000000006</v>
      </c>
    </row>
    <row r="283" spans="2:10" x14ac:dyDescent="0.25">
      <c r="B283" s="1410" t="s">
        <v>717</v>
      </c>
      <c r="C283" s="1411">
        <v>2035</v>
      </c>
      <c r="D283" s="1410">
        <v>1022000</v>
      </c>
      <c r="E283" s="1412">
        <v>1021000</v>
      </c>
      <c r="F283" s="1413">
        <v>15520</v>
      </c>
      <c r="G283" s="1410">
        <v>1.7124999999999999</v>
      </c>
      <c r="H283" s="1412">
        <v>0.14096197999999999</v>
      </c>
      <c r="I283" s="1412">
        <v>3.3061000000000001E-5</v>
      </c>
      <c r="J283" s="1413">
        <v>5.9708000000000006</v>
      </c>
    </row>
    <row r="284" spans="2:10" x14ac:dyDescent="0.25">
      <c r="B284" s="1410" t="s">
        <v>912</v>
      </c>
      <c r="C284" s="1411">
        <v>2035</v>
      </c>
      <c r="D284" s="1410">
        <v>1209000</v>
      </c>
      <c r="E284" s="1412">
        <v>1202000</v>
      </c>
      <c r="F284" s="1413">
        <v>1052000</v>
      </c>
      <c r="G284" s="1410">
        <v>18.088999999999999</v>
      </c>
      <c r="H284" s="1412">
        <v>0.16412499999999999</v>
      </c>
      <c r="I284" s="1412">
        <v>2.9260000000000001E-4</v>
      </c>
      <c r="J284" s="1413">
        <v>23.119</v>
      </c>
    </row>
    <row r="285" spans="2:10" x14ac:dyDescent="0.25">
      <c r="B285" s="1410" t="s">
        <v>910</v>
      </c>
      <c r="C285" s="1411">
        <v>2035</v>
      </c>
      <c r="D285" s="1410">
        <v>1586000</v>
      </c>
      <c r="E285" s="1412">
        <v>697100</v>
      </c>
      <c r="F285" s="1413">
        <v>286100</v>
      </c>
      <c r="G285" s="1410">
        <v>38.326999999999998</v>
      </c>
      <c r="H285" s="1412">
        <v>0.1118</v>
      </c>
      <c r="I285" s="1412">
        <v>2.5350000000000001E-2</v>
      </c>
      <c r="J285" s="1413">
        <v>45.39</v>
      </c>
    </row>
    <row r="286" spans="2:10" x14ac:dyDescent="0.25">
      <c r="B286" s="1410" t="s">
        <v>913</v>
      </c>
      <c r="C286" s="1411">
        <v>2035</v>
      </c>
      <c r="D286" s="1410">
        <v>1250000</v>
      </c>
      <c r="E286" s="1412">
        <v>1242000</v>
      </c>
      <c r="F286" s="1413">
        <v>1078000</v>
      </c>
      <c r="G286" s="1410">
        <v>23.973999999999997</v>
      </c>
      <c r="H286" s="1412">
        <v>0.169854</v>
      </c>
      <c r="I286" s="1412">
        <v>3.8064000000000001E-4</v>
      </c>
      <c r="J286" s="1413">
        <v>29.302</v>
      </c>
    </row>
    <row r="287" spans="2:10" x14ac:dyDescent="0.25">
      <c r="B287" s="1410" t="s">
        <v>1081</v>
      </c>
      <c r="C287" s="1411">
        <v>2035</v>
      </c>
      <c r="D287" s="1410">
        <v>1190000</v>
      </c>
      <c r="E287" s="1412">
        <v>51660</v>
      </c>
      <c r="F287" s="1413">
        <v>29230</v>
      </c>
      <c r="G287" s="1410">
        <v>3.7818000000000001</v>
      </c>
      <c r="H287" s="1412">
        <v>8.4370999999999995E-3</v>
      </c>
      <c r="I287" s="1412">
        <v>-3.8259590000000003E-3</v>
      </c>
      <c r="J287" s="1413">
        <v>3.0312999999999999</v>
      </c>
    </row>
    <row r="288" spans="2:10" x14ac:dyDescent="0.25">
      <c r="B288" s="1410" t="s">
        <v>815</v>
      </c>
      <c r="C288" s="1411">
        <v>2035</v>
      </c>
      <c r="D288" s="1410">
        <v>1190000</v>
      </c>
      <c r="E288" s="1412">
        <v>51660</v>
      </c>
      <c r="F288" s="1413">
        <v>29230</v>
      </c>
      <c r="G288" s="1410">
        <v>3.7818000000000001</v>
      </c>
      <c r="H288" s="1412">
        <v>8.4370999999999995E-3</v>
      </c>
      <c r="I288" s="1412">
        <v>-3.8259590000000003E-3</v>
      </c>
      <c r="J288" s="1413">
        <v>3.0312999999999999</v>
      </c>
    </row>
    <row r="289" spans="2:10" x14ac:dyDescent="0.25">
      <c r="B289" s="1410" t="s">
        <v>824</v>
      </c>
      <c r="C289" s="1411">
        <v>2035</v>
      </c>
      <c r="D289" s="1410">
        <v>1190000</v>
      </c>
      <c r="E289" s="1412">
        <v>51660</v>
      </c>
      <c r="F289" s="1413">
        <v>29230</v>
      </c>
      <c r="G289" s="1410">
        <v>3.7818000000000001</v>
      </c>
      <c r="H289" s="1412">
        <v>8.4370999999999995E-3</v>
      </c>
      <c r="I289" s="1412">
        <v>-3.8259590000000003E-3</v>
      </c>
      <c r="J289" s="1413">
        <v>3.0312999999999999</v>
      </c>
    </row>
    <row r="290" spans="2:10" ht="13" thickBot="1" x14ac:dyDescent="0.3">
      <c r="B290" s="1414" t="s">
        <v>1088</v>
      </c>
      <c r="C290" s="1415">
        <v>2035</v>
      </c>
      <c r="D290" s="1414">
        <v>1384000</v>
      </c>
      <c r="E290" s="1416">
        <v>1383000</v>
      </c>
      <c r="F290" s="1417">
        <v>5034</v>
      </c>
      <c r="G290" s="1414">
        <v>78.571100000000001</v>
      </c>
      <c r="H290" s="1416">
        <v>0.27494000000000002</v>
      </c>
      <c r="I290" s="1416">
        <v>2.3304000000000003E-3</v>
      </c>
      <c r="J290" s="1417">
        <v>87.594300000000004</v>
      </c>
    </row>
    <row r="291" spans="2:10" x14ac:dyDescent="0.25">
      <c r="B291" s="1406" t="s">
        <v>1085</v>
      </c>
      <c r="C291" s="1407">
        <v>2040</v>
      </c>
      <c r="D291" s="1406">
        <v>1092000</v>
      </c>
      <c r="E291" s="1408">
        <v>1092000</v>
      </c>
      <c r="F291" s="1409">
        <v>3975</v>
      </c>
      <c r="G291" s="1406">
        <v>5.7453000000000003</v>
      </c>
      <c r="H291" s="1408">
        <v>0.18462200000000001</v>
      </c>
      <c r="I291" s="1408">
        <v>8.6110000000000006E-4</v>
      </c>
      <c r="J291" s="1409">
        <v>11.577199999999999</v>
      </c>
    </row>
    <row r="292" spans="2:10" x14ac:dyDescent="0.25">
      <c r="B292" s="1410" t="s">
        <v>283</v>
      </c>
      <c r="C292" s="1411">
        <v>2040</v>
      </c>
      <c r="D292" s="1410">
        <v>1092000</v>
      </c>
      <c r="E292" s="1412">
        <v>1092000</v>
      </c>
      <c r="F292" s="1413">
        <v>3975</v>
      </c>
      <c r="G292" s="1410">
        <v>5.7453000000000003</v>
      </c>
      <c r="H292" s="1412">
        <v>0.18462200000000001</v>
      </c>
      <c r="I292" s="1412">
        <v>8.6110000000000006E-4</v>
      </c>
      <c r="J292" s="1413">
        <v>11.577199999999999</v>
      </c>
    </row>
    <row r="293" spans="2:10" x14ac:dyDescent="0.25">
      <c r="B293" s="1410" t="s">
        <v>1086</v>
      </c>
      <c r="C293" s="1411">
        <v>2040</v>
      </c>
      <c r="D293" s="1410">
        <v>1092000</v>
      </c>
      <c r="E293" s="1412">
        <v>1092000</v>
      </c>
      <c r="F293" s="1413">
        <v>3975</v>
      </c>
      <c r="G293" s="1410">
        <v>5.7453000000000003</v>
      </c>
      <c r="H293" s="1412">
        <v>0.18462200000000001</v>
      </c>
      <c r="I293" s="1412">
        <v>8.6110000000000006E-4</v>
      </c>
      <c r="J293" s="1413">
        <v>11.577199999999999</v>
      </c>
    </row>
    <row r="294" spans="2:10" x14ac:dyDescent="0.25">
      <c r="B294" s="1410" t="s">
        <v>681</v>
      </c>
      <c r="C294" s="1411">
        <v>2040</v>
      </c>
      <c r="D294" s="1410">
        <v>1092000</v>
      </c>
      <c r="E294" s="1412">
        <v>1092000</v>
      </c>
      <c r="F294" s="1413">
        <v>3975</v>
      </c>
      <c r="G294" s="1410">
        <v>5.7453000000000003</v>
      </c>
      <c r="H294" s="1412">
        <v>0.18462200000000001</v>
      </c>
      <c r="I294" s="1412">
        <v>8.6110000000000006E-4</v>
      </c>
      <c r="J294" s="1413">
        <v>11.577199999999999</v>
      </c>
    </row>
    <row r="295" spans="2:10" x14ac:dyDescent="0.25">
      <c r="B295" s="1410" t="s">
        <v>682</v>
      </c>
      <c r="C295" s="1411">
        <v>2040</v>
      </c>
      <c r="D295" s="1410">
        <v>-1185000</v>
      </c>
      <c r="E295" s="1412">
        <v>0</v>
      </c>
      <c r="F295" s="1413">
        <v>0</v>
      </c>
      <c r="G295" s="1410">
        <v>-85.800000000000011</v>
      </c>
      <c r="H295" s="1412">
        <v>0.54700000000000004</v>
      </c>
      <c r="I295" s="1412">
        <v>-1.8286999999999999E-3</v>
      </c>
      <c r="J295" s="1413">
        <v>-70.08</v>
      </c>
    </row>
    <row r="296" spans="2:10" x14ac:dyDescent="0.25">
      <c r="B296" s="1410" t="s">
        <v>683</v>
      </c>
      <c r="C296" s="1411">
        <v>2040</v>
      </c>
      <c r="D296" s="1410">
        <v>1732000</v>
      </c>
      <c r="E296" s="1412">
        <v>1300000</v>
      </c>
      <c r="F296" s="1413">
        <v>17320</v>
      </c>
      <c r="G296" s="1410">
        <v>129.32</v>
      </c>
      <c r="H296" s="1412">
        <v>0.20383000000000001</v>
      </c>
      <c r="I296" s="1412">
        <v>1.8644999999999998E-3</v>
      </c>
      <c r="J296" s="1413">
        <v>134.37</v>
      </c>
    </row>
    <row r="297" spans="2:10" x14ac:dyDescent="0.25">
      <c r="B297" s="1410" t="s">
        <v>698</v>
      </c>
      <c r="C297" s="1411">
        <v>2040</v>
      </c>
      <c r="D297" s="1410">
        <v>1732000</v>
      </c>
      <c r="E297" s="1412">
        <v>1300000</v>
      </c>
      <c r="F297" s="1413">
        <v>17320</v>
      </c>
      <c r="G297" s="1410">
        <v>129.32</v>
      </c>
      <c r="H297" s="1412">
        <v>0.20383000000000001</v>
      </c>
      <c r="I297" s="1412">
        <v>1.8644999999999998E-3</v>
      </c>
      <c r="J297" s="1413">
        <v>134.37</v>
      </c>
    </row>
    <row r="298" spans="2:10" x14ac:dyDescent="0.25">
      <c r="B298" s="1410" t="s">
        <v>684</v>
      </c>
      <c r="C298" s="1411">
        <v>2040</v>
      </c>
      <c r="D298" s="1410">
        <v>1732000</v>
      </c>
      <c r="E298" s="1412">
        <v>1300000</v>
      </c>
      <c r="F298" s="1413">
        <v>17320</v>
      </c>
      <c r="G298" s="1410">
        <v>129.32</v>
      </c>
      <c r="H298" s="1412">
        <v>0.20383000000000001</v>
      </c>
      <c r="I298" s="1412">
        <v>1.8644999999999998E-3</v>
      </c>
      <c r="J298" s="1413">
        <v>134.37</v>
      </c>
    </row>
    <row r="299" spans="2:10" x14ac:dyDescent="0.25">
      <c r="B299" s="1410" t="s">
        <v>1087</v>
      </c>
      <c r="C299" s="1411">
        <v>2040</v>
      </c>
      <c r="D299" s="1410">
        <v>1022000</v>
      </c>
      <c r="E299" s="1412">
        <v>1021000</v>
      </c>
      <c r="F299" s="1413">
        <v>15510</v>
      </c>
      <c r="G299" s="1410">
        <v>1.7054</v>
      </c>
      <c r="H299" s="1412">
        <v>0.14096210000000001</v>
      </c>
      <c r="I299" s="1412">
        <v>3.2928999999999996E-5</v>
      </c>
      <c r="J299" s="1413">
        <v>5.9637000000000002</v>
      </c>
    </row>
    <row r="300" spans="2:10" x14ac:dyDescent="0.25">
      <c r="B300" s="1410" t="s">
        <v>716</v>
      </c>
      <c r="C300" s="1411">
        <v>2040</v>
      </c>
      <c r="D300" s="1410">
        <v>1022000</v>
      </c>
      <c r="E300" s="1412">
        <v>1021000</v>
      </c>
      <c r="F300" s="1413">
        <v>15510</v>
      </c>
      <c r="G300" s="1410">
        <v>1.7054</v>
      </c>
      <c r="H300" s="1412">
        <v>0.14096210000000001</v>
      </c>
      <c r="I300" s="1412">
        <v>3.2928999999999996E-5</v>
      </c>
      <c r="J300" s="1413">
        <v>5.9637000000000002</v>
      </c>
    </row>
    <row r="301" spans="2:10" x14ac:dyDescent="0.25">
      <c r="B301" s="1410" t="s">
        <v>717</v>
      </c>
      <c r="C301" s="1411">
        <v>2040</v>
      </c>
      <c r="D301" s="1410">
        <v>1022000</v>
      </c>
      <c r="E301" s="1412">
        <v>1021000</v>
      </c>
      <c r="F301" s="1413">
        <v>15510</v>
      </c>
      <c r="G301" s="1410">
        <v>1.7054</v>
      </c>
      <c r="H301" s="1412">
        <v>0.14096210000000001</v>
      </c>
      <c r="I301" s="1412">
        <v>3.2928999999999996E-5</v>
      </c>
      <c r="J301" s="1413">
        <v>5.9637000000000002</v>
      </c>
    </row>
    <row r="302" spans="2:10" x14ac:dyDescent="0.25">
      <c r="B302" s="1410" t="s">
        <v>912</v>
      </c>
      <c r="C302" s="1411">
        <v>2040</v>
      </c>
      <c r="D302" s="1410">
        <v>1209000</v>
      </c>
      <c r="E302" s="1412">
        <v>1202000</v>
      </c>
      <c r="F302" s="1413">
        <v>1052000</v>
      </c>
      <c r="G302" s="1410">
        <v>18.032</v>
      </c>
      <c r="H302" s="1412">
        <v>0.16412599999999999</v>
      </c>
      <c r="I302" s="1412">
        <v>2.9167E-4</v>
      </c>
      <c r="J302" s="1413">
        <v>23.062000000000001</v>
      </c>
    </row>
    <row r="303" spans="2:10" x14ac:dyDescent="0.25">
      <c r="B303" s="1410" t="s">
        <v>910</v>
      </c>
      <c r="C303" s="1411">
        <v>2040</v>
      </c>
      <c r="D303" s="1410">
        <v>1586000</v>
      </c>
      <c r="E303" s="1412">
        <v>696600</v>
      </c>
      <c r="F303" s="1413">
        <v>286100</v>
      </c>
      <c r="G303" s="1410">
        <v>38.200000000000003</v>
      </c>
      <c r="H303" s="1412">
        <v>0.1118</v>
      </c>
      <c r="I303" s="1412">
        <v>2.5350000000000001E-2</v>
      </c>
      <c r="J303" s="1413">
        <v>45.3</v>
      </c>
    </row>
    <row r="304" spans="2:10" x14ac:dyDescent="0.25">
      <c r="B304" s="1410" t="s">
        <v>913</v>
      </c>
      <c r="C304" s="1411">
        <v>2040</v>
      </c>
      <c r="D304" s="1410">
        <v>1250000</v>
      </c>
      <c r="E304" s="1412">
        <v>1242000</v>
      </c>
      <c r="F304" s="1413">
        <v>1078000</v>
      </c>
      <c r="G304" s="1410">
        <v>23.914999999999999</v>
      </c>
      <c r="H304" s="1412">
        <v>0.16985499999999998</v>
      </c>
      <c r="I304" s="1412">
        <v>3.7957999999999997E-4</v>
      </c>
      <c r="J304" s="1413">
        <v>29.232999999999997</v>
      </c>
    </row>
    <row r="305" spans="2:10" x14ac:dyDescent="0.25">
      <c r="B305" s="1410" t="s">
        <v>1081</v>
      </c>
      <c r="C305" s="1411">
        <v>2040</v>
      </c>
      <c r="D305" s="1410">
        <v>1190000</v>
      </c>
      <c r="E305" s="1412">
        <v>51610</v>
      </c>
      <c r="F305" s="1413">
        <v>29220</v>
      </c>
      <c r="G305" s="1410">
        <v>3.7715999999999998</v>
      </c>
      <c r="H305" s="1412">
        <v>8.4332999999999995E-3</v>
      </c>
      <c r="I305" s="1412">
        <v>-3.8260220000000001E-3</v>
      </c>
      <c r="J305" s="1413">
        <v>3.02</v>
      </c>
    </row>
    <row r="306" spans="2:10" x14ac:dyDescent="0.25">
      <c r="B306" s="1410" t="s">
        <v>815</v>
      </c>
      <c r="C306" s="1411">
        <v>2040</v>
      </c>
      <c r="D306" s="1410">
        <v>1190000</v>
      </c>
      <c r="E306" s="1412">
        <v>51610</v>
      </c>
      <c r="F306" s="1413">
        <v>29220</v>
      </c>
      <c r="G306" s="1410">
        <v>3.7715999999999998</v>
      </c>
      <c r="H306" s="1412">
        <v>8.4332999999999995E-3</v>
      </c>
      <c r="I306" s="1412">
        <v>-3.8260220000000001E-3</v>
      </c>
      <c r="J306" s="1413">
        <v>3.02</v>
      </c>
    </row>
    <row r="307" spans="2:10" x14ac:dyDescent="0.25">
      <c r="B307" s="1410" t="s">
        <v>824</v>
      </c>
      <c r="C307" s="1411">
        <v>2040</v>
      </c>
      <c r="D307" s="1410">
        <v>1190000</v>
      </c>
      <c r="E307" s="1412">
        <v>51610</v>
      </c>
      <c r="F307" s="1413">
        <v>29220</v>
      </c>
      <c r="G307" s="1410">
        <v>3.7715999999999998</v>
      </c>
      <c r="H307" s="1412">
        <v>8.4332999999999995E-3</v>
      </c>
      <c r="I307" s="1412">
        <v>-3.8260220000000001E-3</v>
      </c>
      <c r="J307" s="1413">
        <v>3.02</v>
      </c>
    </row>
    <row r="308" spans="2:10" ht="13" thickBot="1" x14ac:dyDescent="0.3">
      <c r="B308" s="1414" t="s">
        <v>1088</v>
      </c>
      <c r="C308" s="1415">
        <v>2040</v>
      </c>
      <c r="D308" s="1414">
        <v>1384000</v>
      </c>
      <c r="E308" s="1416">
        <v>1383000</v>
      </c>
      <c r="F308" s="1417">
        <v>5034</v>
      </c>
      <c r="G308" s="1414">
        <v>78.571100000000001</v>
      </c>
      <c r="H308" s="1416">
        <v>0.27494000000000002</v>
      </c>
      <c r="I308" s="1416">
        <v>2.3304000000000003E-3</v>
      </c>
      <c r="J308" s="1417">
        <v>87.594300000000004</v>
      </c>
    </row>
    <row r="309" spans="2:10" x14ac:dyDescent="0.25">
      <c r="B309" s="1406" t="s">
        <v>1085</v>
      </c>
      <c r="C309" s="1407">
        <v>2045</v>
      </c>
      <c r="D309" s="1406">
        <v>1092000</v>
      </c>
      <c r="E309" s="1408">
        <v>1092000</v>
      </c>
      <c r="F309" s="1409">
        <v>3972</v>
      </c>
      <c r="G309" s="1406">
        <v>5.7410000000000005</v>
      </c>
      <c r="H309" s="1408">
        <v>0.18462200000000001</v>
      </c>
      <c r="I309" s="1408">
        <v>8.6110000000000006E-4</v>
      </c>
      <c r="J309" s="1409">
        <v>11.565900000000001</v>
      </c>
    </row>
    <row r="310" spans="2:10" x14ac:dyDescent="0.25">
      <c r="B310" s="1410" t="s">
        <v>283</v>
      </c>
      <c r="C310" s="1411">
        <v>2045</v>
      </c>
      <c r="D310" s="1410">
        <v>1092000</v>
      </c>
      <c r="E310" s="1412">
        <v>1092000</v>
      </c>
      <c r="F310" s="1413">
        <v>3972</v>
      </c>
      <c r="G310" s="1410">
        <v>5.7410000000000005</v>
      </c>
      <c r="H310" s="1412">
        <v>0.18462200000000001</v>
      </c>
      <c r="I310" s="1412">
        <v>8.6110000000000006E-4</v>
      </c>
      <c r="J310" s="1413">
        <v>11.565900000000001</v>
      </c>
    </row>
    <row r="311" spans="2:10" x14ac:dyDescent="0.25">
      <c r="B311" s="1410" t="s">
        <v>1086</v>
      </c>
      <c r="C311" s="1411">
        <v>2045</v>
      </c>
      <c r="D311" s="1410">
        <v>1092000</v>
      </c>
      <c r="E311" s="1412">
        <v>1092000</v>
      </c>
      <c r="F311" s="1413">
        <v>3972</v>
      </c>
      <c r="G311" s="1410">
        <v>5.7410000000000005</v>
      </c>
      <c r="H311" s="1412">
        <v>0.18462200000000001</v>
      </c>
      <c r="I311" s="1412">
        <v>8.6110000000000006E-4</v>
      </c>
      <c r="J311" s="1413">
        <v>11.565900000000001</v>
      </c>
    </row>
    <row r="312" spans="2:10" x14ac:dyDescent="0.25">
      <c r="B312" s="1410" t="s">
        <v>681</v>
      </c>
      <c r="C312" s="1411">
        <v>2045</v>
      </c>
      <c r="D312" s="1410">
        <v>1092000</v>
      </c>
      <c r="E312" s="1412">
        <v>1092000</v>
      </c>
      <c r="F312" s="1413">
        <v>3972</v>
      </c>
      <c r="G312" s="1410">
        <v>5.7410000000000005</v>
      </c>
      <c r="H312" s="1412">
        <v>0.18462200000000001</v>
      </c>
      <c r="I312" s="1412">
        <v>8.6110000000000006E-4</v>
      </c>
      <c r="J312" s="1413">
        <v>11.565900000000001</v>
      </c>
    </row>
    <row r="313" spans="2:10" x14ac:dyDescent="0.25">
      <c r="B313" s="1410" t="s">
        <v>682</v>
      </c>
      <c r="C313" s="1411">
        <v>2045</v>
      </c>
      <c r="D313" s="1410">
        <v>-1185000</v>
      </c>
      <c r="E313" s="1412">
        <v>0</v>
      </c>
      <c r="F313" s="1413">
        <v>0</v>
      </c>
      <c r="G313" s="1410">
        <v>-85.800000000000011</v>
      </c>
      <c r="H313" s="1412">
        <v>0.54700000000000004</v>
      </c>
      <c r="I313" s="1412">
        <v>-1.8286999999999999E-3</v>
      </c>
      <c r="J313" s="1413">
        <v>-70.08</v>
      </c>
    </row>
    <row r="314" spans="2:10" x14ac:dyDescent="0.25">
      <c r="B314" s="1410" t="s">
        <v>683</v>
      </c>
      <c r="C314" s="1411">
        <v>2045</v>
      </c>
      <c r="D314" s="1410">
        <v>1724000</v>
      </c>
      <c r="E314" s="1412">
        <v>1293000</v>
      </c>
      <c r="F314" s="1413">
        <v>15580</v>
      </c>
      <c r="G314" s="1410">
        <v>126.71000000000001</v>
      </c>
      <c r="H314" s="1412">
        <v>0.203795</v>
      </c>
      <c r="I314" s="1412">
        <v>1.8165E-3</v>
      </c>
      <c r="J314" s="1413">
        <v>131.63</v>
      </c>
    </row>
    <row r="315" spans="2:10" x14ac:dyDescent="0.25">
      <c r="B315" s="1410" t="s">
        <v>698</v>
      </c>
      <c r="C315" s="1411">
        <v>2045</v>
      </c>
      <c r="D315" s="1410">
        <v>1724000</v>
      </c>
      <c r="E315" s="1412">
        <v>1293000</v>
      </c>
      <c r="F315" s="1413">
        <v>15580</v>
      </c>
      <c r="G315" s="1410">
        <v>126.71000000000001</v>
      </c>
      <c r="H315" s="1412">
        <v>0.203795</v>
      </c>
      <c r="I315" s="1412">
        <v>1.8165E-3</v>
      </c>
      <c r="J315" s="1413">
        <v>131.63</v>
      </c>
    </row>
    <row r="316" spans="2:10" x14ac:dyDescent="0.25">
      <c r="B316" s="1410" t="s">
        <v>684</v>
      </c>
      <c r="C316" s="1411">
        <v>2045</v>
      </c>
      <c r="D316" s="1410">
        <v>1724000</v>
      </c>
      <c r="E316" s="1412">
        <v>1293000</v>
      </c>
      <c r="F316" s="1413">
        <v>15580</v>
      </c>
      <c r="G316" s="1410">
        <v>126.71000000000001</v>
      </c>
      <c r="H316" s="1412">
        <v>0.203795</v>
      </c>
      <c r="I316" s="1412">
        <v>1.8165E-3</v>
      </c>
      <c r="J316" s="1413">
        <v>131.63</v>
      </c>
    </row>
    <row r="317" spans="2:10" x14ac:dyDescent="0.25">
      <c r="B317" s="1410" t="s">
        <v>1087</v>
      </c>
      <c r="C317" s="1411">
        <v>2045</v>
      </c>
      <c r="D317" s="1410">
        <v>1022000</v>
      </c>
      <c r="E317" s="1412">
        <v>1021000</v>
      </c>
      <c r="F317" s="1413">
        <v>15510</v>
      </c>
      <c r="G317" s="1410">
        <v>1.6997</v>
      </c>
      <c r="H317" s="1412">
        <v>0.14096223999999999</v>
      </c>
      <c r="I317" s="1412">
        <v>3.2833999999999998E-5</v>
      </c>
      <c r="J317" s="1413">
        <v>5.9580000000000002</v>
      </c>
    </row>
    <row r="318" spans="2:10" x14ac:dyDescent="0.25">
      <c r="B318" s="1410" t="s">
        <v>716</v>
      </c>
      <c r="C318" s="1411">
        <v>2045</v>
      </c>
      <c r="D318" s="1410">
        <v>1022000</v>
      </c>
      <c r="E318" s="1412">
        <v>1021000</v>
      </c>
      <c r="F318" s="1413">
        <v>15510</v>
      </c>
      <c r="G318" s="1410">
        <v>1.6997</v>
      </c>
      <c r="H318" s="1412">
        <v>0.14096223999999999</v>
      </c>
      <c r="I318" s="1412">
        <v>3.2833999999999998E-5</v>
      </c>
      <c r="J318" s="1413">
        <v>5.9580000000000002</v>
      </c>
    </row>
    <row r="319" spans="2:10" x14ac:dyDescent="0.25">
      <c r="B319" s="1410" t="s">
        <v>717</v>
      </c>
      <c r="C319" s="1411">
        <v>2045</v>
      </c>
      <c r="D319" s="1410">
        <v>1022000</v>
      </c>
      <c r="E319" s="1412">
        <v>1021000</v>
      </c>
      <c r="F319" s="1413">
        <v>15510</v>
      </c>
      <c r="G319" s="1410">
        <v>1.6997</v>
      </c>
      <c r="H319" s="1412">
        <v>0.14096223999999999</v>
      </c>
      <c r="I319" s="1412">
        <v>3.2833999999999998E-5</v>
      </c>
      <c r="J319" s="1413">
        <v>5.9580000000000002</v>
      </c>
    </row>
    <row r="320" spans="2:10" x14ac:dyDescent="0.25">
      <c r="B320" s="1410" t="s">
        <v>912</v>
      </c>
      <c r="C320" s="1411">
        <v>2045</v>
      </c>
      <c r="D320" s="1410">
        <v>1209000</v>
      </c>
      <c r="E320" s="1412">
        <v>1202000</v>
      </c>
      <c r="F320" s="1413">
        <v>1052000</v>
      </c>
      <c r="G320" s="1410">
        <v>17.989000000000001</v>
      </c>
      <c r="H320" s="1412">
        <v>0.164127</v>
      </c>
      <c r="I320" s="1412">
        <v>2.9079000000000003E-4</v>
      </c>
      <c r="J320" s="1413">
        <v>23.018999999999998</v>
      </c>
    </row>
    <row r="321" spans="2:10" x14ac:dyDescent="0.25">
      <c r="B321" s="1410" t="s">
        <v>910</v>
      </c>
      <c r="C321" s="1411">
        <v>2045</v>
      </c>
      <c r="D321" s="1410">
        <v>1586000</v>
      </c>
      <c r="E321" s="1412">
        <v>696300</v>
      </c>
      <c r="F321" s="1413">
        <v>286000</v>
      </c>
      <c r="G321" s="1410">
        <v>38.110999999999997</v>
      </c>
      <c r="H321" s="1412">
        <v>0.1118</v>
      </c>
      <c r="I321" s="1412">
        <v>2.5350000000000001E-2</v>
      </c>
      <c r="J321" s="1413">
        <v>45.23</v>
      </c>
    </row>
    <row r="322" spans="2:10" x14ac:dyDescent="0.25">
      <c r="B322" s="1410" t="s">
        <v>913</v>
      </c>
      <c r="C322" s="1411">
        <v>2045</v>
      </c>
      <c r="D322" s="1410">
        <v>1249000</v>
      </c>
      <c r="E322" s="1412">
        <v>1242000</v>
      </c>
      <c r="F322" s="1413">
        <v>1078000</v>
      </c>
      <c r="G322" s="1410">
        <v>23.861000000000001</v>
      </c>
      <c r="H322" s="1412">
        <v>0.16985599999999998</v>
      </c>
      <c r="I322" s="1412">
        <v>3.7867E-4</v>
      </c>
      <c r="J322" s="1413">
        <v>29.189</v>
      </c>
    </row>
    <row r="323" spans="2:10" x14ac:dyDescent="0.25">
      <c r="B323" s="1410" t="s">
        <v>1081</v>
      </c>
      <c r="C323" s="1411">
        <v>2045</v>
      </c>
      <c r="D323" s="1410">
        <v>1190000</v>
      </c>
      <c r="E323" s="1412">
        <v>51590</v>
      </c>
      <c r="F323" s="1413">
        <v>29220</v>
      </c>
      <c r="G323" s="1410">
        <v>3.7631000000000001</v>
      </c>
      <c r="H323" s="1412">
        <v>8.4335E-3</v>
      </c>
      <c r="I323" s="1412">
        <v>-3.8260760000000003E-3</v>
      </c>
      <c r="J323" s="1413">
        <v>3.0114000000000001</v>
      </c>
    </row>
    <row r="324" spans="2:10" x14ac:dyDescent="0.25">
      <c r="B324" s="1410" t="s">
        <v>815</v>
      </c>
      <c r="C324" s="1411">
        <v>2045</v>
      </c>
      <c r="D324" s="1410">
        <v>1190000</v>
      </c>
      <c r="E324" s="1412">
        <v>51590</v>
      </c>
      <c r="F324" s="1413">
        <v>29220</v>
      </c>
      <c r="G324" s="1410">
        <v>3.7631000000000001</v>
      </c>
      <c r="H324" s="1412">
        <v>8.4335E-3</v>
      </c>
      <c r="I324" s="1412">
        <v>-3.8260760000000003E-3</v>
      </c>
      <c r="J324" s="1413">
        <v>3.0114000000000001</v>
      </c>
    </row>
    <row r="325" spans="2:10" x14ac:dyDescent="0.25">
      <c r="B325" s="1410" t="s">
        <v>824</v>
      </c>
      <c r="C325" s="1411">
        <v>2045</v>
      </c>
      <c r="D325" s="1410">
        <v>1190000</v>
      </c>
      <c r="E325" s="1412">
        <v>51590</v>
      </c>
      <c r="F325" s="1413">
        <v>29220</v>
      </c>
      <c r="G325" s="1410">
        <v>3.7631000000000001</v>
      </c>
      <c r="H325" s="1412">
        <v>8.4335E-3</v>
      </c>
      <c r="I325" s="1412">
        <v>-3.8260760000000003E-3</v>
      </c>
      <c r="J325" s="1413">
        <v>3.0114000000000001</v>
      </c>
    </row>
    <row r="326" spans="2:10" ht="13" thickBot="1" x14ac:dyDescent="0.3">
      <c r="B326" s="1414" t="s">
        <v>1088</v>
      </c>
      <c r="C326" s="1415">
        <v>2045</v>
      </c>
      <c r="D326" s="1414">
        <v>1384000</v>
      </c>
      <c r="E326" s="1416">
        <v>1383000</v>
      </c>
      <c r="F326" s="1417">
        <v>5034</v>
      </c>
      <c r="G326" s="1414">
        <v>78.571100000000001</v>
      </c>
      <c r="H326" s="1416">
        <v>0.27494000000000002</v>
      </c>
      <c r="I326" s="1416">
        <v>2.3304000000000003E-3</v>
      </c>
      <c r="J326" s="1417">
        <v>87.594300000000004</v>
      </c>
    </row>
    <row r="327" spans="2:10" x14ac:dyDescent="0.25">
      <c r="B327" s="1406" t="s">
        <v>1085</v>
      </c>
      <c r="C327" s="1407">
        <v>2050</v>
      </c>
      <c r="D327" s="1406">
        <v>1092000</v>
      </c>
      <c r="E327" s="1408">
        <v>1092000</v>
      </c>
      <c r="F327" s="1409">
        <v>3971</v>
      </c>
      <c r="G327" s="1406">
        <v>5.7390999999999996</v>
      </c>
      <c r="H327" s="1408">
        <v>0.18462200000000001</v>
      </c>
      <c r="I327" s="1408">
        <v>8.61E-4</v>
      </c>
      <c r="J327" s="1409">
        <v>11.5648</v>
      </c>
    </row>
    <row r="328" spans="2:10" x14ac:dyDescent="0.25">
      <c r="B328" s="1410" t="s">
        <v>283</v>
      </c>
      <c r="C328" s="1411">
        <v>2050</v>
      </c>
      <c r="D328" s="1410">
        <v>1092000</v>
      </c>
      <c r="E328" s="1412">
        <v>1092000</v>
      </c>
      <c r="F328" s="1413">
        <v>3971</v>
      </c>
      <c r="G328" s="1410">
        <v>5.7390999999999996</v>
      </c>
      <c r="H328" s="1412">
        <v>0.18462200000000001</v>
      </c>
      <c r="I328" s="1412">
        <v>8.61E-4</v>
      </c>
      <c r="J328" s="1413">
        <v>11.5648</v>
      </c>
    </row>
    <row r="329" spans="2:10" x14ac:dyDescent="0.25">
      <c r="B329" s="1410" t="s">
        <v>1086</v>
      </c>
      <c r="C329" s="1411">
        <v>2050</v>
      </c>
      <c r="D329" s="1410">
        <v>1092000</v>
      </c>
      <c r="E329" s="1412">
        <v>1092000</v>
      </c>
      <c r="F329" s="1413">
        <v>3971</v>
      </c>
      <c r="G329" s="1410">
        <v>5.7390999999999996</v>
      </c>
      <c r="H329" s="1412">
        <v>0.18462200000000001</v>
      </c>
      <c r="I329" s="1412">
        <v>8.61E-4</v>
      </c>
      <c r="J329" s="1413">
        <v>11.5648</v>
      </c>
    </row>
    <row r="330" spans="2:10" x14ac:dyDescent="0.25">
      <c r="B330" s="1410" t="s">
        <v>681</v>
      </c>
      <c r="C330" s="1411">
        <v>2050</v>
      </c>
      <c r="D330" s="1410">
        <v>1092000</v>
      </c>
      <c r="E330" s="1412">
        <v>1092000</v>
      </c>
      <c r="F330" s="1413">
        <v>3971</v>
      </c>
      <c r="G330" s="1410">
        <v>5.7390999999999996</v>
      </c>
      <c r="H330" s="1412">
        <v>0.18462200000000001</v>
      </c>
      <c r="I330" s="1412">
        <v>8.61E-4</v>
      </c>
      <c r="J330" s="1413">
        <v>11.5648</v>
      </c>
    </row>
    <row r="331" spans="2:10" x14ac:dyDescent="0.25">
      <c r="B331" s="1410" t="s">
        <v>682</v>
      </c>
      <c r="C331" s="1411">
        <v>2050</v>
      </c>
      <c r="D331" s="1410">
        <v>-1185000</v>
      </c>
      <c r="E331" s="1412">
        <v>0</v>
      </c>
      <c r="F331" s="1413">
        <v>0</v>
      </c>
      <c r="G331" s="1410">
        <v>-85.800000000000011</v>
      </c>
      <c r="H331" s="1412">
        <v>0.54700000000000004</v>
      </c>
      <c r="I331" s="1412">
        <v>-1.8286999999999999E-3</v>
      </c>
      <c r="J331" s="1413">
        <v>-70.08</v>
      </c>
    </row>
    <row r="332" spans="2:10" x14ac:dyDescent="0.25">
      <c r="B332" s="1410" t="s">
        <v>683</v>
      </c>
      <c r="C332" s="1411">
        <v>2050</v>
      </c>
      <c r="D332" s="1410">
        <v>1721000</v>
      </c>
      <c r="E332" s="1412">
        <v>1293000</v>
      </c>
      <c r="F332" s="1413">
        <v>15050</v>
      </c>
      <c r="G332" s="1410">
        <v>125.08</v>
      </c>
      <c r="H332" s="1412">
        <v>0.20477100000000001</v>
      </c>
      <c r="I332" s="1412">
        <v>1.7827000000000001E-3</v>
      </c>
      <c r="J332" s="1413">
        <v>129.82</v>
      </c>
    </row>
    <row r="333" spans="2:10" x14ac:dyDescent="0.25">
      <c r="B333" s="1410" t="s">
        <v>698</v>
      </c>
      <c r="C333" s="1411">
        <v>2050</v>
      </c>
      <c r="D333" s="1410">
        <v>1721000</v>
      </c>
      <c r="E333" s="1412">
        <v>1293000</v>
      </c>
      <c r="F333" s="1413">
        <v>15050</v>
      </c>
      <c r="G333" s="1410">
        <v>125.08</v>
      </c>
      <c r="H333" s="1412">
        <v>0.20477100000000001</v>
      </c>
      <c r="I333" s="1412">
        <v>1.7827000000000001E-3</v>
      </c>
      <c r="J333" s="1413">
        <v>129.82</v>
      </c>
    </row>
    <row r="334" spans="2:10" x14ac:dyDescent="0.25">
      <c r="B334" s="1410" t="s">
        <v>684</v>
      </c>
      <c r="C334" s="1411">
        <v>2050</v>
      </c>
      <c r="D334" s="1410">
        <v>1721000</v>
      </c>
      <c r="E334" s="1412">
        <v>1293000</v>
      </c>
      <c r="F334" s="1413">
        <v>15050</v>
      </c>
      <c r="G334" s="1410">
        <v>125.08</v>
      </c>
      <c r="H334" s="1412">
        <v>0.20477100000000001</v>
      </c>
      <c r="I334" s="1412">
        <v>1.7827000000000001E-3</v>
      </c>
      <c r="J334" s="1413">
        <v>129.82</v>
      </c>
    </row>
    <row r="335" spans="2:10" x14ac:dyDescent="0.25">
      <c r="B335" s="1410" t="s">
        <v>1087</v>
      </c>
      <c r="C335" s="1411">
        <v>2050</v>
      </c>
      <c r="D335" s="1410">
        <v>1022000</v>
      </c>
      <c r="E335" s="1412">
        <v>1021000</v>
      </c>
      <c r="F335" s="1413">
        <v>15510</v>
      </c>
      <c r="G335" s="1410">
        <v>1.6964999999999999</v>
      </c>
      <c r="H335" s="1412">
        <v>0.14096238999999999</v>
      </c>
      <c r="I335" s="1412">
        <v>3.2765999999999998E-5</v>
      </c>
      <c r="J335" s="1413">
        <v>5.9536999999999995</v>
      </c>
    </row>
    <row r="336" spans="2:10" x14ac:dyDescent="0.25">
      <c r="B336" s="1410" t="s">
        <v>716</v>
      </c>
      <c r="C336" s="1411">
        <v>2050</v>
      </c>
      <c r="D336" s="1410">
        <v>1022000</v>
      </c>
      <c r="E336" s="1412">
        <v>1021000</v>
      </c>
      <c r="F336" s="1413">
        <v>15510</v>
      </c>
      <c r="G336" s="1410">
        <v>1.6964999999999999</v>
      </c>
      <c r="H336" s="1412">
        <v>0.14096238999999999</v>
      </c>
      <c r="I336" s="1412">
        <v>3.2765999999999998E-5</v>
      </c>
      <c r="J336" s="1413">
        <v>5.9536999999999995</v>
      </c>
    </row>
    <row r="337" spans="2:10" x14ac:dyDescent="0.25">
      <c r="B337" s="1410" t="s">
        <v>717</v>
      </c>
      <c r="C337" s="1411">
        <v>2050</v>
      </c>
      <c r="D337" s="1410">
        <v>1022000</v>
      </c>
      <c r="E337" s="1412">
        <v>1021000</v>
      </c>
      <c r="F337" s="1413">
        <v>15510</v>
      </c>
      <c r="G337" s="1410">
        <v>1.6964999999999999</v>
      </c>
      <c r="H337" s="1412">
        <v>0.14096238999999999</v>
      </c>
      <c r="I337" s="1412">
        <v>3.2765999999999998E-5</v>
      </c>
      <c r="J337" s="1413">
        <v>5.9536999999999995</v>
      </c>
    </row>
    <row r="338" spans="2:10" x14ac:dyDescent="0.25">
      <c r="B338" s="1410" t="s">
        <v>912</v>
      </c>
      <c r="C338" s="1411">
        <v>2050</v>
      </c>
      <c r="D338" s="1410">
        <v>1209000</v>
      </c>
      <c r="E338" s="1412">
        <v>1202000</v>
      </c>
      <c r="F338" s="1413">
        <v>1052000</v>
      </c>
      <c r="G338" s="1410">
        <v>17.969000000000001</v>
      </c>
      <c r="H338" s="1412">
        <v>0.164128</v>
      </c>
      <c r="I338" s="1412">
        <v>2.9025999999999998E-4</v>
      </c>
      <c r="J338" s="1413">
        <v>22.988</v>
      </c>
    </row>
    <row r="339" spans="2:10" x14ac:dyDescent="0.25">
      <c r="B339" s="1410" t="s">
        <v>910</v>
      </c>
      <c r="C339" s="1411">
        <v>2050</v>
      </c>
      <c r="D339" s="1410">
        <v>1585000</v>
      </c>
      <c r="E339" s="1412">
        <v>696300</v>
      </c>
      <c r="F339" s="1413">
        <v>286000</v>
      </c>
      <c r="G339" s="1410">
        <v>38.049999999999997</v>
      </c>
      <c r="H339" s="1412">
        <v>0.1118</v>
      </c>
      <c r="I339" s="1412">
        <v>2.5350000000000001E-2</v>
      </c>
      <c r="J339" s="1413">
        <v>45.19</v>
      </c>
    </row>
    <row r="340" spans="2:10" x14ac:dyDescent="0.25">
      <c r="B340" s="1410" t="s">
        <v>913</v>
      </c>
      <c r="C340" s="1411">
        <v>2050</v>
      </c>
      <c r="D340" s="1410">
        <v>1249000</v>
      </c>
      <c r="E340" s="1412">
        <v>1242000</v>
      </c>
      <c r="F340" s="1413">
        <v>1078000</v>
      </c>
      <c r="G340" s="1410">
        <v>23.84</v>
      </c>
      <c r="H340" s="1412">
        <v>0.16985799999999998</v>
      </c>
      <c r="I340" s="1412">
        <v>3.7813000000000001E-4</v>
      </c>
      <c r="J340" s="1413">
        <v>29.157000000000004</v>
      </c>
    </row>
    <row r="341" spans="2:10" x14ac:dyDescent="0.25">
      <c r="B341" s="1410" t="s">
        <v>1081</v>
      </c>
      <c r="C341" s="1411">
        <v>2050</v>
      </c>
      <c r="D341" s="1410">
        <v>1190000</v>
      </c>
      <c r="E341" s="1412">
        <v>51590</v>
      </c>
      <c r="F341" s="1413">
        <v>29220</v>
      </c>
      <c r="G341" s="1410">
        <v>3.7582</v>
      </c>
      <c r="H341" s="1412">
        <v>8.4366999999999984E-3</v>
      </c>
      <c r="I341" s="1412">
        <v>-3.8261190000000002E-3</v>
      </c>
      <c r="J341" s="1413">
        <v>3.0054000000000003</v>
      </c>
    </row>
    <row r="342" spans="2:10" x14ac:dyDescent="0.25">
      <c r="B342" s="1410" t="s">
        <v>815</v>
      </c>
      <c r="C342" s="1411">
        <v>2050</v>
      </c>
      <c r="D342" s="1410">
        <v>1190000</v>
      </c>
      <c r="E342" s="1412">
        <v>51590</v>
      </c>
      <c r="F342" s="1413">
        <v>29220</v>
      </c>
      <c r="G342" s="1410">
        <v>3.7582</v>
      </c>
      <c r="H342" s="1412">
        <v>8.4366999999999984E-3</v>
      </c>
      <c r="I342" s="1412">
        <v>-3.8261190000000002E-3</v>
      </c>
      <c r="J342" s="1413">
        <v>3.0054000000000003</v>
      </c>
    </row>
    <row r="343" spans="2:10" x14ac:dyDescent="0.25">
      <c r="B343" s="1410" t="s">
        <v>824</v>
      </c>
      <c r="C343" s="1411">
        <v>2050</v>
      </c>
      <c r="D343" s="1410">
        <v>1190000</v>
      </c>
      <c r="E343" s="1412">
        <v>51590</v>
      </c>
      <c r="F343" s="1413">
        <v>29220</v>
      </c>
      <c r="G343" s="1410">
        <v>3.7582</v>
      </c>
      <c r="H343" s="1412">
        <v>8.4366999999999984E-3</v>
      </c>
      <c r="I343" s="1412">
        <v>-3.8261190000000002E-3</v>
      </c>
      <c r="J343" s="1413">
        <v>3.0054000000000003</v>
      </c>
    </row>
    <row r="344" spans="2:10" ht="13" thickBot="1" x14ac:dyDescent="0.3">
      <c r="B344" s="1414" t="s">
        <v>1088</v>
      </c>
      <c r="C344" s="1415">
        <v>2050</v>
      </c>
      <c r="D344" s="1414">
        <v>1384000</v>
      </c>
      <c r="E344" s="1416">
        <v>1383000</v>
      </c>
      <c r="F344" s="1417">
        <v>5034</v>
      </c>
      <c r="G344" s="1414">
        <v>78.571100000000001</v>
      </c>
      <c r="H344" s="1416">
        <v>0.27494000000000002</v>
      </c>
      <c r="I344" s="1416">
        <v>2.3304000000000003E-3</v>
      </c>
      <c r="J344" s="1417">
        <v>87.594300000000004</v>
      </c>
    </row>
    <row r="345" spans="2:10" x14ac:dyDescent="0.25">
      <c r="B345" s="1406" t="s">
        <v>1085</v>
      </c>
      <c r="C345" s="1407">
        <v>2055</v>
      </c>
      <c r="D345" s="1406">
        <v>1092000</v>
      </c>
      <c r="E345" s="1408">
        <v>1092000</v>
      </c>
      <c r="F345" s="1409">
        <v>3971</v>
      </c>
      <c r="G345" s="1406">
        <v>5.7390999999999996</v>
      </c>
      <c r="H345" s="1408">
        <v>0.18462200000000001</v>
      </c>
      <c r="I345" s="1408">
        <v>8.61E-4</v>
      </c>
      <c r="J345" s="1409">
        <v>11.5648</v>
      </c>
    </row>
    <row r="346" spans="2:10" x14ac:dyDescent="0.25">
      <c r="B346" s="1410" t="s">
        <v>283</v>
      </c>
      <c r="C346" s="1411">
        <v>2055</v>
      </c>
      <c r="D346" s="1410">
        <v>1092000</v>
      </c>
      <c r="E346" s="1412">
        <v>1092000</v>
      </c>
      <c r="F346" s="1413">
        <v>3971</v>
      </c>
      <c r="G346" s="1410">
        <v>5.7390999999999996</v>
      </c>
      <c r="H346" s="1412">
        <v>0.18462200000000001</v>
      </c>
      <c r="I346" s="1412">
        <v>8.61E-4</v>
      </c>
      <c r="J346" s="1413">
        <v>11.5648</v>
      </c>
    </row>
    <row r="347" spans="2:10" x14ac:dyDescent="0.25">
      <c r="B347" s="1410" t="s">
        <v>1086</v>
      </c>
      <c r="C347" s="1411">
        <v>2055</v>
      </c>
      <c r="D347" s="1410">
        <v>1092000</v>
      </c>
      <c r="E347" s="1412">
        <v>1092000</v>
      </c>
      <c r="F347" s="1413">
        <v>3971</v>
      </c>
      <c r="G347" s="1410">
        <v>5.7390999999999996</v>
      </c>
      <c r="H347" s="1412">
        <v>0.18462200000000001</v>
      </c>
      <c r="I347" s="1412">
        <v>8.61E-4</v>
      </c>
      <c r="J347" s="1413">
        <v>11.5648</v>
      </c>
    </row>
    <row r="348" spans="2:10" x14ac:dyDescent="0.25">
      <c r="B348" s="1410" t="s">
        <v>681</v>
      </c>
      <c r="C348" s="1411">
        <v>2055</v>
      </c>
      <c r="D348" s="1410">
        <v>1092000</v>
      </c>
      <c r="E348" s="1412">
        <v>1092000</v>
      </c>
      <c r="F348" s="1413">
        <v>3971</v>
      </c>
      <c r="G348" s="1410">
        <v>5.7390999999999996</v>
      </c>
      <c r="H348" s="1412">
        <v>0.18462200000000001</v>
      </c>
      <c r="I348" s="1412">
        <v>8.61E-4</v>
      </c>
      <c r="J348" s="1413">
        <v>11.5648</v>
      </c>
    </row>
    <row r="349" spans="2:10" x14ac:dyDescent="0.25">
      <c r="B349" s="1410" t="s">
        <v>682</v>
      </c>
      <c r="C349" s="1411">
        <v>2055</v>
      </c>
      <c r="D349" s="1410">
        <v>-1185000</v>
      </c>
      <c r="E349" s="1412">
        <v>0</v>
      </c>
      <c r="F349" s="1413">
        <v>0</v>
      </c>
      <c r="G349" s="1410">
        <v>-85.800000000000011</v>
      </c>
      <c r="H349" s="1412">
        <v>0.54700000000000004</v>
      </c>
      <c r="I349" s="1412">
        <v>-1.8286999999999999E-3</v>
      </c>
      <c r="J349" s="1413">
        <v>-70.08</v>
      </c>
    </row>
    <row r="350" spans="2:10" x14ac:dyDescent="0.25">
      <c r="B350" s="1410" t="s">
        <v>683</v>
      </c>
      <c r="C350" s="1411">
        <v>2055</v>
      </c>
      <c r="D350" s="1410">
        <v>1721000</v>
      </c>
      <c r="E350" s="1412">
        <v>1293000</v>
      </c>
      <c r="F350" s="1413">
        <v>15050</v>
      </c>
      <c r="G350" s="1410">
        <v>125.08</v>
      </c>
      <c r="H350" s="1412">
        <v>0.20477100000000001</v>
      </c>
      <c r="I350" s="1412">
        <v>1.7827000000000001E-3</v>
      </c>
      <c r="J350" s="1413">
        <v>129.82</v>
      </c>
    </row>
    <row r="351" spans="2:10" x14ac:dyDescent="0.25">
      <c r="B351" s="1410" t="s">
        <v>698</v>
      </c>
      <c r="C351" s="1411">
        <v>2055</v>
      </c>
      <c r="D351" s="1410">
        <v>1721000</v>
      </c>
      <c r="E351" s="1412">
        <v>1293000</v>
      </c>
      <c r="F351" s="1413">
        <v>15050</v>
      </c>
      <c r="G351" s="1410">
        <v>125.08</v>
      </c>
      <c r="H351" s="1412">
        <v>0.20477100000000001</v>
      </c>
      <c r="I351" s="1412">
        <v>1.7827000000000001E-3</v>
      </c>
      <c r="J351" s="1413">
        <v>129.82</v>
      </c>
    </row>
    <row r="352" spans="2:10" x14ac:dyDescent="0.25">
      <c r="B352" s="1410" t="s">
        <v>684</v>
      </c>
      <c r="C352" s="1411">
        <v>2055</v>
      </c>
      <c r="D352" s="1410">
        <v>1721000</v>
      </c>
      <c r="E352" s="1412">
        <v>1293000</v>
      </c>
      <c r="F352" s="1413">
        <v>15050</v>
      </c>
      <c r="G352" s="1410">
        <v>125.08</v>
      </c>
      <c r="H352" s="1412">
        <v>0.20477100000000001</v>
      </c>
      <c r="I352" s="1412">
        <v>1.7827000000000001E-3</v>
      </c>
      <c r="J352" s="1413">
        <v>129.82</v>
      </c>
    </row>
    <row r="353" spans="2:10" x14ac:dyDescent="0.25">
      <c r="B353" s="1410" t="s">
        <v>1087</v>
      </c>
      <c r="C353" s="1411">
        <v>2055</v>
      </c>
      <c r="D353" s="1410">
        <v>1022000</v>
      </c>
      <c r="E353" s="1412">
        <v>1021000</v>
      </c>
      <c r="F353" s="1413">
        <v>15510</v>
      </c>
      <c r="G353" s="1410">
        <v>1.6964999999999999</v>
      </c>
      <c r="H353" s="1412">
        <v>0.14096238999999999</v>
      </c>
      <c r="I353" s="1412">
        <v>3.2765999999999998E-5</v>
      </c>
      <c r="J353" s="1413">
        <v>5.9536999999999995</v>
      </c>
    </row>
    <row r="354" spans="2:10" x14ac:dyDescent="0.25">
      <c r="B354" s="1410" t="s">
        <v>716</v>
      </c>
      <c r="C354" s="1411">
        <v>2055</v>
      </c>
      <c r="D354" s="1410">
        <v>1022000</v>
      </c>
      <c r="E354" s="1412">
        <v>1021000</v>
      </c>
      <c r="F354" s="1413">
        <v>15510</v>
      </c>
      <c r="G354" s="1410">
        <v>1.6964999999999999</v>
      </c>
      <c r="H354" s="1412">
        <v>0.14096238999999999</v>
      </c>
      <c r="I354" s="1412">
        <v>3.2765999999999998E-5</v>
      </c>
      <c r="J354" s="1413">
        <v>5.9536999999999995</v>
      </c>
    </row>
    <row r="355" spans="2:10" x14ac:dyDescent="0.25">
      <c r="B355" s="1410" t="s">
        <v>717</v>
      </c>
      <c r="C355" s="1411">
        <v>2055</v>
      </c>
      <c r="D355" s="1410">
        <v>1022000</v>
      </c>
      <c r="E355" s="1412">
        <v>1021000</v>
      </c>
      <c r="F355" s="1413">
        <v>15510</v>
      </c>
      <c r="G355" s="1410">
        <v>1.6964999999999999</v>
      </c>
      <c r="H355" s="1412">
        <v>0.14096238999999999</v>
      </c>
      <c r="I355" s="1412">
        <v>3.2765999999999998E-5</v>
      </c>
      <c r="J355" s="1413">
        <v>5.9536999999999995</v>
      </c>
    </row>
    <row r="356" spans="2:10" x14ac:dyDescent="0.25">
      <c r="B356" s="1410" t="s">
        <v>912</v>
      </c>
      <c r="C356" s="1411">
        <v>2055</v>
      </c>
      <c r="D356" s="1410">
        <v>1209000</v>
      </c>
      <c r="E356" s="1412">
        <v>1202000</v>
      </c>
      <c r="F356" s="1413">
        <v>1052000</v>
      </c>
      <c r="G356" s="1410">
        <v>17.969000000000001</v>
      </c>
      <c r="H356" s="1412">
        <v>0.164128</v>
      </c>
      <c r="I356" s="1412">
        <v>2.9025999999999998E-4</v>
      </c>
      <c r="J356" s="1413">
        <v>22.988</v>
      </c>
    </row>
    <row r="357" spans="2:10" x14ac:dyDescent="0.25">
      <c r="B357" s="1410" t="s">
        <v>910</v>
      </c>
      <c r="C357" s="1411">
        <v>2055</v>
      </c>
      <c r="D357" s="1410">
        <v>1585000</v>
      </c>
      <c r="E357" s="1412">
        <v>696300</v>
      </c>
      <c r="F357" s="1413">
        <v>286000</v>
      </c>
      <c r="G357" s="1410">
        <v>38.049999999999997</v>
      </c>
      <c r="H357" s="1412">
        <v>0.1118</v>
      </c>
      <c r="I357" s="1412">
        <v>2.5350000000000001E-2</v>
      </c>
      <c r="J357" s="1413">
        <v>45.19</v>
      </c>
    </row>
    <row r="358" spans="2:10" x14ac:dyDescent="0.25">
      <c r="B358" s="1410" t="s">
        <v>913</v>
      </c>
      <c r="C358" s="1411">
        <v>2055</v>
      </c>
      <c r="D358" s="1410">
        <v>1249000</v>
      </c>
      <c r="E358" s="1412">
        <v>1242000</v>
      </c>
      <c r="F358" s="1413">
        <v>1078000</v>
      </c>
      <c r="G358" s="1410">
        <v>23.84</v>
      </c>
      <c r="H358" s="1412">
        <v>0.16985799999999998</v>
      </c>
      <c r="I358" s="1412">
        <v>3.7813000000000001E-4</v>
      </c>
      <c r="J358" s="1413">
        <v>29.157000000000004</v>
      </c>
    </row>
    <row r="359" spans="2:10" x14ac:dyDescent="0.25">
      <c r="B359" s="1410" t="s">
        <v>1081</v>
      </c>
      <c r="C359" s="1411">
        <v>2055</v>
      </c>
      <c r="D359" s="1410">
        <v>1190000</v>
      </c>
      <c r="E359" s="1412">
        <v>51590</v>
      </c>
      <c r="F359" s="1413">
        <v>29220</v>
      </c>
      <c r="G359" s="1410">
        <v>3.7582</v>
      </c>
      <c r="H359" s="1412">
        <v>8.4366999999999984E-3</v>
      </c>
      <c r="I359" s="1412">
        <v>-3.8261190000000002E-3</v>
      </c>
      <c r="J359" s="1413">
        <v>3.0054000000000003</v>
      </c>
    </row>
    <row r="360" spans="2:10" x14ac:dyDescent="0.25">
      <c r="B360" s="1410" t="s">
        <v>815</v>
      </c>
      <c r="C360" s="1411">
        <v>2055</v>
      </c>
      <c r="D360" s="1410">
        <v>1190000</v>
      </c>
      <c r="E360" s="1412">
        <v>51590</v>
      </c>
      <c r="F360" s="1413">
        <v>29220</v>
      </c>
      <c r="G360" s="1410">
        <v>3.7582</v>
      </c>
      <c r="H360" s="1412">
        <v>8.4366999999999984E-3</v>
      </c>
      <c r="I360" s="1412">
        <v>-3.8261190000000002E-3</v>
      </c>
      <c r="J360" s="1413">
        <v>3.0054000000000003</v>
      </c>
    </row>
    <row r="361" spans="2:10" x14ac:dyDescent="0.25">
      <c r="B361" s="1410" t="s">
        <v>824</v>
      </c>
      <c r="C361" s="1411">
        <v>2055</v>
      </c>
      <c r="D361" s="1410">
        <v>1190000</v>
      </c>
      <c r="E361" s="1412">
        <v>51590</v>
      </c>
      <c r="F361" s="1413">
        <v>29220</v>
      </c>
      <c r="G361" s="1410">
        <v>3.7582</v>
      </c>
      <c r="H361" s="1412">
        <v>8.4366999999999984E-3</v>
      </c>
      <c r="I361" s="1412">
        <v>-3.8261190000000002E-3</v>
      </c>
      <c r="J361" s="1413">
        <v>3.0054000000000003</v>
      </c>
    </row>
    <row r="362" spans="2:10" ht="13" thickBot="1" x14ac:dyDescent="0.3">
      <c r="B362" s="1414" t="s">
        <v>1088</v>
      </c>
      <c r="C362" s="1415">
        <v>2055</v>
      </c>
      <c r="D362" s="1414">
        <v>1384000</v>
      </c>
      <c r="E362" s="1416">
        <v>1383000</v>
      </c>
      <c r="F362" s="1417">
        <v>5034</v>
      </c>
      <c r="G362" s="1414">
        <v>78.571100000000001</v>
      </c>
      <c r="H362" s="1416">
        <v>0.27494000000000002</v>
      </c>
      <c r="I362" s="1416">
        <v>2.3304000000000003E-3</v>
      </c>
      <c r="J362" s="1417">
        <v>87.594300000000004</v>
      </c>
    </row>
    <row r="363" spans="2:10" x14ac:dyDescent="0.25">
      <c r="B363" s="1406" t="s">
        <v>1085</v>
      </c>
      <c r="C363" s="1407">
        <v>2060</v>
      </c>
      <c r="D363" s="1406">
        <v>1092000</v>
      </c>
      <c r="E363" s="1408">
        <v>1092000</v>
      </c>
      <c r="F363" s="1409">
        <v>3971</v>
      </c>
      <c r="G363" s="1406">
        <v>5.7390999999999996</v>
      </c>
      <c r="H363" s="1408">
        <v>0.18462200000000001</v>
      </c>
      <c r="I363" s="1408">
        <v>8.61E-4</v>
      </c>
      <c r="J363" s="1409">
        <v>11.5648</v>
      </c>
    </row>
    <row r="364" spans="2:10" x14ac:dyDescent="0.25">
      <c r="B364" s="1410" t="s">
        <v>283</v>
      </c>
      <c r="C364" s="1411">
        <v>2060</v>
      </c>
      <c r="D364" s="1410">
        <v>1092000</v>
      </c>
      <c r="E364" s="1412">
        <v>1092000</v>
      </c>
      <c r="F364" s="1413">
        <v>3971</v>
      </c>
      <c r="G364" s="1410">
        <v>5.7390999999999996</v>
      </c>
      <c r="H364" s="1412">
        <v>0.18462200000000001</v>
      </c>
      <c r="I364" s="1412">
        <v>8.61E-4</v>
      </c>
      <c r="J364" s="1413">
        <v>11.5648</v>
      </c>
    </row>
    <row r="365" spans="2:10" x14ac:dyDescent="0.25">
      <c r="B365" s="1410" t="s">
        <v>1086</v>
      </c>
      <c r="C365" s="1411">
        <v>2060</v>
      </c>
      <c r="D365" s="1410">
        <v>1092000</v>
      </c>
      <c r="E365" s="1412">
        <v>1092000</v>
      </c>
      <c r="F365" s="1413">
        <v>3971</v>
      </c>
      <c r="G365" s="1410">
        <v>5.7390999999999996</v>
      </c>
      <c r="H365" s="1412">
        <v>0.18462200000000001</v>
      </c>
      <c r="I365" s="1412">
        <v>8.61E-4</v>
      </c>
      <c r="J365" s="1413">
        <v>11.5648</v>
      </c>
    </row>
    <row r="366" spans="2:10" x14ac:dyDescent="0.25">
      <c r="B366" s="1410" t="s">
        <v>681</v>
      </c>
      <c r="C366" s="1411">
        <v>2060</v>
      </c>
      <c r="D366" s="1410">
        <v>1092000</v>
      </c>
      <c r="E366" s="1412">
        <v>1092000</v>
      </c>
      <c r="F366" s="1413">
        <v>3971</v>
      </c>
      <c r="G366" s="1410">
        <v>5.7390999999999996</v>
      </c>
      <c r="H366" s="1412">
        <v>0.18462200000000001</v>
      </c>
      <c r="I366" s="1412">
        <v>8.61E-4</v>
      </c>
      <c r="J366" s="1413">
        <v>11.5648</v>
      </c>
    </row>
    <row r="367" spans="2:10" x14ac:dyDescent="0.25">
      <c r="B367" s="1410" t="s">
        <v>682</v>
      </c>
      <c r="C367" s="1411">
        <v>2060</v>
      </c>
      <c r="D367" s="1410">
        <v>-1185000</v>
      </c>
      <c r="E367" s="1412">
        <v>0</v>
      </c>
      <c r="F367" s="1413">
        <v>0</v>
      </c>
      <c r="G367" s="1410">
        <v>-85.800000000000011</v>
      </c>
      <c r="H367" s="1412">
        <v>0.54700000000000004</v>
      </c>
      <c r="I367" s="1412">
        <v>-1.8286999999999999E-3</v>
      </c>
      <c r="J367" s="1413">
        <v>-70.08</v>
      </c>
    </row>
    <row r="368" spans="2:10" x14ac:dyDescent="0.25">
      <c r="B368" s="1410" t="s">
        <v>683</v>
      </c>
      <c r="C368" s="1411">
        <v>2060</v>
      </c>
      <c r="D368" s="1410">
        <v>1721000</v>
      </c>
      <c r="E368" s="1412">
        <v>1293000</v>
      </c>
      <c r="F368" s="1413">
        <v>15050</v>
      </c>
      <c r="G368" s="1410">
        <v>125.08</v>
      </c>
      <c r="H368" s="1412">
        <v>0.20477100000000001</v>
      </c>
      <c r="I368" s="1412">
        <v>1.7827000000000001E-3</v>
      </c>
      <c r="J368" s="1413">
        <v>129.82</v>
      </c>
    </row>
    <row r="369" spans="2:10" x14ac:dyDescent="0.25">
      <c r="B369" s="1410" t="s">
        <v>698</v>
      </c>
      <c r="C369" s="1411">
        <v>2060</v>
      </c>
      <c r="D369" s="1410">
        <v>1721000</v>
      </c>
      <c r="E369" s="1412">
        <v>1293000</v>
      </c>
      <c r="F369" s="1413">
        <v>15050</v>
      </c>
      <c r="G369" s="1410">
        <v>125.08</v>
      </c>
      <c r="H369" s="1412">
        <v>0.20477100000000001</v>
      </c>
      <c r="I369" s="1412">
        <v>1.7827000000000001E-3</v>
      </c>
      <c r="J369" s="1413">
        <v>129.82</v>
      </c>
    </row>
    <row r="370" spans="2:10" x14ac:dyDescent="0.25">
      <c r="B370" s="1410" t="s">
        <v>684</v>
      </c>
      <c r="C370" s="1411">
        <v>2060</v>
      </c>
      <c r="D370" s="1410">
        <v>1721000</v>
      </c>
      <c r="E370" s="1412">
        <v>1293000</v>
      </c>
      <c r="F370" s="1413">
        <v>15050</v>
      </c>
      <c r="G370" s="1410">
        <v>125.08</v>
      </c>
      <c r="H370" s="1412">
        <v>0.20477100000000001</v>
      </c>
      <c r="I370" s="1412">
        <v>1.7827000000000001E-3</v>
      </c>
      <c r="J370" s="1413">
        <v>129.82</v>
      </c>
    </row>
    <row r="371" spans="2:10" x14ac:dyDescent="0.25">
      <c r="B371" s="1410" t="s">
        <v>1087</v>
      </c>
      <c r="C371" s="1411">
        <v>2060</v>
      </c>
      <c r="D371" s="1410">
        <v>1022000</v>
      </c>
      <c r="E371" s="1412">
        <v>1021000</v>
      </c>
      <c r="F371" s="1413">
        <v>15510</v>
      </c>
      <c r="G371" s="1410">
        <v>1.6964999999999999</v>
      </c>
      <c r="H371" s="1412">
        <v>0.14096238999999999</v>
      </c>
      <c r="I371" s="1412">
        <v>3.2765999999999998E-5</v>
      </c>
      <c r="J371" s="1413">
        <v>5.9536999999999995</v>
      </c>
    </row>
    <row r="372" spans="2:10" x14ac:dyDescent="0.25">
      <c r="B372" s="1410" t="s">
        <v>716</v>
      </c>
      <c r="C372" s="1411">
        <v>2060</v>
      </c>
      <c r="D372" s="1410">
        <v>1022000</v>
      </c>
      <c r="E372" s="1412">
        <v>1021000</v>
      </c>
      <c r="F372" s="1413">
        <v>15510</v>
      </c>
      <c r="G372" s="1410">
        <v>1.6964999999999999</v>
      </c>
      <c r="H372" s="1412">
        <v>0.14096238999999999</v>
      </c>
      <c r="I372" s="1412">
        <v>3.2765999999999998E-5</v>
      </c>
      <c r="J372" s="1413">
        <v>5.9536999999999995</v>
      </c>
    </row>
    <row r="373" spans="2:10" x14ac:dyDescent="0.25">
      <c r="B373" s="1410" t="s">
        <v>717</v>
      </c>
      <c r="C373" s="1411">
        <v>2060</v>
      </c>
      <c r="D373" s="1410">
        <v>1022000</v>
      </c>
      <c r="E373" s="1412">
        <v>1021000</v>
      </c>
      <c r="F373" s="1413">
        <v>15510</v>
      </c>
      <c r="G373" s="1410">
        <v>1.6964999999999999</v>
      </c>
      <c r="H373" s="1412">
        <v>0.14096238999999999</v>
      </c>
      <c r="I373" s="1412">
        <v>3.2765999999999998E-5</v>
      </c>
      <c r="J373" s="1413">
        <v>5.9536999999999995</v>
      </c>
    </row>
    <row r="374" spans="2:10" x14ac:dyDescent="0.25">
      <c r="B374" s="1410" t="s">
        <v>912</v>
      </c>
      <c r="C374" s="1411">
        <v>2060</v>
      </c>
      <c r="D374" s="1410">
        <v>1209000</v>
      </c>
      <c r="E374" s="1412">
        <v>1202000</v>
      </c>
      <c r="F374" s="1413">
        <v>1052000</v>
      </c>
      <c r="G374" s="1410">
        <v>17.969000000000001</v>
      </c>
      <c r="H374" s="1412">
        <v>0.164128</v>
      </c>
      <c r="I374" s="1412">
        <v>2.9025999999999998E-4</v>
      </c>
      <c r="J374" s="1413">
        <v>22.988</v>
      </c>
    </row>
    <row r="375" spans="2:10" x14ac:dyDescent="0.25">
      <c r="B375" s="1410" t="s">
        <v>910</v>
      </c>
      <c r="C375" s="1411">
        <v>2060</v>
      </c>
      <c r="D375" s="1410">
        <v>1585000</v>
      </c>
      <c r="E375" s="1412">
        <v>696300</v>
      </c>
      <c r="F375" s="1413">
        <v>286000</v>
      </c>
      <c r="G375" s="1410">
        <v>38.049999999999997</v>
      </c>
      <c r="H375" s="1412">
        <v>0.1118</v>
      </c>
      <c r="I375" s="1412">
        <v>2.5350000000000001E-2</v>
      </c>
      <c r="J375" s="1413">
        <v>45.19</v>
      </c>
    </row>
    <row r="376" spans="2:10" x14ac:dyDescent="0.25">
      <c r="B376" s="1410" t="s">
        <v>913</v>
      </c>
      <c r="C376" s="1411">
        <v>2060</v>
      </c>
      <c r="D376" s="1410">
        <v>1249000</v>
      </c>
      <c r="E376" s="1412">
        <v>1242000</v>
      </c>
      <c r="F376" s="1413">
        <v>1078000</v>
      </c>
      <c r="G376" s="1410">
        <v>23.84</v>
      </c>
      <c r="H376" s="1412">
        <v>0.16985799999999998</v>
      </c>
      <c r="I376" s="1412">
        <v>3.7813000000000001E-4</v>
      </c>
      <c r="J376" s="1413">
        <v>29.157000000000004</v>
      </c>
    </row>
    <row r="377" spans="2:10" x14ac:dyDescent="0.25">
      <c r="B377" s="1410" t="s">
        <v>1081</v>
      </c>
      <c r="C377" s="1411">
        <v>2060</v>
      </c>
      <c r="D377" s="1410">
        <v>1190000</v>
      </c>
      <c r="E377" s="1412">
        <v>51590</v>
      </c>
      <c r="F377" s="1413">
        <v>29220</v>
      </c>
      <c r="G377" s="1410">
        <v>3.7582</v>
      </c>
      <c r="H377" s="1412">
        <v>8.4366999999999984E-3</v>
      </c>
      <c r="I377" s="1412">
        <v>-3.8261190000000002E-3</v>
      </c>
      <c r="J377" s="1413">
        <v>3.0054000000000003</v>
      </c>
    </row>
    <row r="378" spans="2:10" x14ac:dyDescent="0.25">
      <c r="B378" s="1410" t="s">
        <v>815</v>
      </c>
      <c r="C378" s="1411">
        <v>2060</v>
      </c>
      <c r="D378" s="1410">
        <v>1190000</v>
      </c>
      <c r="E378" s="1412">
        <v>51590</v>
      </c>
      <c r="F378" s="1413">
        <v>29220</v>
      </c>
      <c r="G378" s="1410">
        <v>3.7582</v>
      </c>
      <c r="H378" s="1412">
        <v>8.4366999999999984E-3</v>
      </c>
      <c r="I378" s="1412">
        <v>-3.8261190000000002E-3</v>
      </c>
      <c r="J378" s="1413">
        <v>3.0054000000000003</v>
      </c>
    </row>
    <row r="379" spans="2:10" x14ac:dyDescent="0.25">
      <c r="B379" s="1410" t="s">
        <v>824</v>
      </c>
      <c r="C379" s="1411">
        <v>2060</v>
      </c>
      <c r="D379" s="1410">
        <v>1190000</v>
      </c>
      <c r="E379" s="1412">
        <v>51590</v>
      </c>
      <c r="F379" s="1413">
        <v>29220</v>
      </c>
      <c r="G379" s="1410">
        <v>3.7582</v>
      </c>
      <c r="H379" s="1412">
        <v>8.4366999999999984E-3</v>
      </c>
      <c r="I379" s="1412">
        <v>-3.8261190000000002E-3</v>
      </c>
      <c r="J379" s="1413">
        <v>3.0054000000000003</v>
      </c>
    </row>
    <row r="380" spans="2:10" ht="13" thickBot="1" x14ac:dyDescent="0.3">
      <c r="B380" s="1414" t="s">
        <v>1088</v>
      </c>
      <c r="C380" s="1415">
        <v>2060</v>
      </c>
      <c r="D380" s="1414">
        <v>1384000</v>
      </c>
      <c r="E380" s="1416">
        <v>1383000</v>
      </c>
      <c r="F380" s="1417">
        <v>5034</v>
      </c>
      <c r="G380" s="1414">
        <v>78.571100000000001</v>
      </c>
      <c r="H380" s="1416">
        <v>0.27494000000000002</v>
      </c>
      <c r="I380" s="1416">
        <v>2.3304000000000003E-3</v>
      </c>
      <c r="J380" s="1417">
        <v>87.594300000000004</v>
      </c>
    </row>
    <row r="381" spans="2:10" x14ac:dyDescent="0.25">
      <c r="B381" s="1406" t="s">
        <v>1085</v>
      </c>
      <c r="C381" s="1407">
        <v>2065</v>
      </c>
      <c r="D381" s="1406">
        <v>1092000</v>
      </c>
      <c r="E381" s="1408">
        <v>1092000</v>
      </c>
      <c r="F381" s="1409">
        <v>3971</v>
      </c>
      <c r="G381" s="1406">
        <v>5.7390999999999996</v>
      </c>
      <c r="H381" s="1408">
        <v>0.18462200000000001</v>
      </c>
      <c r="I381" s="1408">
        <v>8.61E-4</v>
      </c>
      <c r="J381" s="1409">
        <v>11.5648</v>
      </c>
    </row>
    <row r="382" spans="2:10" x14ac:dyDescent="0.25">
      <c r="B382" s="1410" t="s">
        <v>283</v>
      </c>
      <c r="C382" s="1411">
        <v>2065</v>
      </c>
      <c r="D382" s="1410">
        <v>1092000</v>
      </c>
      <c r="E382" s="1412">
        <v>1092000</v>
      </c>
      <c r="F382" s="1413">
        <v>3971</v>
      </c>
      <c r="G382" s="1410">
        <v>5.7390999999999996</v>
      </c>
      <c r="H382" s="1412">
        <v>0.18462200000000001</v>
      </c>
      <c r="I382" s="1412">
        <v>8.61E-4</v>
      </c>
      <c r="J382" s="1413">
        <v>11.5648</v>
      </c>
    </row>
    <row r="383" spans="2:10" x14ac:dyDescent="0.25">
      <c r="B383" s="1410" t="s">
        <v>1086</v>
      </c>
      <c r="C383" s="1411">
        <v>2065</v>
      </c>
      <c r="D383" s="1410">
        <v>1092000</v>
      </c>
      <c r="E383" s="1412">
        <v>1092000</v>
      </c>
      <c r="F383" s="1413">
        <v>3971</v>
      </c>
      <c r="G383" s="1410">
        <v>5.7390999999999996</v>
      </c>
      <c r="H383" s="1412">
        <v>0.18462200000000001</v>
      </c>
      <c r="I383" s="1412">
        <v>8.61E-4</v>
      </c>
      <c r="J383" s="1413">
        <v>11.5648</v>
      </c>
    </row>
    <row r="384" spans="2:10" x14ac:dyDescent="0.25">
      <c r="B384" s="1410" t="s">
        <v>681</v>
      </c>
      <c r="C384" s="1411">
        <v>2065</v>
      </c>
      <c r="D384" s="1410">
        <v>1092000</v>
      </c>
      <c r="E384" s="1412">
        <v>1092000</v>
      </c>
      <c r="F384" s="1413">
        <v>3971</v>
      </c>
      <c r="G384" s="1410">
        <v>5.7390999999999996</v>
      </c>
      <c r="H384" s="1412">
        <v>0.18462200000000001</v>
      </c>
      <c r="I384" s="1412">
        <v>8.61E-4</v>
      </c>
      <c r="J384" s="1413">
        <v>11.5648</v>
      </c>
    </row>
    <row r="385" spans="2:10" x14ac:dyDescent="0.25">
      <c r="B385" s="1410" t="s">
        <v>682</v>
      </c>
      <c r="C385" s="1411">
        <v>2065</v>
      </c>
      <c r="D385" s="1410">
        <v>-1185000</v>
      </c>
      <c r="E385" s="1412">
        <v>0</v>
      </c>
      <c r="F385" s="1413">
        <v>0</v>
      </c>
      <c r="G385" s="1410">
        <v>-85.800000000000011</v>
      </c>
      <c r="H385" s="1412">
        <v>0.54700000000000004</v>
      </c>
      <c r="I385" s="1412">
        <v>-1.8286999999999999E-3</v>
      </c>
      <c r="J385" s="1413">
        <v>-70.08</v>
      </c>
    </row>
    <row r="386" spans="2:10" x14ac:dyDescent="0.25">
      <c r="B386" s="1410" t="s">
        <v>683</v>
      </c>
      <c r="C386" s="1411">
        <v>2065</v>
      </c>
      <c r="D386" s="1410">
        <v>1721000</v>
      </c>
      <c r="E386" s="1412">
        <v>1293000</v>
      </c>
      <c r="F386" s="1413">
        <v>15050</v>
      </c>
      <c r="G386" s="1410">
        <v>125.08</v>
      </c>
      <c r="H386" s="1412">
        <v>0.20477100000000001</v>
      </c>
      <c r="I386" s="1412">
        <v>1.7827000000000001E-3</v>
      </c>
      <c r="J386" s="1413">
        <v>129.82</v>
      </c>
    </row>
    <row r="387" spans="2:10" x14ac:dyDescent="0.25">
      <c r="B387" s="1410" t="s">
        <v>698</v>
      </c>
      <c r="C387" s="1411">
        <v>2065</v>
      </c>
      <c r="D387" s="1410">
        <v>1721000</v>
      </c>
      <c r="E387" s="1412">
        <v>1293000</v>
      </c>
      <c r="F387" s="1413">
        <v>15050</v>
      </c>
      <c r="G387" s="1410">
        <v>125.08</v>
      </c>
      <c r="H387" s="1412">
        <v>0.20477100000000001</v>
      </c>
      <c r="I387" s="1412">
        <v>1.7827000000000001E-3</v>
      </c>
      <c r="J387" s="1413">
        <v>129.82</v>
      </c>
    </row>
    <row r="388" spans="2:10" x14ac:dyDescent="0.25">
      <c r="B388" s="1410" t="s">
        <v>684</v>
      </c>
      <c r="C388" s="1411">
        <v>2065</v>
      </c>
      <c r="D388" s="1410">
        <v>1721000</v>
      </c>
      <c r="E388" s="1412">
        <v>1293000</v>
      </c>
      <c r="F388" s="1413">
        <v>15050</v>
      </c>
      <c r="G388" s="1410">
        <v>125.08</v>
      </c>
      <c r="H388" s="1412">
        <v>0.20477100000000001</v>
      </c>
      <c r="I388" s="1412">
        <v>1.7827000000000001E-3</v>
      </c>
      <c r="J388" s="1413">
        <v>129.82</v>
      </c>
    </row>
    <row r="389" spans="2:10" x14ac:dyDescent="0.25">
      <c r="B389" s="1410" t="s">
        <v>1087</v>
      </c>
      <c r="C389" s="1411">
        <v>2065</v>
      </c>
      <c r="D389" s="1410">
        <v>1022000</v>
      </c>
      <c r="E389" s="1412">
        <v>1021000</v>
      </c>
      <c r="F389" s="1413">
        <v>15510</v>
      </c>
      <c r="G389" s="1410">
        <v>1.6964999999999999</v>
      </c>
      <c r="H389" s="1412">
        <v>0.14096238999999999</v>
      </c>
      <c r="I389" s="1412">
        <v>3.2765999999999998E-5</v>
      </c>
      <c r="J389" s="1413">
        <v>5.9536999999999995</v>
      </c>
    </row>
    <row r="390" spans="2:10" x14ac:dyDescent="0.25">
      <c r="B390" s="1410" t="s">
        <v>716</v>
      </c>
      <c r="C390" s="1411">
        <v>2065</v>
      </c>
      <c r="D390" s="1410">
        <v>1022000</v>
      </c>
      <c r="E390" s="1412">
        <v>1021000</v>
      </c>
      <c r="F390" s="1413">
        <v>15510</v>
      </c>
      <c r="G390" s="1410">
        <v>1.6964999999999999</v>
      </c>
      <c r="H390" s="1412">
        <v>0.14096238999999999</v>
      </c>
      <c r="I390" s="1412">
        <v>3.2765999999999998E-5</v>
      </c>
      <c r="J390" s="1413">
        <v>5.9536999999999995</v>
      </c>
    </row>
    <row r="391" spans="2:10" x14ac:dyDescent="0.25">
      <c r="B391" s="1410" t="s">
        <v>717</v>
      </c>
      <c r="C391" s="1411">
        <v>2065</v>
      </c>
      <c r="D391" s="1410">
        <v>1022000</v>
      </c>
      <c r="E391" s="1412">
        <v>1021000</v>
      </c>
      <c r="F391" s="1413">
        <v>15510</v>
      </c>
      <c r="G391" s="1410">
        <v>1.6964999999999999</v>
      </c>
      <c r="H391" s="1412">
        <v>0.14096238999999999</v>
      </c>
      <c r="I391" s="1412">
        <v>3.2765999999999998E-5</v>
      </c>
      <c r="J391" s="1413">
        <v>5.9536999999999995</v>
      </c>
    </row>
    <row r="392" spans="2:10" x14ac:dyDescent="0.25">
      <c r="B392" s="1410" t="s">
        <v>912</v>
      </c>
      <c r="C392" s="1411">
        <v>2065</v>
      </c>
      <c r="D392" s="1410">
        <v>1209000</v>
      </c>
      <c r="E392" s="1412">
        <v>1202000</v>
      </c>
      <c r="F392" s="1413">
        <v>1052000</v>
      </c>
      <c r="G392" s="1410">
        <v>17.969000000000001</v>
      </c>
      <c r="H392" s="1412">
        <v>0.164128</v>
      </c>
      <c r="I392" s="1412">
        <v>2.9025999999999998E-4</v>
      </c>
      <c r="J392" s="1413">
        <v>22.988</v>
      </c>
    </row>
    <row r="393" spans="2:10" x14ac:dyDescent="0.25">
      <c r="B393" s="1410" t="s">
        <v>910</v>
      </c>
      <c r="C393" s="1411">
        <v>2065</v>
      </c>
      <c r="D393" s="1410">
        <v>1585000</v>
      </c>
      <c r="E393" s="1412">
        <v>696300</v>
      </c>
      <c r="F393" s="1413">
        <v>286000</v>
      </c>
      <c r="G393" s="1410">
        <v>38.049999999999997</v>
      </c>
      <c r="H393" s="1412">
        <v>0.1118</v>
      </c>
      <c r="I393" s="1412">
        <v>2.5350000000000001E-2</v>
      </c>
      <c r="J393" s="1413">
        <v>45.19</v>
      </c>
    </row>
    <row r="394" spans="2:10" x14ac:dyDescent="0.25">
      <c r="B394" s="1410" t="s">
        <v>913</v>
      </c>
      <c r="C394" s="1411">
        <v>2065</v>
      </c>
      <c r="D394" s="1410">
        <v>1249000</v>
      </c>
      <c r="E394" s="1412">
        <v>1242000</v>
      </c>
      <c r="F394" s="1413">
        <v>1078000</v>
      </c>
      <c r="G394" s="1410">
        <v>23.84</v>
      </c>
      <c r="H394" s="1412">
        <v>0.16985799999999998</v>
      </c>
      <c r="I394" s="1412">
        <v>3.7813000000000001E-4</v>
      </c>
      <c r="J394" s="1413">
        <v>29.157000000000004</v>
      </c>
    </row>
    <row r="395" spans="2:10" x14ac:dyDescent="0.25">
      <c r="B395" s="1410" t="s">
        <v>1081</v>
      </c>
      <c r="C395" s="1411">
        <v>2065</v>
      </c>
      <c r="D395" s="1410">
        <v>1190000</v>
      </c>
      <c r="E395" s="1412">
        <v>51590</v>
      </c>
      <c r="F395" s="1413">
        <v>29220</v>
      </c>
      <c r="G395" s="1410">
        <v>3.7582</v>
      </c>
      <c r="H395" s="1412">
        <v>8.4366999999999984E-3</v>
      </c>
      <c r="I395" s="1412">
        <v>-3.8261190000000002E-3</v>
      </c>
      <c r="J395" s="1413">
        <v>3.0054000000000003</v>
      </c>
    </row>
    <row r="396" spans="2:10" x14ac:dyDescent="0.25">
      <c r="B396" s="1410" t="s">
        <v>815</v>
      </c>
      <c r="C396" s="1411">
        <v>2065</v>
      </c>
      <c r="D396" s="1410">
        <v>1190000</v>
      </c>
      <c r="E396" s="1412">
        <v>51590</v>
      </c>
      <c r="F396" s="1413">
        <v>29220</v>
      </c>
      <c r="G396" s="1410">
        <v>3.7582</v>
      </c>
      <c r="H396" s="1412">
        <v>8.4366999999999984E-3</v>
      </c>
      <c r="I396" s="1412">
        <v>-3.8261190000000002E-3</v>
      </c>
      <c r="J396" s="1413">
        <v>3.0054000000000003</v>
      </c>
    </row>
    <row r="397" spans="2:10" x14ac:dyDescent="0.25">
      <c r="B397" s="1410" t="s">
        <v>824</v>
      </c>
      <c r="C397" s="1411">
        <v>2065</v>
      </c>
      <c r="D397" s="1410">
        <v>1190000</v>
      </c>
      <c r="E397" s="1412">
        <v>51590</v>
      </c>
      <c r="F397" s="1413">
        <v>29220</v>
      </c>
      <c r="G397" s="1410">
        <v>3.7582</v>
      </c>
      <c r="H397" s="1412">
        <v>8.4366999999999984E-3</v>
      </c>
      <c r="I397" s="1412">
        <v>-3.8261190000000002E-3</v>
      </c>
      <c r="J397" s="1413">
        <v>3.0054000000000003</v>
      </c>
    </row>
    <row r="398" spans="2:10" ht="13" thickBot="1" x14ac:dyDescent="0.3">
      <c r="B398" s="1414" t="s">
        <v>1088</v>
      </c>
      <c r="C398" s="1415">
        <v>2065</v>
      </c>
      <c r="D398" s="1414">
        <v>1384000</v>
      </c>
      <c r="E398" s="1416">
        <v>1383000</v>
      </c>
      <c r="F398" s="1417">
        <v>5034</v>
      </c>
      <c r="G398" s="1414">
        <v>78.571100000000001</v>
      </c>
      <c r="H398" s="1416">
        <v>0.27494000000000002</v>
      </c>
      <c r="I398" s="1416">
        <v>2.3304000000000003E-3</v>
      </c>
      <c r="J398" s="1417">
        <v>87.594300000000004</v>
      </c>
    </row>
    <row r="399" spans="2:10" x14ac:dyDescent="0.25">
      <c r="B399" s="1406" t="s">
        <v>1085</v>
      </c>
      <c r="C399" s="1407">
        <v>2070</v>
      </c>
      <c r="D399" s="1406">
        <v>1092000</v>
      </c>
      <c r="E399" s="1408">
        <v>1092000</v>
      </c>
      <c r="F399" s="1409">
        <v>3971</v>
      </c>
      <c r="G399" s="1406">
        <v>5.7390999999999996</v>
      </c>
      <c r="H399" s="1408">
        <v>0.18462200000000001</v>
      </c>
      <c r="I399" s="1408">
        <v>8.61E-4</v>
      </c>
      <c r="J399" s="1409">
        <v>11.5648</v>
      </c>
    </row>
    <row r="400" spans="2:10" x14ac:dyDescent="0.25">
      <c r="B400" s="1410" t="s">
        <v>283</v>
      </c>
      <c r="C400" s="1411">
        <v>2070</v>
      </c>
      <c r="D400" s="1410">
        <v>1092000</v>
      </c>
      <c r="E400" s="1412">
        <v>1092000</v>
      </c>
      <c r="F400" s="1413">
        <v>3971</v>
      </c>
      <c r="G400" s="1410">
        <v>5.7390999999999996</v>
      </c>
      <c r="H400" s="1412">
        <v>0.18462200000000001</v>
      </c>
      <c r="I400" s="1412">
        <v>8.61E-4</v>
      </c>
      <c r="J400" s="1413">
        <v>11.5648</v>
      </c>
    </row>
    <row r="401" spans="2:10" x14ac:dyDescent="0.25">
      <c r="B401" s="1410" t="s">
        <v>1086</v>
      </c>
      <c r="C401" s="1411">
        <v>2070</v>
      </c>
      <c r="D401" s="1410">
        <v>1092000</v>
      </c>
      <c r="E401" s="1412">
        <v>1092000</v>
      </c>
      <c r="F401" s="1413">
        <v>3971</v>
      </c>
      <c r="G401" s="1410">
        <v>5.7390999999999996</v>
      </c>
      <c r="H401" s="1412">
        <v>0.18462200000000001</v>
      </c>
      <c r="I401" s="1412">
        <v>8.61E-4</v>
      </c>
      <c r="J401" s="1413">
        <v>11.5648</v>
      </c>
    </row>
    <row r="402" spans="2:10" x14ac:dyDescent="0.25">
      <c r="B402" s="1410" t="s">
        <v>681</v>
      </c>
      <c r="C402" s="1411">
        <v>2070</v>
      </c>
      <c r="D402" s="1410">
        <v>1092000</v>
      </c>
      <c r="E402" s="1412">
        <v>1092000</v>
      </c>
      <c r="F402" s="1413">
        <v>3971</v>
      </c>
      <c r="G402" s="1410">
        <v>5.7390999999999996</v>
      </c>
      <c r="H402" s="1412">
        <v>0.18462200000000001</v>
      </c>
      <c r="I402" s="1412">
        <v>8.61E-4</v>
      </c>
      <c r="J402" s="1413">
        <v>11.5648</v>
      </c>
    </row>
    <row r="403" spans="2:10" x14ac:dyDescent="0.25">
      <c r="B403" s="1410" t="s">
        <v>682</v>
      </c>
      <c r="C403" s="1411">
        <v>2070</v>
      </c>
      <c r="D403" s="1410">
        <v>-1185000</v>
      </c>
      <c r="E403" s="1412">
        <v>0</v>
      </c>
      <c r="F403" s="1413">
        <v>0</v>
      </c>
      <c r="G403" s="1410">
        <v>-85.800000000000011</v>
      </c>
      <c r="H403" s="1412">
        <v>0.54700000000000004</v>
      </c>
      <c r="I403" s="1412">
        <v>-1.8286999999999999E-3</v>
      </c>
      <c r="J403" s="1413">
        <v>-70.08</v>
      </c>
    </row>
    <row r="404" spans="2:10" x14ac:dyDescent="0.25">
      <c r="B404" s="1410" t="s">
        <v>683</v>
      </c>
      <c r="C404" s="1411">
        <v>2070</v>
      </c>
      <c r="D404" s="1410">
        <v>1721000</v>
      </c>
      <c r="E404" s="1412">
        <v>1293000</v>
      </c>
      <c r="F404" s="1413">
        <v>15050</v>
      </c>
      <c r="G404" s="1410">
        <v>125.08</v>
      </c>
      <c r="H404" s="1412">
        <v>0.20477100000000001</v>
      </c>
      <c r="I404" s="1412">
        <v>1.7827000000000001E-3</v>
      </c>
      <c r="J404" s="1413">
        <v>129.82</v>
      </c>
    </row>
    <row r="405" spans="2:10" x14ac:dyDescent="0.25">
      <c r="B405" s="1410" t="s">
        <v>698</v>
      </c>
      <c r="C405" s="1411">
        <v>2070</v>
      </c>
      <c r="D405" s="1410">
        <v>1721000</v>
      </c>
      <c r="E405" s="1412">
        <v>1293000</v>
      </c>
      <c r="F405" s="1413">
        <v>15050</v>
      </c>
      <c r="G405" s="1410">
        <v>125.08</v>
      </c>
      <c r="H405" s="1412">
        <v>0.20477100000000001</v>
      </c>
      <c r="I405" s="1412">
        <v>1.7827000000000001E-3</v>
      </c>
      <c r="J405" s="1413">
        <v>129.82</v>
      </c>
    </row>
    <row r="406" spans="2:10" x14ac:dyDescent="0.25">
      <c r="B406" s="1410" t="s">
        <v>684</v>
      </c>
      <c r="C406" s="1411">
        <v>2070</v>
      </c>
      <c r="D406" s="1410">
        <v>1721000</v>
      </c>
      <c r="E406" s="1412">
        <v>1293000</v>
      </c>
      <c r="F406" s="1413">
        <v>15050</v>
      </c>
      <c r="G406" s="1410">
        <v>125.08</v>
      </c>
      <c r="H406" s="1412">
        <v>0.20477100000000001</v>
      </c>
      <c r="I406" s="1412">
        <v>1.7827000000000001E-3</v>
      </c>
      <c r="J406" s="1413">
        <v>129.82</v>
      </c>
    </row>
    <row r="407" spans="2:10" x14ac:dyDescent="0.25">
      <c r="B407" s="1410" t="s">
        <v>1087</v>
      </c>
      <c r="C407" s="1411">
        <v>2070</v>
      </c>
      <c r="D407" s="1410">
        <v>1022000</v>
      </c>
      <c r="E407" s="1412">
        <v>1021000</v>
      </c>
      <c r="F407" s="1413">
        <v>15510</v>
      </c>
      <c r="G407" s="1410">
        <v>1.6964999999999999</v>
      </c>
      <c r="H407" s="1412">
        <v>0.14096238999999999</v>
      </c>
      <c r="I407" s="1412">
        <v>3.2765999999999998E-5</v>
      </c>
      <c r="J407" s="1413">
        <v>5.9536999999999995</v>
      </c>
    </row>
    <row r="408" spans="2:10" x14ac:dyDescent="0.25">
      <c r="B408" s="1410" t="s">
        <v>716</v>
      </c>
      <c r="C408" s="1411">
        <v>2070</v>
      </c>
      <c r="D408" s="1410">
        <v>1022000</v>
      </c>
      <c r="E408" s="1412">
        <v>1021000</v>
      </c>
      <c r="F408" s="1413">
        <v>15510</v>
      </c>
      <c r="G408" s="1410">
        <v>1.6964999999999999</v>
      </c>
      <c r="H408" s="1412">
        <v>0.14096238999999999</v>
      </c>
      <c r="I408" s="1412">
        <v>3.2765999999999998E-5</v>
      </c>
      <c r="J408" s="1413">
        <v>5.9536999999999995</v>
      </c>
    </row>
    <row r="409" spans="2:10" x14ac:dyDescent="0.25">
      <c r="B409" s="1410" t="s">
        <v>717</v>
      </c>
      <c r="C409" s="1411">
        <v>2070</v>
      </c>
      <c r="D409" s="1410">
        <v>1022000</v>
      </c>
      <c r="E409" s="1412">
        <v>1021000</v>
      </c>
      <c r="F409" s="1413">
        <v>15510</v>
      </c>
      <c r="G409" s="1410">
        <v>1.6964999999999999</v>
      </c>
      <c r="H409" s="1412">
        <v>0.14096238999999999</v>
      </c>
      <c r="I409" s="1412">
        <v>3.2765999999999998E-5</v>
      </c>
      <c r="J409" s="1413">
        <v>5.9536999999999995</v>
      </c>
    </row>
    <row r="410" spans="2:10" x14ac:dyDescent="0.25">
      <c r="B410" s="1410" t="s">
        <v>912</v>
      </c>
      <c r="C410" s="1411">
        <v>2070</v>
      </c>
      <c r="D410" s="1410">
        <v>1209000</v>
      </c>
      <c r="E410" s="1412">
        <v>1202000</v>
      </c>
      <c r="F410" s="1413">
        <v>1052000</v>
      </c>
      <c r="G410" s="1410">
        <v>17.969000000000001</v>
      </c>
      <c r="H410" s="1412">
        <v>0.164128</v>
      </c>
      <c r="I410" s="1412">
        <v>2.9025999999999998E-4</v>
      </c>
      <c r="J410" s="1413">
        <v>22.988</v>
      </c>
    </row>
    <row r="411" spans="2:10" x14ac:dyDescent="0.25">
      <c r="B411" s="1410" t="s">
        <v>910</v>
      </c>
      <c r="C411" s="1411">
        <v>2070</v>
      </c>
      <c r="D411" s="1410">
        <v>1585000</v>
      </c>
      <c r="E411" s="1412">
        <v>696300</v>
      </c>
      <c r="F411" s="1413">
        <v>286000</v>
      </c>
      <c r="G411" s="1410">
        <v>38.049999999999997</v>
      </c>
      <c r="H411" s="1412">
        <v>0.1118</v>
      </c>
      <c r="I411" s="1412">
        <v>2.5350000000000001E-2</v>
      </c>
      <c r="J411" s="1413">
        <v>45.19</v>
      </c>
    </row>
    <row r="412" spans="2:10" x14ac:dyDescent="0.25">
      <c r="B412" s="1410" t="s">
        <v>913</v>
      </c>
      <c r="C412" s="1411">
        <v>2070</v>
      </c>
      <c r="D412" s="1410">
        <v>1249000</v>
      </c>
      <c r="E412" s="1412">
        <v>1242000</v>
      </c>
      <c r="F412" s="1413">
        <v>1078000</v>
      </c>
      <c r="G412" s="1410">
        <v>23.84</v>
      </c>
      <c r="H412" s="1412">
        <v>0.16985799999999998</v>
      </c>
      <c r="I412" s="1412">
        <v>3.7813000000000001E-4</v>
      </c>
      <c r="J412" s="1413">
        <v>29.157000000000004</v>
      </c>
    </row>
    <row r="413" spans="2:10" x14ac:dyDescent="0.25">
      <c r="B413" s="1410" t="s">
        <v>1081</v>
      </c>
      <c r="C413" s="1411">
        <v>2070</v>
      </c>
      <c r="D413" s="1410">
        <v>1190000</v>
      </c>
      <c r="E413" s="1412">
        <v>51590</v>
      </c>
      <c r="F413" s="1413">
        <v>29220</v>
      </c>
      <c r="G413" s="1410">
        <v>3.7582</v>
      </c>
      <c r="H413" s="1412">
        <v>8.4366999999999984E-3</v>
      </c>
      <c r="I413" s="1412">
        <v>-3.8261190000000002E-3</v>
      </c>
      <c r="J413" s="1413">
        <v>3.0054000000000003</v>
      </c>
    </row>
    <row r="414" spans="2:10" x14ac:dyDescent="0.25">
      <c r="B414" s="1410" t="s">
        <v>815</v>
      </c>
      <c r="C414" s="1411">
        <v>2070</v>
      </c>
      <c r="D414" s="1410">
        <v>1190000</v>
      </c>
      <c r="E414" s="1412">
        <v>51590</v>
      </c>
      <c r="F414" s="1413">
        <v>29220</v>
      </c>
      <c r="G414" s="1410">
        <v>3.7582</v>
      </c>
      <c r="H414" s="1412">
        <v>8.4366999999999984E-3</v>
      </c>
      <c r="I414" s="1412">
        <v>-3.8261190000000002E-3</v>
      </c>
      <c r="J414" s="1413">
        <v>3.0054000000000003</v>
      </c>
    </row>
    <row r="415" spans="2:10" x14ac:dyDescent="0.25">
      <c r="B415" s="1410" t="s">
        <v>824</v>
      </c>
      <c r="C415" s="1411">
        <v>2070</v>
      </c>
      <c r="D415" s="1410">
        <v>1190000</v>
      </c>
      <c r="E415" s="1412">
        <v>51590</v>
      </c>
      <c r="F415" s="1413">
        <v>29220</v>
      </c>
      <c r="G415" s="1410">
        <v>3.7582</v>
      </c>
      <c r="H415" s="1412">
        <v>8.4366999999999984E-3</v>
      </c>
      <c r="I415" s="1412">
        <v>-3.8261190000000002E-3</v>
      </c>
      <c r="J415" s="1413">
        <v>3.0054000000000003</v>
      </c>
    </row>
    <row r="416" spans="2:10" ht="13" thickBot="1" x14ac:dyDescent="0.3">
      <c r="B416" s="1414" t="s">
        <v>1088</v>
      </c>
      <c r="C416" s="1415">
        <v>2070</v>
      </c>
      <c r="D416" s="1414">
        <v>1384000</v>
      </c>
      <c r="E416" s="1416">
        <v>1383000</v>
      </c>
      <c r="F416" s="1417">
        <v>5034</v>
      </c>
      <c r="G416" s="1414">
        <v>78.571100000000001</v>
      </c>
      <c r="H416" s="1416">
        <v>0.27494000000000002</v>
      </c>
      <c r="I416" s="1416">
        <v>2.3304000000000003E-3</v>
      </c>
      <c r="J416" s="1417">
        <v>87.594300000000004</v>
      </c>
    </row>
    <row r="417" spans="2:10" x14ac:dyDescent="0.25">
      <c r="B417" s="1406" t="s">
        <v>1085</v>
      </c>
      <c r="C417" s="1407">
        <v>2075</v>
      </c>
      <c r="D417" s="1406">
        <v>1092000</v>
      </c>
      <c r="E417" s="1408">
        <v>1092000</v>
      </c>
      <c r="F417" s="1409">
        <v>3971</v>
      </c>
      <c r="G417" s="1406">
        <v>5.7390999999999996</v>
      </c>
      <c r="H417" s="1408">
        <v>0.18462200000000001</v>
      </c>
      <c r="I417" s="1408">
        <v>8.61E-4</v>
      </c>
      <c r="J417" s="1409">
        <v>11.5648</v>
      </c>
    </row>
    <row r="418" spans="2:10" x14ac:dyDescent="0.25">
      <c r="B418" s="1410" t="s">
        <v>283</v>
      </c>
      <c r="C418" s="1411">
        <v>2075</v>
      </c>
      <c r="D418" s="1410">
        <v>1092000</v>
      </c>
      <c r="E418" s="1412">
        <v>1092000</v>
      </c>
      <c r="F418" s="1413">
        <v>3971</v>
      </c>
      <c r="G418" s="1410">
        <v>5.7390999999999996</v>
      </c>
      <c r="H418" s="1412">
        <v>0.18462200000000001</v>
      </c>
      <c r="I418" s="1412">
        <v>8.61E-4</v>
      </c>
      <c r="J418" s="1413">
        <v>11.5648</v>
      </c>
    </row>
    <row r="419" spans="2:10" x14ac:dyDescent="0.25">
      <c r="B419" s="1410" t="s">
        <v>1086</v>
      </c>
      <c r="C419" s="1411">
        <v>2075</v>
      </c>
      <c r="D419" s="1410">
        <v>1092000</v>
      </c>
      <c r="E419" s="1412">
        <v>1092000</v>
      </c>
      <c r="F419" s="1413">
        <v>3971</v>
      </c>
      <c r="G419" s="1410">
        <v>5.7390999999999996</v>
      </c>
      <c r="H419" s="1412">
        <v>0.18462200000000001</v>
      </c>
      <c r="I419" s="1412">
        <v>8.61E-4</v>
      </c>
      <c r="J419" s="1413">
        <v>11.5648</v>
      </c>
    </row>
    <row r="420" spans="2:10" x14ac:dyDescent="0.25">
      <c r="B420" s="1410" t="s">
        <v>681</v>
      </c>
      <c r="C420" s="1411">
        <v>2075</v>
      </c>
      <c r="D420" s="1410">
        <v>1092000</v>
      </c>
      <c r="E420" s="1412">
        <v>1092000</v>
      </c>
      <c r="F420" s="1413">
        <v>3971</v>
      </c>
      <c r="G420" s="1410">
        <v>5.7390999999999996</v>
      </c>
      <c r="H420" s="1412">
        <v>0.18462200000000001</v>
      </c>
      <c r="I420" s="1412">
        <v>8.61E-4</v>
      </c>
      <c r="J420" s="1413">
        <v>11.5648</v>
      </c>
    </row>
    <row r="421" spans="2:10" x14ac:dyDescent="0.25">
      <c r="B421" s="1410" t="s">
        <v>682</v>
      </c>
      <c r="C421" s="1411">
        <v>2075</v>
      </c>
      <c r="D421" s="1410">
        <v>-1185000</v>
      </c>
      <c r="E421" s="1412">
        <v>0</v>
      </c>
      <c r="F421" s="1413">
        <v>0</v>
      </c>
      <c r="G421" s="1410">
        <v>-85.800000000000011</v>
      </c>
      <c r="H421" s="1412">
        <v>0.54700000000000004</v>
      </c>
      <c r="I421" s="1412">
        <v>-1.8286999999999999E-3</v>
      </c>
      <c r="J421" s="1413">
        <v>-70.08</v>
      </c>
    </row>
    <row r="422" spans="2:10" x14ac:dyDescent="0.25">
      <c r="B422" s="1410" t="s">
        <v>683</v>
      </c>
      <c r="C422" s="1411">
        <v>2075</v>
      </c>
      <c r="D422" s="1410">
        <v>1721000</v>
      </c>
      <c r="E422" s="1412">
        <v>1293000</v>
      </c>
      <c r="F422" s="1413">
        <v>15050</v>
      </c>
      <c r="G422" s="1410">
        <v>125.08</v>
      </c>
      <c r="H422" s="1412">
        <v>0.20477100000000001</v>
      </c>
      <c r="I422" s="1412">
        <v>1.7827000000000001E-3</v>
      </c>
      <c r="J422" s="1413">
        <v>129.82</v>
      </c>
    </row>
    <row r="423" spans="2:10" x14ac:dyDescent="0.25">
      <c r="B423" s="1410" t="s">
        <v>698</v>
      </c>
      <c r="C423" s="1411">
        <v>2075</v>
      </c>
      <c r="D423" s="1410">
        <v>1721000</v>
      </c>
      <c r="E423" s="1412">
        <v>1293000</v>
      </c>
      <c r="F423" s="1413">
        <v>15050</v>
      </c>
      <c r="G423" s="1410">
        <v>125.08</v>
      </c>
      <c r="H423" s="1412">
        <v>0.20477100000000001</v>
      </c>
      <c r="I423" s="1412">
        <v>1.7827000000000001E-3</v>
      </c>
      <c r="J423" s="1413">
        <v>129.82</v>
      </c>
    </row>
    <row r="424" spans="2:10" x14ac:dyDescent="0.25">
      <c r="B424" s="1410" t="s">
        <v>684</v>
      </c>
      <c r="C424" s="1411">
        <v>2075</v>
      </c>
      <c r="D424" s="1410">
        <v>1721000</v>
      </c>
      <c r="E424" s="1412">
        <v>1293000</v>
      </c>
      <c r="F424" s="1413">
        <v>15050</v>
      </c>
      <c r="G424" s="1410">
        <v>125.08</v>
      </c>
      <c r="H424" s="1412">
        <v>0.20477100000000001</v>
      </c>
      <c r="I424" s="1412">
        <v>1.7827000000000001E-3</v>
      </c>
      <c r="J424" s="1413">
        <v>129.82</v>
      </c>
    </row>
    <row r="425" spans="2:10" x14ac:dyDescent="0.25">
      <c r="B425" s="1410" t="s">
        <v>1087</v>
      </c>
      <c r="C425" s="1411">
        <v>2075</v>
      </c>
      <c r="D425" s="1410">
        <v>1022000</v>
      </c>
      <c r="E425" s="1412">
        <v>1021000</v>
      </c>
      <c r="F425" s="1413">
        <v>15510</v>
      </c>
      <c r="G425" s="1410">
        <v>1.6964999999999999</v>
      </c>
      <c r="H425" s="1412">
        <v>0.14096238999999999</v>
      </c>
      <c r="I425" s="1412">
        <v>3.2765999999999998E-5</v>
      </c>
      <c r="J425" s="1413">
        <v>5.9536999999999995</v>
      </c>
    </row>
    <row r="426" spans="2:10" x14ac:dyDescent="0.25">
      <c r="B426" s="1410" t="s">
        <v>716</v>
      </c>
      <c r="C426" s="1411">
        <v>2075</v>
      </c>
      <c r="D426" s="1410">
        <v>1022000</v>
      </c>
      <c r="E426" s="1412">
        <v>1021000</v>
      </c>
      <c r="F426" s="1413">
        <v>15510</v>
      </c>
      <c r="G426" s="1410">
        <v>1.6964999999999999</v>
      </c>
      <c r="H426" s="1412">
        <v>0.14096238999999999</v>
      </c>
      <c r="I426" s="1412">
        <v>3.2765999999999998E-5</v>
      </c>
      <c r="J426" s="1413">
        <v>5.9536999999999995</v>
      </c>
    </row>
    <row r="427" spans="2:10" x14ac:dyDescent="0.25">
      <c r="B427" s="1410" t="s">
        <v>717</v>
      </c>
      <c r="C427" s="1411">
        <v>2075</v>
      </c>
      <c r="D427" s="1410">
        <v>1022000</v>
      </c>
      <c r="E427" s="1412">
        <v>1021000</v>
      </c>
      <c r="F427" s="1413">
        <v>15510</v>
      </c>
      <c r="G427" s="1410">
        <v>1.6964999999999999</v>
      </c>
      <c r="H427" s="1412">
        <v>0.14096238999999999</v>
      </c>
      <c r="I427" s="1412">
        <v>3.2765999999999998E-5</v>
      </c>
      <c r="J427" s="1413">
        <v>5.9536999999999995</v>
      </c>
    </row>
    <row r="428" spans="2:10" x14ac:dyDescent="0.25">
      <c r="B428" s="1410" t="s">
        <v>912</v>
      </c>
      <c r="C428" s="1411">
        <v>2075</v>
      </c>
      <c r="D428" s="1410">
        <v>1209000</v>
      </c>
      <c r="E428" s="1412">
        <v>1202000</v>
      </c>
      <c r="F428" s="1413">
        <v>1052000</v>
      </c>
      <c r="G428" s="1410">
        <v>17.969000000000001</v>
      </c>
      <c r="H428" s="1412">
        <v>0.164128</v>
      </c>
      <c r="I428" s="1412">
        <v>2.9025999999999998E-4</v>
      </c>
      <c r="J428" s="1413">
        <v>22.988</v>
      </c>
    </row>
    <row r="429" spans="2:10" x14ac:dyDescent="0.25">
      <c r="B429" s="1410" t="s">
        <v>910</v>
      </c>
      <c r="C429" s="1411">
        <v>2075</v>
      </c>
      <c r="D429" s="1410">
        <v>1585000</v>
      </c>
      <c r="E429" s="1412">
        <v>696300</v>
      </c>
      <c r="F429" s="1413">
        <v>286000</v>
      </c>
      <c r="G429" s="1410">
        <v>38.049999999999997</v>
      </c>
      <c r="H429" s="1412">
        <v>0.1118</v>
      </c>
      <c r="I429" s="1412">
        <v>2.5350000000000001E-2</v>
      </c>
      <c r="J429" s="1413">
        <v>45.19</v>
      </c>
    </row>
    <row r="430" spans="2:10" x14ac:dyDescent="0.25">
      <c r="B430" s="1410" t="s">
        <v>913</v>
      </c>
      <c r="C430" s="1411">
        <v>2075</v>
      </c>
      <c r="D430" s="1410">
        <v>1249000</v>
      </c>
      <c r="E430" s="1412">
        <v>1242000</v>
      </c>
      <c r="F430" s="1413">
        <v>1078000</v>
      </c>
      <c r="G430" s="1410">
        <v>23.84</v>
      </c>
      <c r="H430" s="1412">
        <v>0.16985799999999998</v>
      </c>
      <c r="I430" s="1412">
        <v>3.7813000000000001E-4</v>
      </c>
      <c r="J430" s="1413">
        <v>29.157000000000004</v>
      </c>
    </row>
    <row r="431" spans="2:10" x14ac:dyDescent="0.25">
      <c r="B431" s="1410" t="s">
        <v>1081</v>
      </c>
      <c r="C431" s="1411">
        <v>2075</v>
      </c>
      <c r="D431" s="1410">
        <v>1190000</v>
      </c>
      <c r="E431" s="1412">
        <v>51590</v>
      </c>
      <c r="F431" s="1413">
        <v>29220</v>
      </c>
      <c r="G431" s="1410">
        <v>3.7582</v>
      </c>
      <c r="H431" s="1412">
        <v>8.4366999999999984E-3</v>
      </c>
      <c r="I431" s="1412">
        <v>-3.8261190000000002E-3</v>
      </c>
      <c r="J431" s="1413">
        <v>3.0054000000000003</v>
      </c>
    </row>
    <row r="432" spans="2:10" x14ac:dyDescent="0.25">
      <c r="B432" s="1410" t="s">
        <v>815</v>
      </c>
      <c r="C432" s="1411">
        <v>2075</v>
      </c>
      <c r="D432" s="1410">
        <v>1190000</v>
      </c>
      <c r="E432" s="1412">
        <v>51590</v>
      </c>
      <c r="F432" s="1413">
        <v>29220</v>
      </c>
      <c r="G432" s="1410">
        <v>3.7582</v>
      </c>
      <c r="H432" s="1412">
        <v>8.4366999999999984E-3</v>
      </c>
      <c r="I432" s="1412">
        <v>-3.8261190000000002E-3</v>
      </c>
      <c r="J432" s="1413">
        <v>3.0054000000000003</v>
      </c>
    </row>
    <row r="433" spans="2:10" x14ac:dyDescent="0.25">
      <c r="B433" s="1410" t="s">
        <v>824</v>
      </c>
      <c r="C433" s="1411">
        <v>2075</v>
      </c>
      <c r="D433" s="1410">
        <v>1190000</v>
      </c>
      <c r="E433" s="1412">
        <v>51590</v>
      </c>
      <c r="F433" s="1413">
        <v>29220</v>
      </c>
      <c r="G433" s="1410">
        <v>3.7582</v>
      </c>
      <c r="H433" s="1412">
        <v>8.4366999999999984E-3</v>
      </c>
      <c r="I433" s="1412">
        <v>-3.8261190000000002E-3</v>
      </c>
      <c r="J433" s="1413">
        <v>3.0054000000000003</v>
      </c>
    </row>
    <row r="434" spans="2:10" ht="13" thickBot="1" x14ac:dyDescent="0.3">
      <c r="B434" s="1414" t="s">
        <v>1088</v>
      </c>
      <c r="C434" s="1415">
        <v>2075</v>
      </c>
      <c r="D434" s="1414">
        <v>1384000</v>
      </c>
      <c r="E434" s="1416">
        <v>1383000</v>
      </c>
      <c r="F434" s="1417">
        <v>5034</v>
      </c>
      <c r="G434" s="1414">
        <v>78.571100000000001</v>
      </c>
      <c r="H434" s="1416">
        <v>0.27494000000000002</v>
      </c>
      <c r="I434" s="1416">
        <v>2.3304000000000003E-3</v>
      </c>
      <c r="J434" s="1417">
        <v>87.594300000000004</v>
      </c>
    </row>
    <row r="435" spans="2:10" x14ac:dyDescent="0.25">
      <c r="B435" s="1406" t="s">
        <v>1085</v>
      </c>
      <c r="C435" s="1407">
        <v>2080</v>
      </c>
      <c r="D435" s="1406">
        <v>1092000</v>
      </c>
      <c r="E435" s="1408">
        <v>1092000</v>
      </c>
      <c r="F435" s="1409">
        <v>3971</v>
      </c>
      <c r="G435" s="1406">
        <v>5.7390999999999996</v>
      </c>
      <c r="H435" s="1408">
        <v>0.18462200000000001</v>
      </c>
      <c r="I435" s="1408">
        <v>8.61E-4</v>
      </c>
      <c r="J435" s="1409">
        <v>11.5648</v>
      </c>
    </row>
    <row r="436" spans="2:10" x14ac:dyDescent="0.25">
      <c r="B436" s="1410" t="s">
        <v>283</v>
      </c>
      <c r="C436" s="1411">
        <v>2080</v>
      </c>
      <c r="D436" s="1410">
        <v>1092000</v>
      </c>
      <c r="E436" s="1412">
        <v>1092000</v>
      </c>
      <c r="F436" s="1413">
        <v>3971</v>
      </c>
      <c r="G436" s="1410">
        <v>5.7390999999999996</v>
      </c>
      <c r="H436" s="1412">
        <v>0.18462200000000001</v>
      </c>
      <c r="I436" s="1412">
        <v>8.61E-4</v>
      </c>
      <c r="J436" s="1413">
        <v>11.5648</v>
      </c>
    </row>
    <row r="437" spans="2:10" x14ac:dyDescent="0.25">
      <c r="B437" s="1410" t="s">
        <v>1086</v>
      </c>
      <c r="C437" s="1411">
        <v>2080</v>
      </c>
      <c r="D437" s="1410">
        <v>1092000</v>
      </c>
      <c r="E437" s="1412">
        <v>1092000</v>
      </c>
      <c r="F437" s="1413">
        <v>3971</v>
      </c>
      <c r="G437" s="1410">
        <v>5.7390999999999996</v>
      </c>
      <c r="H437" s="1412">
        <v>0.18462200000000001</v>
      </c>
      <c r="I437" s="1412">
        <v>8.61E-4</v>
      </c>
      <c r="J437" s="1413">
        <v>11.5648</v>
      </c>
    </row>
    <row r="438" spans="2:10" x14ac:dyDescent="0.25">
      <c r="B438" s="1410" t="s">
        <v>681</v>
      </c>
      <c r="C438" s="1411">
        <v>2080</v>
      </c>
      <c r="D438" s="1410">
        <v>1092000</v>
      </c>
      <c r="E438" s="1412">
        <v>1092000</v>
      </c>
      <c r="F438" s="1413">
        <v>3971</v>
      </c>
      <c r="G438" s="1410">
        <v>5.7390999999999996</v>
      </c>
      <c r="H438" s="1412">
        <v>0.18462200000000001</v>
      </c>
      <c r="I438" s="1412">
        <v>8.61E-4</v>
      </c>
      <c r="J438" s="1413">
        <v>11.5648</v>
      </c>
    </row>
    <row r="439" spans="2:10" x14ac:dyDescent="0.25">
      <c r="B439" s="1410" t="s">
        <v>682</v>
      </c>
      <c r="C439" s="1411">
        <v>2080</v>
      </c>
      <c r="D439" s="1410">
        <v>-1185000</v>
      </c>
      <c r="E439" s="1412">
        <v>0</v>
      </c>
      <c r="F439" s="1413">
        <v>0</v>
      </c>
      <c r="G439" s="1410">
        <v>-85.800000000000011</v>
      </c>
      <c r="H439" s="1412">
        <v>0.54700000000000004</v>
      </c>
      <c r="I439" s="1412">
        <v>-1.8286999999999999E-3</v>
      </c>
      <c r="J439" s="1413">
        <v>-70.08</v>
      </c>
    </row>
    <row r="440" spans="2:10" x14ac:dyDescent="0.25">
      <c r="B440" s="1410" t="s">
        <v>683</v>
      </c>
      <c r="C440" s="1411">
        <v>2080</v>
      </c>
      <c r="D440" s="1410">
        <v>1721000</v>
      </c>
      <c r="E440" s="1412">
        <v>1293000</v>
      </c>
      <c r="F440" s="1413">
        <v>15050</v>
      </c>
      <c r="G440" s="1410">
        <v>125.08</v>
      </c>
      <c r="H440" s="1412">
        <v>0.20477100000000001</v>
      </c>
      <c r="I440" s="1412">
        <v>1.7827000000000001E-3</v>
      </c>
      <c r="J440" s="1413">
        <v>129.82</v>
      </c>
    </row>
    <row r="441" spans="2:10" x14ac:dyDescent="0.25">
      <c r="B441" s="1410" t="s">
        <v>698</v>
      </c>
      <c r="C441" s="1411">
        <v>2080</v>
      </c>
      <c r="D441" s="1410">
        <v>1721000</v>
      </c>
      <c r="E441" s="1412">
        <v>1293000</v>
      </c>
      <c r="F441" s="1413">
        <v>15050</v>
      </c>
      <c r="G441" s="1410">
        <v>125.08</v>
      </c>
      <c r="H441" s="1412">
        <v>0.20477100000000001</v>
      </c>
      <c r="I441" s="1412">
        <v>1.7827000000000001E-3</v>
      </c>
      <c r="J441" s="1413">
        <v>129.82</v>
      </c>
    </row>
    <row r="442" spans="2:10" x14ac:dyDescent="0.25">
      <c r="B442" s="1410" t="s">
        <v>684</v>
      </c>
      <c r="C442" s="1411">
        <v>2080</v>
      </c>
      <c r="D442" s="1410">
        <v>1721000</v>
      </c>
      <c r="E442" s="1412">
        <v>1293000</v>
      </c>
      <c r="F442" s="1413">
        <v>15050</v>
      </c>
      <c r="G442" s="1410">
        <v>125.08</v>
      </c>
      <c r="H442" s="1412">
        <v>0.20477100000000001</v>
      </c>
      <c r="I442" s="1412">
        <v>1.7827000000000001E-3</v>
      </c>
      <c r="J442" s="1413">
        <v>129.82</v>
      </c>
    </row>
    <row r="443" spans="2:10" x14ac:dyDescent="0.25">
      <c r="B443" s="1410" t="s">
        <v>1087</v>
      </c>
      <c r="C443" s="1411">
        <v>2080</v>
      </c>
      <c r="D443" s="1410">
        <v>1022000</v>
      </c>
      <c r="E443" s="1412">
        <v>1021000</v>
      </c>
      <c r="F443" s="1413">
        <v>15510</v>
      </c>
      <c r="G443" s="1410">
        <v>1.6964999999999999</v>
      </c>
      <c r="H443" s="1412">
        <v>0.14096238999999999</v>
      </c>
      <c r="I443" s="1412">
        <v>3.2765999999999998E-5</v>
      </c>
      <c r="J443" s="1413">
        <v>5.9536999999999995</v>
      </c>
    </row>
    <row r="444" spans="2:10" x14ac:dyDescent="0.25">
      <c r="B444" s="1410" t="s">
        <v>716</v>
      </c>
      <c r="C444" s="1411">
        <v>2080</v>
      </c>
      <c r="D444" s="1410">
        <v>1022000</v>
      </c>
      <c r="E444" s="1412">
        <v>1021000</v>
      </c>
      <c r="F444" s="1413">
        <v>15510</v>
      </c>
      <c r="G444" s="1410">
        <v>1.6964999999999999</v>
      </c>
      <c r="H444" s="1412">
        <v>0.14096238999999999</v>
      </c>
      <c r="I444" s="1412">
        <v>3.2765999999999998E-5</v>
      </c>
      <c r="J444" s="1413">
        <v>5.9536999999999995</v>
      </c>
    </row>
    <row r="445" spans="2:10" x14ac:dyDescent="0.25">
      <c r="B445" s="1410" t="s">
        <v>717</v>
      </c>
      <c r="C445" s="1411">
        <v>2080</v>
      </c>
      <c r="D445" s="1410">
        <v>1022000</v>
      </c>
      <c r="E445" s="1412">
        <v>1021000</v>
      </c>
      <c r="F445" s="1413">
        <v>15510</v>
      </c>
      <c r="G445" s="1410">
        <v>1.6964999999999999</v>
      </c>
      <c r="H445" s="1412">
        <v>0.14096238999999999</v>
      </c>
      <c r="I445" s="1412">
        <v>3.2765999999999998E-5</v>
      </c>
      <c r="J445" s="1413">
        <v>5.9536999999999995</v>
      </c>
    </row>
    <row r="446" spans="2:10" x14ac:dyDescent="0.25">
      <c r="B446" s="1410" t="s">
        <v>912</v>
      </c>
      <c r="C446" s="1411">
        <v>2080</v>
      </c>
      <c r="D446" s="1410">
        <v>1209000</v>
      </c>
      <c r="E446" s="1412">
        <v>1202000</v>
      </c>
      <c r="F446" s="1413">
        <v>1052000</v>
      </c>
      <c r="G446" s="1410">
        <v>17.969000000000001</v>
      </c>
      <c r="H446" s="1412">
        <v>0.164128</v>
      </c>
      <c r="I446" s="1412">
        <v>2.9025999999999998E-4</v>
      </c>
      <c r="J446" s="1413">
        <v>22.988</v>
      </c>
    </row>
    <row r="447" spans="2:10" x14ac:dyDescent="0.25">
      <c r="B447" s="1410" t="s">
        <v>910</v>
      </c>
      <c r="C447" s="1411">
        <v>2080</v>
      </c>
      <c r="D447" s="1410">
        <v>1585000</v>
      </c>
      <c r="E447" s="1412">
        <v>696300</v>
      </c>
      <c r="F447" s="1413">
        <v>286000</v>
      </c>
      <c r="G447" s="1410">
        <v>38.049999999999997</v>
      </c>
      <c r="H447" s="1412">
        <v>0.1118</v>
      </c>
      <c r="I447" s="1412">
        <v>2.5350000000000001E-2</v>
      </c>
      <c r="J447" s="1413">
        <v>45.19</v>
      </c>
    </row>
    <row r="448" spans="2:10" x14ac:dyDescent="0.25">
      <c r="B448" s="1410" t="s">
        <v>913</v>
      </c>
      <c r="C448" s="1411">
        <v>2080</v>
      </c>
      <c r="D448" s="1410">
        <v>1249000</v>
      </c>
      <c r="E448" s="1412">
        <v>1242000</v>
      </c>
      <c r="F448" s="1413">
        <v>1078000</v>
      </c>
      <c r="G448" s="1410">
        <v>23.84</v>
      </c>
      <c r="H448" s="1412">
        <v>0.16985799999999998</v>
      </c>
      <c r="I448" s="1412">
        <v>3.7813000000000001E-4</v>
      </c>
      <c r="J448" s="1413">
        <v>29.157000000000004</v>
      </c>
    </row>
    <row r="449" spans="2:10" x14ac:dyDescent="0.25">
      <c r="B449" s="1410" t="s">
        <v>1081</v>
      </c>
      <c r="C449" s="1411">
        <v>2080</v>
      </c>
      <c r="D449" s="1410">
        <v>1190000</v>
      </c>
      <c r="E449" s="1412">
        <v>51590</v>
      </c>
      <c r="F449" s="1413">
        <v>29220</v>
      </c>
      <c r="G449" s="1410">
        <v>3.7582</v>
      </c>
      <c r="H449" s="1412">
        <v>8.4366999999999984E-3</v>
      </c>
      <c r="I449" s="1412">
        <v>-3.8261190000000002E-3</v>
      </c>
      <c r="J449" s="1413">
        <v>3.0054000000000003</v>
      </c>
    </row>
    <row r="450" spans="2:10" x14ac:dyDescent="0.25">
      <c r="B450" s="1410" t="s">
        <v>815</v>
      </c>
      <c r="C450" s="1411">
        <v>2080</v>
      </c>
      <c r="D450" s="1410">
        <v>1190000</v>
      </c>
      <c r="E450" s="1412">
        <v>51590</v>
      </c>
      <c r="F450" s="1413">
        <v>29220</v>
      </c>
      <c r="G450" s="1410">
        <v>3.7582</v>
      </c>
      <c r="H450" s="1412">
        <v>8.4366999999999984E-3</v>
      </c>
      <c r="I450" s="1412">
        <v>-3.8261190000000002E-3</v>
      </c>
      <c r="J450" s="1413">
        <v>3.0054000000000003</v>
      </c>
    </row>
    <row r="451" spans="2:10" x14ac:dyDescent="0.25">
      <c r="B451" s="1410" t="s">
        <v>824</v>
      </c>
      <c r="C451" s="1411">
        <v>2080</v>
      </c>
      <c r="D451" s="1410">
        <v>1190000</v>
      </c>
      <c r="E451" s="1412">
        <v>51590</v>
      </c>
      <c r="F451" s="1413">
        <v>29220</v>
      </c>
      <c r="G451" s="1410">
        <v>3.7582</v>
      </c>
      <c r="H451" s="1412">
        <v>8.4366999999999984E-3</v>
      </c>
      <c r="I451" s="1412">
        <v>-3.8261190000000002E-3</v>
      </c>
      <c r="J451" s="1413">
        <v>3.0054000000000003</v>
      </c>
    </row>
    <row r="452" spans="2:10" ht="13" thickBot="1" x14ac:dyDescent="0.3">
      <c r="B452" s="1414" t="s">
        <v>1088</v>
      </c>
      <c r="C452" s="1415">
        <v>2080</v>
      </c>
      <c r="D452" s="1414">
        <v>1384000</v>
      </c>
      <c r="E452" s="1416">
        <v>1383000</v>
      </c>
      <c r="F452" s="1417">
        <v>5034</v>
      </c>
      <c r="G452" s="1414">
        <v>78.571100000000001</v>
      </c>
      <c r="H452" s="1416">
        <v>0.27494000000000002</v>
      </c>
      <c r="I452" s="1416">
        <v>2.3304000000000003E-3</v>
      </c>
      <c r="J452" s="1417">
        <v>87.594300000000004</v>
      </c>
    </row>
    <row r="453" spans="2:10" x14ac:dyDescent="0.25">
      <c r="B453" s="1406" t="s">
        <v>1085</v>
      </c>
      <c r="C453" s="1407">
        <v>2085</v>
      </c>
      <c r="D453" s="1406">
        <v>1092000</v>
      </c>
      <c r="E453" s="1408">
        <v>1092000</v>
      </c>
      <c r="F453" s="1409">
        <v>3971</v>
      </c>
      <c r="G453" s="1406">
        <v>5.7390999999999996</v>
      </c>
      <c r="H453" s="1408">
        <v>0.18462200000000001</v>
      </c>
      <c r="I453" s="1408">
        <v>8.61E-4</v>
      </c>
      <c r="J453" s="1409">
        <v>11.5648</v>
      </c>
    </row>
    <row r="454" spans="2:10" x14ac:dyDescent="0.25">
      <c r="B454" s="1410" t="s">
        <v>283</v>
      </c>
      <c r="C454" s="1411">
        <v>2085</v>
      </c>
      <c r="D454" s="1410">
        <v>1092000</v>
      </c>
      <c r="E454" s="1412">
        <v>1092000</v>
      </c>
      <c r="F454" s="1413">
        <v>3971</v>
      </c>
      <c r="G454" s="1410">
        <v>5.7390999999999996</v>
      </c>
      <c r="H454" s="1412">
        <v>0.18462200000000001</v>
      </c>
      <c r="I454" s="1412">
        <v>8.61E-4</v>
      </c>
      <c r="J454" s="1413">
        <v>11.5648</v>
      </c>
    </row>
    <row r="455" spans="2:10" x14ac:dyDescent="0.25">
      <c r="B455" s="1410" t="s">
        <v>1086</v>
      </c>
      <c r="C455" s="1411">
        <v>2085</v>
      </c>
      <c r="D455" s="1410">
        <v>1092000</v>
      </c>
      <c r="E455" s="1412">
        <v>1092000</v>
      </c>
      <c r="F455" s="1413">
        <v>3971</v>
      </c>
      <c r="G455" s="1410">
        <v>5.7390999999999996</v>
      </c>
      <c r="H455" s="1412">
        <v>0.18462200000000001</v>
      </c>
      <c r="I455" s="1412">
        <v>8.61E-4</v>
      </c>
      <c r="J455" s="1413">
        <v>11.5648</v>
      </c>
    </row>
    <row r="456" spans="2:10" x14ac:dyDescent="0.25">
      <c r="B456" s="1410" t="s">
        <v>681</v>
      </c>
      <c r="C456" s="1411">
        <v>2085</v>
      </c>
      <c r="D456" s="1410">
        <v>1092000</v>
      </c>
      <c r="E456" s="1412">
        <v>1092000</v>
      </c>
      <c r="F456" s="1413">
        <v>3971</v>
      </c>
      <c r="G456" s="1410">
        <v>5.7390999999999996</v>
      </c>
      <c r="H456" s="1412">
        <v>0.18462200000000001</v>
      </c>
      <c r="I456" s="1412">
        <v>8.61E-4</v>
      </c>
      <c r="J456" s="1413">
        <v>11.5648</v>
      </c>
    </row>
    <row r="457" spans="2:10" x14ac:dyDescent="0.25">
      <c r="B457" s="1410" t="s">
        <v>682</v>
      </c>
      <c r="C457" s="1411">
        <v>2085</v>
      </c>
      <c r="D457" s="1410">
        <v>-1185000</v>
      </c>
      <c r="E457" s="1412">
        <v>0</v>
      </c>
      <c r="F457" s="1413">
        <v>0</v>
      </c>
      <c r="G457" s="1410">
        <v>-85.800000000000011</v>
      </c>
      <c r="H457" s="1412">
        <v>0.54700000000000004</v>
      </c>
      <c r="I457" s="1412">
        <v>-1.8286999999999999E-3</v>
      </c>
      <c r="J457" s="1413">
        <v>-70.08</v>
      </c>
    </row>
    <row r="458" spans="2:10" x14ac:dyDescent="0.25">
      <c r="B458" s="1410" t="s">
        <v>683</v>
      </c>
      <c r="C458" s="1411">
        <v>2085</v>
      </c>
      <c r="D458" s="1410">
        <v>1721000</v>
      </c>
      <c r="E458" s="1412">
        <v>1293000</v>
      </c>
      <c r="F458" s="1413">
        <v>15050</v>
      </c>
      <c r="G458" s="1410">
        <v>125.08</v>
      </c>
      <c r="H458" s="1412">
        <v>0.20477100000000001</v>
      </c>
      <c r="I458" s="1412">
        <v>1.7827000000000001E-3</v>
      </c>
      <c r="J458" s="1413">
        <v>129.82</v>
      </c>
    </row>
    <row r="459" spans="2:10" x14ac:dyDescent="0.25">
      <c r="B459" s="1410" t="s">
        <v>698</v>
      </c>
      <c r="C459" s="1411">
        <v>2085</v>
      </c>
      <c r="D459" s="1410">
        <v>1721000</v>
      </c>
      <c r="E459" s="1412">
        <v>1293000</v>
      </c>
      <c r="F459" s="1413">
        <v>15050</v>
      </c>
      <c r="G459" s="1410">
        <v>125.08</v>
      </c>
      <c r="H459" s="1412">
        <v>0.20477100000000001</v>
      </c>
      <c r="I459" s="1412">
        <v>1.7827000000000001E-3</v>
      </c>
      <c r="J459" s="1413">
        <v>129.82</v>
      </c>
    </row>
    <row r="460" spans="2:10" x14ac:dyDescent="0.25">
      <c r="B460" s="1410" t="s">
        <v>684</v>
      </c>
      <c r="C460" s="1411">
        <v>2085</v>
      </c>
      <c r="D460" s="1410">
        <v>1721000</v>
      </c>
      <c r="E460" s="1412">
        <v>1293000</v>
      </c>
      <c r="F460" s="1413">
        <v>15050</v>
      </c>
      <c r="G460" s="1410">
        <v>125.08</v>
      </c>
      <c r="H460" s="1412">
        <v>0.20477100000000001</v>
      </c>
      <c r="I460" s="1412">
        <v>1.7827000000000001E-3</v>
      </c>
      <c r="J460" s="1413">
        <v>129.82</v>
      </c>
    </row>
    <row r="461" spans="2:10" x14ac:dyDescent="0.25">
      <c r="B461" s="1410" t="s">
        <v>1087</v>
      </c>
      <c r="C461" s="1411">
        <v>2085</v>
      </c>
      <c r="D461" s="1410">
        <v>1022000</v>
      </c>
      <c r="E461" s="1412">
        <v>1021000</v>
      </c>
      <c r="F461" s="1413">
        <v>15510</v>
      </c>
      <c r="G461" s="1410">
        <v>1.6964999999999999</v>
      </c>
      <c r="H461" s="1412">
        <v>0.14096238999999999</v>
      </c>
      <c r="I461" s="1412">
        <v>3.2765999999999998E-5</v>
      </c>
      <c r="J461" s="1413">
        <v>5.9536999999999995</v>
      </c>
    </row>
    <row r="462" spans="2:10" x14ac:dyDescent="0.25">
      <c r="B462" s="1410" t="s">
        <v>716</v>
      </c>
      <c r="C462" s="1411">
        <v>2085</v>
      </c>
      <c r="D462" s="1410">
        <v>1022000</v>
      </c>
      <c r="E462" s="1412">
        <v>1021000</v>
      </c>
      <c r="F462" s="1413">
        <v>15510</v>
      </c>
      <c r="G462" s="1410">
        <v>1.6964999999999999</v>
      </c>
      <c r="H462" s="1412">
        <v>0.14096238999999999</v>
      </c>
      <c r="I462" s="1412">
        <v>3.2765999999999998E-5</v>
      </c>
      <c r="J462" s="1413">
        <v>5.9536999999999995</v>
      </c>
    </row>
    <row r="463" spans="2:10" x14ac:dyDescent="0.25">
      <c r="B463" s="1410" t="s">
        <v>717</v>
      </c>
      <c r="C463" s="1411">
        <v>2085</v>
      </c>
      <c r="D463" s="1410">
        <v>1022000</v>
      </c>
      <c r="E463" s="1412">
        <v>1021000</v>
      </c>
      <c r="F463" s="1413">
        <v>15510</v>
      </c>
      <c r="G463" s="1410">
        <v>1.6964999999999999</v>
      </c>
      <c r="H463" s="1412">
        <v>0.14096238999999999</v>
      </c>
      <c r="I463" s="1412">
        <v>3.2765999999999998E-5</v>
      </c>
      <c r="J463" s="1413">
        <v>5.9536999999999995</v>
      </c>
    </row>
    <row r="464" spans="2:10" x14ac:dyDescent="0.25">
      <c r="B464" s="1410" t="s">
        <v>912</v>
      </c>
      <c r="C464" s="1411">
        <v>2085</v>
      </c>
      <c r="D464" s="1410">
        <v>1209000</v>
      </c>
      <c r="E464" s="1412">
        <v>1202000</v>
      </c>
      <c r="F464" s="1413">
        <v>1052000</v>
      </c>
      <c r="G464" s="1410">
        <v>17.969000000000001</v>
      </c>
      <c r="H464" s="1412">
        <v>0.164128</v>
      </c>
      <c r="I464" s="1412">
        <v>2.9025999999999998E-4</v>
      </c>
      <c r="J464" s="1413">
        <v>22.988</v>
      </c>
    </row>
    <row r="465" spans="2:10" x14ac:dyDescent="0.25">
      <c r="B465" s="1410" t="s">
        <v>910</v>
      </c>
      <c r="C465" s="1411">
        <v>2085</v>
      </c>
      <c r="D465" s="1410">
        <v>1585000</v>
      </c>
      <c r="E465" s="1412">
        <v>696300</v>
      </c>
      <c r="F465" s="1413">
        <v>286000</v>
      </c>
      <c r="G465" s="1410">
        <v>38.049999999999997</v>
      </c>
      <c r="H465" s="1412">
        <v>0.1118</v>
      </c>
      <c r="I465" s="1412">
        <v>2.5350000000000001E-2</v>
      </c>
      <c r="J465" s="1413">
        <v>45.19</v>
      </c>
    </row>
    <row r="466" spans="2:10" x14ac:dyDescent="0.25">
      <c r="B466" s="1410" t="s">
        <v>913</v>
      </c>
      <c r="C466" s="1411">
        <v>2085</v>
      </c>
      <c r="D466" s="1410">
        <v>1249000</v>
      </c>
      <c r="E466" s="1412">
        <v>1242000</v>
      </c>
      <c r="F466" s="1413">
        <v>1078000</v>
      </c>
      <c r="G466" s="1410">
        <v>23.84</v>
      </c>
      <c r="H466" s="1412">
        <v>0.16985799999999998</v>
      </c>
      <c r="I466" s="1412">
        <v>3.7813000000000001E-4</v>
      </c>
      <c r="J466" s="1413">
        <v>29.157000000000004</v>
      </c>
    </row>
    <row r="467" spans="2:10" x14ac:dyDescent="0.25">
      <c r="B467" s="1410" t="s">
        <v>1081</v>
      </c>
      <c r="C467" s="1411">
        <v>2085</v>
      </c>
      <c r="D467" s="1410">
        <v>1190000</v>
      </c>
      <c r="E467" s="1412">
        <v>51590</v>
      </c>
      <c r="F467" s="1413">
        <v>29220</v>
      </c>
      <c r="G467" s="1410">
        <v>3.7582</v>
      </c>
      <c r="H467" s="1412">
        <v>8.4366999999999984E-3</v>
      </c>
      <c r="I467" s="1412">
        <v>-3.8261190000000002E-3</v>
      </c>
      <c r="J467" s="1413">
        <v>3.0054000000000003</v>
      </c>
    </row>
    <row r="468" spans="2:10" x14ac:dyDescent="0.25">
      <c r="B468" s="1410" t="s">
        <v>815</v>
      </c>
      <c r="C468" s="1411">
        <v>2085</v>
      </c>
      <c r="D468" s="1410">
        <v>1190000</v>
      </c>
      <c r="E468" s="1412">
        <v>51590</v>
      </c>
      <c r="F468" s="1413">
        <v>29220</v>
      </c>
      <c r="G468" s="1410">
        <v>3.7582</v>
      </c>
      <c r="H468" s="1412">
        <v>8.4366999999999984E-3</v>
      </c>
      <c r="I468" s="1412">
        <v>-3.8261190000000002E-3</v>
      </c>
      <c r="J468" s="1413">
        <v>3.0054000000000003</v>
      </c>
    </row>
    <row r="469" spans="2:10" x14ac:dyDescent="0.25">
      <c r="B469" s="1410" t="s">
        <v>824</v>
      </c>
      <c r="C469" s="1411">
        <v>2085</v>
      </c>
      <c r="D469" s="1410">
        <v>1190000</v>
      </c>
      <c r="E469" s="1412">
        <v>51590</v>
      </c>
      <c r="F469" s="1413">
        <v>29220</v>
      </c>
      <c r="G469" s="1410">
        <v>3.7582</v>
      </c>
      <c r="H469" s="1412">
        <v>8.4366999999999984E-3</v>
      </c>
      <c r="I469" s="1412">
        <v>-3.8261190000000002E-3</v>
      </c>
      <c r="J469" s="1413">
        <v>3.0054000000000003</v>
      </c>
    </row>
    <row r="470" spans="2:10" ht="13" thickBot="1" x14ac:dyDescent="0.3">
      <c r="B470" s="1414" t="s">
        <v>1088</v>
      </c>
      <c r="C470" s="1415">
        <v>2085</v>
      </c>
      <c r="D470" s="1414">
        <v>1384000</v>
      </c>
      <c r="E470" s="1416">
        <v>1383000</v>
      </c>
      <c r="F470" s="1417">
        <v>5034</v>
      </c>
      <c r="G470" s="1414">
        <v>78.571100000000001</v>
      </c>
      <c r="H470" s="1416">
        <v>0.27494000000000002</v>
      </c>
      <c r="I470" s="1416">
        <v>2.3304000000000003E-3</v>
      </c>
      <c r="J470" s="1417">
        <v>87.594300000000004</v>
      </c>
    </row>
    <row r="471" spans="2:10" x14ac:dyDescent="0.25">
      <c r="B471" s="1406" t="s">
        <v>1085</v>
      </c>
      <c r="C471" s="1407">
        <v>2090</v>
      </c>
      <c r="D471" s="1406">
        <v>1092000</v>
      </c>
      <c r="E471" s="1408">
        <v>1092000</v>
      </c>
      <c r="F471" s="1409">
        <v>3971</v>
      </c>
      <c r="G471" s="1406">
        <v>5.7390999999999996</v>
      </c>
      <c r="H471" s="1408">
        <v>0.18462200000000001</v>
      </c>
      <c r="I471" s="1408">
        <v>8.61E-4</v>
      </c>
      <c r="J471" s="1409">
        <v>11.5648</v>
      </c>
    </row>
    <row r="472" spans="2:10" x14ac:dyDescent="0.25">
      <c r="B472" s="1410" t="s">
        <v>283</v>
      </c>
      <c r="C472" s="1411">
        <v>2090</v>
      </c>
      <c r="D472" s="1410">
        <v>1092000</v>
      </c>
      <c r="E472" s="1412">
        <v>1092000</v>
      </c>
      <c r="F472" s="1413">
        <v>3971</v>
      </c>
      <c r="G472" s="1410">
        <v>5.7390999999999996</v>
      </c>
      <c r="H472" s="1412">
        <v>0.18462200000000001</v>
      </c>
      <c r="I472" s="1412">
        <v>8.61E-4</v>
      </c>
      <c r="J472" s="1413">
        <v>11.5648</v>
      </c>
    </row>
    <row r="473" spans="2:10" x14ac:dyDescent="0.25">
      <c r="B473" s="1410" t="s">
        <v>1086</v>
      </c>
      <c r="C473" s="1411">
        <v>2090</v>
      </c>
      <c r="D473" s="1410">
        <v>1092000</v>
      </c>
      <c r="E473" s="1412">
        <v>1092000</v>
      </c>
      <c r="F473" s="1413">
        <v>3971</v>
      </c>
      <c r="G473" s="1410">
        <v>5.7390999999999996</v>
      </c>
      <c r="H473" s="1412">
        <v>0.18462200000000001</v>
      </c>
      <c r="I473" s="1412">
        <v>8.61E-4</v>
      </c>
      <c r="J473" s="1413">
        <v>11.5648</v>
      </c>
    </row>
    <row r="474" spans="2:10" x14ac:dyDescent="0.25">
      <c r="B474" s="1410" t="s">
        <v>681</v>
      </c>
      <c r="C474" s="1411">
        <v>2090</v>
      </c>
      <c r="D474" s="1410">
        <v>1092000</v>
      </c>
      <c r="E474" s="1412">
        <v>1092000</v>
      </c>
      <c r="F474" s="1413">
        <v>3971</v>
      </c>
      <c r="G474" s="1410">
        <v>5.7390999999999996</v>
      </c>
      <c r="H474" s="1412">
        <v>0.18462200000000001</v>
      </c>
      <c r="I474" s="1412">
        <v>8.61E-4</v>
      </c>
      <c r="J474" s="1413">
        <v>11.5648</v>
      </c>
    </row>
    <row r="475" spans="2:10" x14ac:dyDescent="0.25">
      <c r="B475" s="1410" t="s">
        <v>682</v>
      </c>
      <c r="C475" s="1411">
        <v>2090</v>
      </c>
      <c r="D475" s="1410">
        <v>-1185000</v>
      </c>
      <c r="E475" s="1412">
        <v>0</v>
      </c>
      <c r="F475" s="1413">
        <v>0</v>
      </c>
      <c r="G475" s="1410">
        <v>-85.800000000000011</v>
      </c>
      <c r="H475" s="1412">
        <v>0.54700000000000004</v>
      </c>
      <c r="I475" s="1412">
        <v>-1.8286999999999999E-3</v>
      </c>
      <c r="J475" s="1413">
        <v>-70.08</v>
      </c>
    </row>
    <row r="476" spans="2:10" x14ac:dyDescent="0.25">
      <c r="B476" s="1410" t="s">
        <v>683</v>
      </c>
      <c r="C476" s="1411">
        <v>2090</v>
      </c>
      <c r="D476" s="1410">
        <v>1721000</v>
      </c>
      <c r="E476" s="1412">
        <v>1293000</v>
      </c>
      <c r="F476" s="1413">
        <v>15050</v>
      </c>
      <c r="G476" s="1410">
        <v>125.08</v>
      </c>
      <c r="H476" s="1412">
        <v>0.20477100000000001</v>
      </c>
      <c r="I476" s="1412">
        <v>1.7827000000000001E-3</v>
      </c>
      <c r="J476" s="1413">
        <v>129.82</v>
      </c>
    </row>
    <row r="477" spans="2:10" x14ac:dyDescent="0.25">
      <c r="B477" s="1410" t="s">
        <v>698</v>
      </c>
      <c r="C477" s="1411">
        <v>2090</v>
      </c>
      <c r="D477" s="1410">
        <v>1721000</v>
      </c>
      <c r="E477" s="1412">
        <v>1293000</v>
      </c>
      <c r="F477" s="1413">
        <v>15050</v>
      </c>
      <c r="G477" s="1410">
        <v>125.08</v>
      </c>
      <c r="H477" s="1412">
        <v>0.20477100000000001</v>
      </c>
      <c r="I477" s="1412">
        <v>1.7827000000000001E-3</v>
      </c>
      <c r="J477" s="1413">
        <v>129.82</v>
      </c>
    </row>
    <row r="478" spans="2:10" x14ac:dyDescent="0.25">
      <c r="B478" s="1410" t="s">
        <v>684</v>
      </c>
      <c r="C478" s="1411">
        <v>2090</v>
      </c>
      <c r="D478" s="1410">
        <v>1721000</v>
      </c>
      <c r="E478" s="1412">
        <v>1293000</v>
      </c>
      <c r="F478" s="1413">
        <v>15050</v>
      </c>
      <c r="G478" s="1410">
        <v>125.08</v>
      </c>
      <c r="H478" s="1412">
        <v>0.20477100000000001</v>
      </c>
      <c r="I478" s="1412">
        <v>1.7827000000000001E-3</v>
      </c>
      <c r="J478" s="1413">
        <v>129.82</v>
      </c>
    </row>
    <row r="479" spans="2:10" x14ac:dyDescent="0.25">
      <c r="B479" s="1410" t="s">
        <v>1087</v>
      </c>
      <c r="C479" s="1411">
        <v>2090</v>
      </c>
      <c r="D479" s="1410">
        <v>1022000</v>
      </c>
      <c r="E479" s="1412">
        <v>1021000</v>
      </c>
      <c r="F479" s="1413">
        <v>15510</v>
      </c>
      <c r="G479" s="1410">
        <v>1.6964999999999999</v>
      </c>
      <c r="H479" s="1412">
        <v>0.14096238999999999</v>
      </c>
      <c r="I479" s="1412">
        <v>3.2765999999999998E-5</v>
      </c>
      <c r="J479" s="1413">
        <v>5.9536999999999995</v>
      </c>
    </row>
    <row r="480" spans="2:10" x14ac:dyDescent="0.25">
      <c r="B480" s="1410" t="s">
        <v>716</v>
      </c>
      <c r="C480" s="1411">
        <v>2090</v>
      </c>
      <c r="D480" s="1410">
        <v>1022000</v>
      </c>
      <c r="E480" s="1412">
        <v>1021000</v>
      </c>
      <c r="F480" s="1413">
        <v>15510</v>
      </c>
      <c r="G480" s="1410">
        <v>1.6964999999999999</v>
      </c>
      <c r="H480" s="1412">
        <v>0.14096238999999999</v>
      </c>
      <c r="I480" s="1412">
        <v>3.2765999999999998E-5</v>
      </c>
      <c r="J480" s="1413">
        <v>5.9536999999999995</v>
      </c>
    </row>
    <row r="481" spans="2:10" x14ac:dyDescent="0.25">
      <c r="B481" s="1410" t="s">
        <v>717</v>
      </c>
      <c r="C481" s="1411">
        <v>2090</v>
      </c>
      <c r="D481" s="1410">
        <v>1022000</v>
      </c>
      <c r="E481" s="1412">
        <v>1021000</v>
      </c>
      <c r="F481" s="1413">
        <v>15510</v>
      </c>
      <c r="G481" s="1410">
        <v>1.6964999999999999</v>
      </c>
      <c r="H481" s="1412">
        <v>0.14096238999999999</v>
      </c>
      <c r="I481" s="1412">
        <v>3.2765999999999998E-5</v>
      </c>
      <c r="J481" s="1413">
        <v>5.9536999999999995</v>
      </c>
    </row>
    <row r="482" spans="2:10" x14ac:dyDescent="0.25">
      <c r="B482" s="1410" t="s">
        <v>912</v>
      </c>
      <c r="C482" s="1411">
        <v>2090</v>
      </c>
      <c r="D482" s="1410">
        <v>1209000</v>
      </c>
      <c r="E482" s="1412">
        <v>1202000</v>
      </c>
      <c r="F482" s="1413">
        <v>1052000</v>
      </c>
      <c r="G482" s="1410">
        <v>17.969000000000001</v>
      </c>
      <c r="H482" s="1412">
        <v>0.164128</v>
      </c>
      <c r="I482" s="1412">
        <v>2.9025999999999998E-4</v>
      </c>
      <c r="J482" s="1413">
        <v>22.988</v>
      </c>
    </row>
    <row r="483" spans="2:10" x14ac:dyDescent="0.25">
      <c r="B483" s="1410" t="s">
        <v>910</v>
      </c>
      <c r="C483" s="1411">
        <v>2090</v>
      </c>
      <c r="D483" s="1410">
        <v>1585000</v>
      </c>
      <c r="E483" s="1412">
        <v>696300</v>
      </c>
      <c r="F483" s="1413">
        <v>286000</v>
      </c>
      <c r="G483" s="1410">
        <v>38.049999999999997</v>
      </c>
      <c r="H483" s="1412">
        <v>0.1118</v>
      </c>
      <c r="I483" s="1412">
        <v>2.5350000000000001E-2</v>
      </c>
      <c r="J483" s="1413">
        <v>45.19</v>
      </c>
    </row>
    <row r="484" spans="2:10" x14ac:dyDescent="0.25">
      <c r="B484" s="1410" t="s">
        <v>913</v>
      </c>
      <c r="C484" s="1411">
        <v>2090</v>
      </c>
      <c r="D484" s="1410">
        <v>1249000</v>
      </c>
      <c r="E484" s="1412">
        <v>1242000</v>
      </c>
      <c r="F484" s="1413">
        <v>1078000</v>
      </c>
      <c r="G484" s="1410">
        <v>23.84</v>
      </c>
      <c r="H484" s="1412">
        <v>0.16985799999999998</v>
      </c>
      <c r="I484" s="1412">
        <v>3.7813000000000001E-4</v>
      </c>
      <c r="J484" s="1413">
        <v>29.157000000000004</v>
      </c>
    </row>
    <row r="485" spans="2:10" x14ac:dyDescent="0.25">
      <c r="B485" s="1410" t="s">
        <v>1081</v>
      </c>
      <c r="C485" s="1411">
        <v>2090</v>
      </c>
      <c r="D485" s="1410">
        <v>1190000</v>
      </c>
      <c r="E485" s="1412">
        <v>51590</v>
      </c>
      <c r="F485" s="1413">
        <v>29220</v>
      </c>
      <c r="G485" s="1410">
        <v>3.7582</v>
      </c>
      <c r="H485" s="1412">
        <v>8.4366999999999984E-3</v>
      </c>
      <c r="I485" s="1412">
        <v>-3.8261190000000002E-3</v>
      </c>
      <c r="J485" s="1413">
        <v>3.0054000000000003</v>
      </c>
    </row>
    <row r="486" spans="2:10" x14ac:dyDescent="0.25">
      <c r="B486" s="1410" t="s">
        <v>815</v>
      </c>
      <c r="C486" s="1411">
        <v>2090</v>
      </c>
      <c r="D486" s="1410">
        <v>1190000</v>
      </c>
      <c r="E486" s="1412">
        <v>51590</v>
      </c>
      <c r="F486" s="1413">
        <v>29220</v>
      </c>
      <c r="G486" s="1410">
        <v>3.7582</v>
      </c>
      <c r="H486" s="1412">
        <v>8.4366999999999984E-3</v>
      </c>
      <c r="I486" s="1412">
        <v>-3.8261190000000002E-3</v>
      </c>
      <c r="J486" s="1413">
        <v>3.0054000000000003</v>
      </c>
    </row>
    <row r="487" spans="2:10" x14ac:dyDescent="0.25">
      <c r="B487" s="1410" t="s">
        <v>824</v>
      </c>
      <c r="C487" s="1411">
        <v>2090</v>
      </c>
      <c r="D487" s="1410">
        <v>1190000</v>
      </c>
      <c r="E487" s="1412">
        <v>51590</v>
      </c>
      <c r="F487" s="1413">
        <v>29220</v>
      </c>
      <c r="G487" s="1410">
        <v>3.7582</v>
      </c>
      <c r="H487" s="1412">
        <v>8.4366999999999984E-3</v>
      </c>
      <c r="I487" s="1412">
        <v>-3.8261190000000002E-3</v>
      </c>
      <c r="J487" s="1413">
        <v>3.0054000000000003</v>
      </c>
    </row>
    <row r="488" spans="2:10" ht="13" thickBot="1" x14ac:dyDescent="0.3">
      <c r="B488" s="1414" t="s">
        <v>1088</v>
      </c>
      <c r="C488" s="1415">
        <v>2090</v>
      </c>
      <c r="D488" s="1414">
        <v>1384000</v>
      </c>
      <c r="E488" s="1416">
        <v>1383000</v>
      </c>
      <c r="F488" s="1417">
        <v>5034</v>
      </c>
      <c r="G488" s="1414">
        <v>78.571100000000001</v>
      </c>
      <c r="H488" s="1416">
        <v>0.27494000000000002</v>
      </c>
      <c r="I488" s="1416">
        <v>2.3304000000000003E-3</v>
      </c>
      <c r="J488" s="1417">
        <v>87.594300000000004</v>
      </c>
    </row>
    <row r="489" spans="2:10" x14ac:dyDescent="0.25">
      <c r="B489" s="1406" t="s">
        <v>1085</v>
      </c>
      <c r="C489" s="1407">
        <v>2095</v>
      </c>
      <c r="D489" s="1406">
        <v>1092000</v>
      </c>
      <c r="E489" s="1408">
        <v>1092000</v>
      </c>
      <c r="F489" s="1409">
        <v>3971</v>
      </c>
      <c r="G489" s="1406">
        <v>5.7390999999999996</v>
      </c>
      <c r="H489" s="1408">
        <v>0.18462200000000001</v>
      </c>
      <c r="I489" s="1408">
        <v>8.61E-4</v>
      </c>
      <c r="J489" s="1409">
        <v>11.5648</v>
      </c>
    </row>
    <row r="490" spans="2:10" x14ac:dyDescent="0.25">
      <c r="B490" s="1410" t="s">
        <v>283</v>
      </c>
      <c r="C490" s="1411">
        <v>2095</v>
      </c>
      <c r="D490" s="1410">
        <v>1092000</v>
      </c>
      <c r="E490" s="1412">
        <v>1092000</v>
      </c>
      <c r="F490" s="1413">
        <v>3971</v>
      </c>
      <c r="G490" s="1410">
        <v>5.7390999999999996</v>
      </c>
      <c r="H490" s="1412">
        <v>0.18462200000000001</v>
      </c>
      <c r="I490" s="1412">
        <v>8.61E-4</v>
      </c>
      <c r="J490" s="1413">
        <v>11.5648</v>
      </c>
    </row>
    <row r="491" spans="2:10" x14ac:dyDescent="0.25">
      <c r="B491" s="1410" t="s">
        <v>1086</v>
      </c>
      <c r="C491" s="1411">
        <v>2095</v>
      </c>
      <c r="D491" s="1410">
        <v>1092000</v>
      </c>
      <c r="E491" s="1412">
        <v>1092000</v>
      </c>
      <c r="F491" s="1413">
        <v>3971</v>
      </c>
      <c r="G491" s="1410">
        <v>5.7390999999999996</v>
      </c>
      <c r="H491" s="1412">
        <v>0.18462200000000001</v>
      </c>
      <c r="I491" s="1412">
        <v>8.61E-4</v>
      </c>
      <c r="J491" s="1413">
        <v>11.5648</v>
      </c>
    </row>
    <row r="492" spans="2:10" x14ac:dyDescent="0.25">
      <c r="B492" s="1410" t="s">
        <v>681</v>
      </c>
      <c r="C492" s="1411">
        <v>2095</v>
      </c>
      <c r="D492" s="1410">
        <v>1092000</v>
      </c>
      <c r="E492" s="1412">
        <v>1092000</v>
      </c>
      <c r="F492" s="1413">
        <v>3971</v>
      </c>
      <c r="G492" s="1410">
        <v>5.7390999999999996</v>
      </c>
      <c r="H492" s="1412">
        <v>0.18462200000000001</v>
      </c>
      <c r="I492" s="1412">
        <v>8.61E-4</v>
      </c>
      <c r="J492" s="1413">
        <v>11.5648</v>
      </c>
    </row>
    <row r="493" spans="2:10" x14ac:dyDescent="0.25">
      <c r="B493" s="1410" t="s">
        <v>682</v>
      </c>
      <c r="C493" s="1411">
        <v>2095</v>
      </c>
      <c r="D493" s="1410">
        <v>-1185000</v>
      </c>
      <c r="E493" s="1412">
        <v>0</v>
      </c>
      <c r="F493" s="1413">
        <v>0</v>
      </c>
      <c r="G493" s="1410">
        <v>-85.800000000000011</v>
      </c>
      <c r="H493" s="1412">
        <v>0.54700000000000004</v>
      </c>
      <c r="I493" s="1412">
        <v>-1.8286999999999999E-3</v>
      </c>
      <c r="J493" s="1413">
        <v>-70.08</v>
      </c>
    </row>
    <row r="494" spans="2:10" x14ac:dyDescent="0.25">
      <c r="B494" s="1410" t="s">
        <v>683</v>
      </c>
      <c r="C494" s="1411">
        <v>2095</v>
      </c>
      <c r="D494" s="1410">
        <v>1721000</v>
      </c>
      <c r="E494" s="1412">
        <v>1293000</v>
      </c>
      <c r="F494" s="1413">
        <v>15050</v>
      </c>
      <c r="G494" s="1410">
        <v>125.08</v>
      </c>
      <c r="H494" s="1412">
        <v>0.20477100000000001</v>
      </c>
      <c r="I494" s="1412">
        <v>1.7827000000000001E-3</v>
      </c>
      <c r="J494" s="1413">
        <v>129.82</v>
      </c>
    </row>
    <row r="495" spans="2:10" x14ac:dyDescent="0.25">
      <c r="B495" s="1410" t="s">
        <v>698</v>
      </c>
      <c r="C495" s="1411">
        <v>2095</v>
      </c>
      <c r="D495" s="1410">
        <v>1721000</v>
      </c>
      <c r="E495" s="1412">
        <v>1293000</v>
      </c>
      <c r="F495" s="1413">
        <v>15050</v>
      </c>
      <c r="G495" s="1410">
        <v>125.08</v>
      </c>
      <c r="H495" s="1412">
        <v>0.20477100000000001</v>
      </c>
      <c r="I495" s="1412">
        <v>1.7827000000000001E-3</v>
      </c>
      <c r="J495" s="1413">
        <v>129.82</v>
      </c>
    </row>
    <row r="496" spans="2:10" x14ac:dyDescent="0.25">
      <c r="B496" s="1410" t="s">
        <v>684</v>
      </c>
      <c r="C496" s="1411">
        <v>2095</v>
      </c>
      <c r="D496" s="1410">
        <v>1721000</v>
      </c>
      <c r="E496" s="1412">
        <v>1293000</v>
      </c>
      <c r="F496" s="1413">
        <v>15050</v>
      </c>
      <c r="G496" s="1410">
        <v>125.08</v>
      </c>
      <c r="H496" s="1412">
        <v>0.20477100000000001</v>
      </c>
      <c r="I496" s="1412">
        <v>1.7827000000000001E-3</v>
      </c>
      <c r="J496" s="1413">
        <v>129.82</v>
      </c>
    </row>
    <row r="497" spans="2:10" x14ac:dyDescent="0.25">
      <c r="B497" s="1410" t="s">
        <v>1087</v>
      </c>
      <c r="C497" s="1411">
        <v>2095</v>
      </c>
      <c r="D497" s="1410">
        <v>1022000</v>
      </c>
      <c r="E497" s="1412">
        <v>1021000</v>
      </c>
      <c r="F497" s="1413">
        <v>15510</v>
      </c>
      <c r="G497" s="1410">
        <v>1.6964999999999999</v>
      </c>
      <c r="H497" s="1412">
        <v>0.14096238999999999</v>
      </c>
      <c r="I497" s="1412">
        <v>3.2765999999999998E-5</v>
      </c>
      <c r="J497" s="1413">
        <v>5.9536999999999995</v>
      </c>
    </row>
    <row r="498" spans="2:10" x14ac:dyDescent="0.25">
      <c r="B498" s="1410" t="s">
        <v>716</v>
      </c>
      <c r="C498" s="1411">
        <v>2095</v>
      </c>
      <c r="D498" s="1410">
        <v>1022000</v>
      </c>
      <c r="E498" s="1412">
        <v>1021000</v>
      </c>
      <c r="F498" s="1413">
        <v>15510</v>
      </c>
      <c r="G498" s="1410">
        <v>1.6964999999999999</v>
      </c>
      <c r="H498" s="1412">
        <v>0.14096238999999999</v>
      </c>
      <c r="I498" s="1412">
        <v>3.2765999999999998E-5</v>
      </c>
      <c r="J498" s="1413">
        <v>5.9536999999999995</v>
      </c>
    </row>
    <row r="499" spans="2:10" x14ac:dyDescent="0.25">
      <c r="B499" s="1410" t="s">
        <v>717</v>
      </c>
      <c r="C499" s="1411">
        <v>2095</v>
      </c>
      <c r="D499" s="1410">
        <v>1022000</v>
      </c>
      <c r="E499" s="1412">
        <v>1021000</v>
      </c>
      <c r="F499" s="1413">
        <v>15510</v>
      </c>
      <c r="G499" s="1410">
        <v>1.6964999999999999</v>
      </c>
      <c r="H499" s="1412">
        <v>0.14096238999999999</v>
      </c>
      <c r="I499" s="1412">
        <v>3.2765999999999998E-5</v>
      </c>
      <c r="J499" s="1413">
        <v>5.9536999999999995</v>
      </c>
    </row>
    <row r="500" spans="2:10" x14ac:dyDescent="0.25">
      <c r="B500" s="1410" t="s">
        <v>912</v>
      </c>
      <c r="C500" s="1411">
        <v>2095</v>
      </c>
      <c r="D500" s="1410">
        <v>1209000</v>
      </c>
      <c r="E500" s="1412">
        <v>1202000</v>
      </c>
      <c r="F500" s="1413">
        <v>1052000</v>
      </c>
      <c r="G500" s="1410">
        <v>17.969000000000001</v>
      </c>
      <c r="H500" s="1412">
        <v>0.164128</v>
      </c>
      <c r="I500" s="1412">
        <v>2.9025999999999998E-4</v>
      </c>
      <c r="J500" s="1413">
        <v>22.988</v>
      </c>
    </row>
    <row r="501" spans="2:10" x14ac:dyDescent="0.25">
      <c r="B501" s="1410" t="s">
        <v>910</v>
      </c>
      <c r="C501" s="1411">
        <v>2095</v>
      </c>
      <c r="D501" s="1410">
        <v>1585000</v>
      </c>
      <c r="E501" s="1412">
        <v>696300</v>
      </c>
      <c r="F501" s="1413">
        <v>286000</v>
      </c>
      <c r="G501" s="1410">
        <v>38.049999999999997</v>
      </c>
      <c r="H501" s="1412">
        <v>0.1118</v>
      </c>
      <c r="I501" s="1412">
        <v>2.5350000000000001E-2</v>
      </c>
      <c r="J501" s="1413">
        <v>45.19</v>
      </c>
    </row>
    <row r="502" spans="2:10" x14ac:dyDescent="0.25">
      <c r="B502" s="1410" t="s">
        <v>913</v>
      </c>
      <c r="C502" s="1411">
        <v>2095</v>
      </c>
      <c r="D502" s="1410">
        <v>1249000</v>
      </c>
      <c r="E502" s="1412">
        <v>1242000</v>
      </c>
      <c r="F502" s="1413">
        <v>1078000</v>
      </c>
      <c r="G502" s="1410">
        <v>23.84</v>
      </c>
      <c r="H502" s="1412">
        <v>0.16985799999999998</v>
      </c>
      <c r="I502" s="1412">
        <v>3.7813000000000001E-4</v>
      </c>
      <c r="J502" s="1413">
        <v>29.157000000000004</v>
      </c>
    </row>
    <row r="503" spans="2:10" x14ac:dyDescent="0.25">
      <c r="B503" s="1410" t="s">
        <v>1081</v>
      </c>
      <c r="C503" s="1411">
        <v>2095</v>
      </c>
      <c r="D503" s="1410">
        <v>1190000</v>
      </c>
      <c r="E503" s="1412">
        <v>51590</v>
      </c>
      <c r="F503" s="1413">
        <v>29220</v>
      </c>
      <c r="G503" s="1410">
        <v>3.7582</v>
      </c>
      <c r="H503" s="1412">
        <v>8.4366999999999984E-3</v>
      </c>
      <c r="I503" s="1412">
        <v>-3.8261190000000002E-3</v>
      </c>
      <c r="J503" s="1413">
        <v>3.0054000000000003</v>
      </c>
    </row>
    <row r="504" spans="2:10" x14ac:dyDescent="0.25">
      <c r="B504" s="1410" t="s">
        <v>815</v>
      </c>
      <c r="C504" s="1411">
        <v>2095</v>
      </c>
      <c r="D504" s="1410">
        <v>1190000</v>
      </c>
      <c r="E504" s="1412">
        <v>51590</v>
      </c>
      <c r="F504" s="1413">
        <v>29220</v>
      </c>
      <c r="G504" s="1410">
        <v>3.7582</v>
      </c>
      <c r="H504" s="1412">
        <v>8.4366999999999984E-3</v>
      </c>
      <c r="I504" s="1412">
        <v>-3.8261190000000002E-3</v>
      </c>
      <c r="J504" s="1413">
        <v>3.0054000000000003</v>
      </c>
    </row>
    <row r="505" spans="2:10" x14ac:dyDescent="0.25">
      <c r="B505" s="1410" t="s">
        <v>824</v>
      </c>
      <c r="C505" s="1411">
        <v>2095</v>
      </c>
      <c r="D505" s="1410">
        <v>1190000</v>
      </c>
      <c r="E505" s="1412">
        <v>51590</v>
      </c>
      <c r="F505" s="1413">
        <v>29220</v>
      </c>
      <c r="G505" s="1410">
        <v>3.7582</v>
      </c>
      <c r="H505" s="1412">
        <v>8.4366999999999984E-3</v>
      </c>
      <c r="I505" s="1412">
        <v>-3.8261190000000002E-3</v>
      </c>
      <c r="J505" s="1413">
        <v>3.0054000000000003</v>
      </c>
    </row>
    <row r="506" spans="2:10" ht="13" thickBot="1" x14ac:dyDescent="0.3">
      <c r="B506" s="1414" t="s">
        <v>1088</v>
      </c>
      <c r="C506" s="1415">
        <v>2095</v>
      </c>
      <c r="D506" s="1414">
        <v>1384000</v>
      </c>
      <c r="E506" s="1416">
        <v>1383000</v>
      </c>
      <c r="F506" s="1417">
        <v>5034</v>
      </c>
      <c r="G506" s="1414">
        <v>78.571100000000001</v>
      </c>
      <c r="H506" s="1416">
        <v>0.27494000000000002</v>
      </c>
      <c r="I506" s="1416">
        <v>2.3304000000000003E-3</v>
      </c>
      <c r="J506" s="1417">
        <v>87.594300000000004</v>
      </c>
    </row>
    <row r="507" spans="2:10" x14ac:dyDescent="0.25">
      <c r="B507" s="1406" t="s">
        <v>1085</v>
      </c>
      <c r="C507" s="1407">
        <v>2100</v>
      </c>
      <c r="D507" s="1406">
        <v>1092000</v>
      </c>
      <c r="E507" s="1408">
        <v>1092000</v>
      </c>
      <c r="F507" s="1409">
        <v>3971</v>
      </c>
      <c r="G507" s="1406">
        <v>5.7390999999999996</v>
      </c>
      <c r="H507" s="1408">
        <v>0.18462200000000001</v>
      </c>
      <c r="I507" s="1408">
        <v>8.61E-4</v>
      </c>
      <c r="J507" s="1409">
        <v>11.5648</v>
      </c>
    </row>
    <row r="508" spans="2:10" x14ac:dyDescent="0.25">
      <c r="B508" s="1410" t="s">
        <v>283</v>
      </c>
      <c r="C508" s="1411">
        <v>2100</v>
      </c>
      <c r="D508" s="1410">
        <v>1092000</v>
      </c>
      <c r="E508" s="1412">
        <v>1092000</v>
      </c>
      <c r="F508" s="1413">
        <v>3971</v>
      </c>
      <c r="G508" s="1410">
        <v>5.7390999999999996</v>
      </c>
      <c r="H508" s="1412">
        <v>0.18462200000000001</v>
      </c>
      <c r="I508" s="1412">
        <v>8.61E-4</v>
      </c>
      <c r="J508" s="1413">
        <v>11.5648</v>
      </c>
    </row>
    <row r="509" spans="2:10" x14ac:dyDescent="0.25">
      <c r="B509" s="1410" t="s">
        <v>1086</v>
      </c>
      <c r="C509" s="1411">
        <v>2100</v>
      </c>
      <c r="D509" s="1410">
        <v>1092000</v>
      </c>
      <c r="E509" s="1412">
        <v>1092000</v>
      </c>
      <c r="F509" s="1413">
        <v>3971</v>
      </c>
      <c r="G509" s="1410">
        <v>5.7390999999999996</v>
      </c>
      <c r="H509" s="1412">
        <v>0.18462200000000001</v>
      </c>
      <c r="I509" s="1412">
        <v>8.61E-4</v>
      </c>
      <c r="J509" s="1413">
        <v>11.5648</v>
      </c>
    </row>
    <row r="510" spans="2:10" x14ac:dyDescent="0.25">
      <c r="B510" s="1410" t="s">
        <v>681</v>
      </c>
      <c r="C510" s="1411">
        <v>2100</v>
      </c>
      <c r="D510" s="1410">
        <v>1092000</v>
      </c>
      <c r="E510" s="1412">
        <v>1092000</v>
      </c>
      <c r="F510" s="1413">
        <v>3971</v>
      </c>
      <c r="G510" s="1410">
        <v>5.7390999999999996</v>
      </c>
      <c r="H510" s="1412">
        <v>0.18462200000000001</v>
      </c>
      <c r="I510" s="1412">
        <v>8.61E-4</v>
      </c>
      <c r="J510" s="1413">
        <v>11.5648</v>
      </c>
    </row>
    <row r="511" spans="2:10" x14ac:dyDescent="0.25">
      <c r="B511" s="1410" t="s">
        <v>682</v>
      </c>
      <c r="C511" s="1411">
        <v>2100</v>
      </c>
      <c r="D511" s="1410">
        <v>-1185000</v>
      </c>
      <c r="E511" s="1412">
        <v>0</v>
      </c>
      <c r="F511" s="1413">
        <v>0</v>
      </c>
      <c r="G511" s="1410">
        <v>-85.800000000000011</v>
      </c>
      <c r="H511" s="1412">
        <v>0.54700000000000004</v>
      </c>
      <c r="I511" s="1412">
        <v>-1.8286999999999999E-3</v>
      </c>
      <c r="J511" s="1413">
        <v>-70.08</v>
      </c>
    </row>
    <row r="512" spans="2:10" x14ac:dyDescent="0.25">
      <c r="B512" s="1410" t="s">
        <v>683</v>
      </c>
      <c r="C512" s="1411">
        <v>2100</v>
      </c>
      <c r="D512" s="1410">
        <v>1721000</v>
      </c>
      <c r="E512" s="1412">
        <v>1293000</v>
      </c>
      <c r="F512" s="1413">
        <v>15050</v>
      </c>
      <c r="G512" s="1410">
        <v>125.08</v>
      </c>
      <c r="H512" s="1412">
        <v>0.20477100000000001</v>
      </c>
      <c r="I512" s="1412">
        <v>1.7827000000000001E-3</v>
      </c>
      <c r="J512" s="1413">
        <v>129.82</v>
      </c>
    </row>
    <row r="513" spans="2:10" x14ac:dyDescent="0.25">
      <c r="B513" s="1410" t="s">
        <v>698</v>
      </c>
      <c r="C513" s="1411">
        <v>2100</v>
      </c>
      <c r="D513" s="1410">
        <v>1721000</v>
      </c>
      <c r="E513" s="1412">
        <v>1293000</v>
      </c>
      <c r="F513" s="1413">
        <v>15050</v>
      </c>
      <c r="G513" s="1410">
        <v>125.08</v>
      </c>
      <c r="H513" s="1412">
        <v>0.20477100000000001</v>
      </c>
      <c r="I513" s="1412">
        <v>1.7827000000000001E-3</v>
      </c>
      <c r="J513" s="1413">
        <v>129.82</v>
      </c>
    </row>
    <row r="514" spans="2:10" x14ac:dyDescent="0.25">
      <c r="B514" s="1410" t="s">
        <v>684</v>
      </c>
      <c r="C514" s="1411">
        <v>2100</v>
      </c>
      <c r="D514" s="1410">
        <v>1721000</v>
      </c>
      <c r="E514" s="1412">
        <v>1293000</v>
      </c>
      <c r="F514" s="1413">
        <v>15050</v>
      </c>
      <c r="G514" s="1410">
        <v>125.08</v>
      </c>
      <c r="H514" s="1412">
        <v>0.20477100000000001</v>
      </c>
      <c r="I514" s="1412">
        <v>1.7827000000000001E-3</v>
      </c>
      <c r="J514" s="1413">
        <v>129.82</v>
      </c>
    </row>
    <row r="515" spans="2:10" x14ac:dyDescent="0.25">
      <c r="B515" s="1410" t="s">
        <v>1087</v>
      </c>
      <c r="C515" s="1411">
        <v>2100</v>
      </c>
      <c r="D515" s="1410">
        <v>1022000</v>
      </c>
      <c r="E515" s="1412">
        <v>1021000</v>
      </c>
      <c r="F515" s="1413">
        <v>15510</v>
      </c>
      <c r="G515" s="1410">
        <v>1.6964999999999999</v>
      </c>
      <c r="H515" s="1412">
        <v>0.14096238999999999</v>
      </c>
      <c r="I515" s="1412">
        <v>3.2765999999999998E-5</v>
      </c>
      <c r="J515" s="1413">
        <v>5.9536999999999995</v>
      </c>
    </row>
    <row r="516" spans="2:10" x14ac:dyDescent="0.25">
      <c r="B516" s="1410" t="s">
        <v>716</v>
      </c>
      <c r="C516" s="1411">
        <v>2100</v>
      </c>
      <c r="D516" s="1410">
        <v>1022000</v>
      </c>
      <c r="E516" s="1412">
        <v>1021000</v>
      </c>
      <c r="F516" s="1413">
        <v>15510</v>
      </c>
      <c r="G516" s="1410">
        <v>1.6964999999999999</v>
      </c>
      <c r="H516" s="1412">
        <v>0.14096238999999999</v>
      </c>
      <c r="I516" s="1412">
        <v>3.2765999999999998E-5</v>
      </c>
      <c r="J516" s="1413">
        <v>5.9536999999999995</v>
      </c>
    </row>
    <row r="517" spans="2:10" x14ac:dyDescent="0.25">
      <c r="B517" s="1410" t="s">
        <v>717</v>
      </c>
      <c r="C517" s="1411">
        <v>2100</v>
      </c>
      <c r="D517" s="1410">
        <v>1022000</v>
      </c>
      <c r="E517" s="1412">
        <v>1021000</v>
      </c>
      <c r="F517" s="1413">
        <v>15510</v>
      </c>
      <c r="G517" s="1410">
        <v>1.6964999999999999</v>
      </c>
      <c r="H517" s="1412">
        <v>0.14096238999999999</v>
      </c>
      <c r="I517" s="1412">
        <v>3.2765999999999998E-5</v>
      </c>
      <c r="J517" s="1413">
        <v>5.9536999999999995</v>
      </c>
    </row>
    <row r="518" spans="2:10" x14ac:dyDescent="0.25">
      <c r="B518" s="1410" t="s">
        <v>912</v>
      </c>
      <c r="C518" s="1411">
        <v>2100</v>
      </c>
      <c r="D518" s="1410">
        <v>1209000</v>
      </c>
      <c r="E518" s="1412">
        <v>1202000</v>
      </c>
      <c r="F518" s="1413">
        <v>1052000</v>
      </c>
      <c r="G518" s="1410">
        <v>17.969000000000001</v>
      </c>
      <c r="H518" s="1412">
        <v>0.164128</v>
      </c>
      <c r="I518" s="1412">
        <v>2.9025999999999998E-4</v>
      </c>
      <c r="J518" s="1413">
        <v>22.988</v>
      </c>
    </row>
    <row r="519" spans="2:10" x14ac:dyDescent="0.25">
      <c r="B519" s="1410" t="s">
        <v>910</v>
      </c>
      <c r="C519" s="1411">
        <v>2100</v>
      </c>
      <c r="D519" s="1410">
        <v>1585000</v>
      </c>
      <c r="E519" s="1412">
        <v>696300</v>
      </c>
      <c r="F519" s="1413">
        <v>286000</v>
      </c>
      <c r="G519" s="1410">
        <v>38.049999999999997</v>
      </c>
      <c r="H519" s="1412">
        <v>0.1118</v>
      </c>
      <c r="I519" s="1412">
        <v>2.5350000000000001E-2</v>
      </c>
      <c r="J519" s="1413">
        <v>45.19</v>
      </c>
    </row>
    <row r="520" spans="2:10" x14ac:dyDescent="0.25">
      <c r="B520" s="1410" t="s">
        <v>913</v>
      </c>
      <c r="C520" s="1411">
        <v>2100</v>
      </c>
      <c r="D520" s="1410">
        <v>1249000</v>
      </c>
      <c r="E520" s="1412">
        <v>1242000</v>
      </c>
      <c r="F520" s="1413">
        <v>1078000</v>
      </c>
      <c r="G520" s="1410">
        <v>23.84</v>
      </c>
      <c r="H520" s="1412">
        <v>0.16985799999999998</v>
      </c>
      <c r="I520" s="1412">
        <v>3.7813000000000001E-4</v>
      </c>
      <c r="J520" s="1413">
        <v>29.157000000000004</v>
      </c>
    </row>
    <row r="521" spans="2:10" x14ac:dyDescent="0.25">
      <c r="B521" s="1410" t="s">
        <v>1081</v>
      </c>
      <c r="C521" s="1411">
        <v>2100</v>
      </c>
      <c r="D521" s="1410">
        <v>1190000</v>
      </c>
      <c r="E521" s="1412">
        <v>51590</v>
      </c>
      <c r="F521" s="1413">
        <v>29220</v>
      </c>
      <c r="G521" s="1410">
        <v>3.7582</v>
      </c>
      <c r="H521" s="1412">
        <v>8.4366999999999984E-3</v>
      </c>
      <c r="I521" s="1412">
        <v>-3.8261190000000002E-3</v>
      </c>
      <c r="J521" s="1413">
        <v>3.0054000000000003</v>
      </c>
    </row>
    <row r="522" spans="2:10" x14ac:dyDescent="0.25">
      <c r="B522" s="1410" t="s">
        <v>815</v>
      </c>
      <c r="C522" s="1411">
        <v>2100</v>
      </c>
      <c r="D522" s="1410">
        <v>1190000</v>
      </c>
      <c r="E522" s="1412">
        <v>51590</v>
      </c>
      <c r="F522" s="1413">
        <v>29220</v>
      </c>
      <c r="G522" s="1410">
        <v>3.7582</v>
      </c>
      <c r="H522" s="1412">
        <v>8.4366999999999984E-3</v>
      </c>
      <c r="I522" s="1412">
        <v>-3.8261190000000002E-3</v>
      </c>
      <c r="J522" s="1413">
        <v>3.0054000000000003</v>
      </c>
    </row>
    <row r="523" spans="2:10" x14ac:dyDescent="0.25">
      <c r="B523" s="1410" t="s">
        <v>824</v>
      </c>
      <c r="C523" s="1411">
        <v>2100</v>
      </c>
      <c r="D523" s="1410">
        <v>1190000</v>
      </c>
      <c r="E523" s="1412">
        <v>51590</v>
      </c>
      <c r="F523" s="1413">
        <v>29220</v>
      </c>
      <c r="G523" s="1410">
        <v>3.7582</v>
      </c>
      <c r="H523" s="1412">
        <v>8.4366999999999984E-3</v>
      </c>
      <c r="I523" s="1412">
        <v>-3.8261190000000002E-3</v>
      </c>
      <c r="J523" s="1413">
        <v>3.0054000000000003</v>
      </c>
    </row>
    <row r="524" spans="2:10" ht="13" thickBot="1" x14ac:dyDescent="0.3">
      <c r="B524" s="1414" t="s">
        <v>1088</v>
      </c>
      <c r="C524" s="1415">
        <v>2100</v>
      </c>
      <c r="D524" s="1414">
        <v>1384000</v>
      </c>
      <c r="E524" s="1416">
        <v>1383000</v>
      </c>
      <c r="F524" s="1417">
        <v>5034</v>
      </c>
      <c r="G524" s="1414">
        <v>78.571100000000001</v>
      </c>
      <c r="H524" s="1416">
        <v>0.27494000000000002</v>
      </c>
      <c r="I524" s="1416">
        <v>2.3304000000000003E-3</v>
      </c>
      <c r="J524" s="1417">
        <v>87.594300000000004</v>
      </c>
    </row>
  </sheetData>
  <mergeCells count="23">
    <mergeCell ref="A52:K52"/>
    <mergeCell ref="A51:K51"/>
    <mergeCell ref="D91:E91"/>
    <mergeCell ref="A59:K59"/>
    <mergeCell ref="A2:K2"/>
    <mergeCell ref="A3:K3"/>
    <mergeCell ref="C4:E4"/>
    <mergeCell ref="G4:I4"/>
    <mergeCell ref="A56:K56"/>
    <mergeCell ref="A57:K57"/>
    <mergeCell ref="K92:L92"/>
    <mergeCell ref="A91:B91"/>
    <mergeCell ref="A58:K58"/>
    <mergeCell ref="A53:K53"/>
    <mergeCell ref="C134:E134"/>
    <mergeCell ref="F134:H134"/>
    <mergeCell ref="A54:K54"/>
    <mergeCell ref="G91:H91"/>
    <mergeCell ref="D92:E92"/>
    <mergeCell ref="A55:K55"/>
    <mergeCell ref="A61:K61"/>
    <mergeCell ref="A62:K62"/>
    <mergeCell ref="K91:L91"/>
  </mergeCells>
  <phoneticPr fontId="2" type="noConversion"/>
  <dataValidations disablePrompts="1" count="2">
    <dataValidation type="list" allowBlank="1" showInputMessage="1" showErrorMessage="1" sqref="J71:J88" xr:uid="{00000000-0002-0000-0E00-000000000000}">
      <formula1>Feed_Type_List</formula1>
    </dataValidation>
    <dataValidation type="list" allowBlank="1" showInputMessage="1" showErrorMessage="1" sqref="L71:L88"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247650</xdr:colOff>
                    <xdr:row>1</xdr:row>
                    <xdr:rowOff>19050</xdr:rowOff>
                  </from>
                  <to>
                    <xdr:col>13</xdr:col>
                    <xdr:colOff>38100</xdr:colOff>
                    <xdr:row>4</xdr:row>
                    <xdr:rowOff>95250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election activeCell="A11" sqref="A11:G57"/>
    </sheetView>
  </sheetViews>
  <sheetFormatPr defaultColWidth="9.1796875" defaultRowHeight="12.5" x14ac:dyDescent="0.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x14ac:dyDescent="0.4">
      <c r="A1" s="37" t="s">
        <v>32</v>
      </c>
    </row>
    <row r="2" spans="1:12" ht="15" customHeight="1" x14ac:dyDescent="0.25">
      <c r="A2"/>
      <c r="B2"/>
      <c r="C2"/>
      <c r="D2"/>
      <c r="E2"/>
      <c r="G2" s="39"/>
      <c r="K2" s="40"/>
      <c r="L2" s="41"/>
    </row>
    <row r="3" spans="1:12" ht="15" customHeight="1" x14ac:dyDescent="0.25">
      <c r="A3"/>
      <c r="B3"/>
      <c r="C3"/>
      <c r="D3"/>
      <c r="E3"/>
      <c r="F3" s="44"/>
      <c r="G3" s="44"/>
      <c r="H3" s="39"/>
      <c r="K3" s="40"/>
      <c r="L3" s="41"/>
    </row>
    <row r="4" spans="1:12" ht="15" customHeight="1" x14ac:dyDescent="0.25">
      <c r="A4"/>
      <c r="B4"/>
      <c r="C4"/>
      <c r="D4"/>
      <c r="E4"/>
      <c r="F4" s="44"/>
      <c r="G4" s="44"/>
      <c r="H4" s="39"/>
      <c r="K4" s="40"/>
      <c r="L4" s="41"/>
    </row>
    <row r="5" spans="1:12" ht="15" customHeight="1" x14ac:dyDescent="0.25">
      <c r="A5"/>
      <c r="B5"/>
      <c r="C5"/>
      <c r="D5"/>
      <c r="E5"/>
      <c r="G5" s="39"/>
      <c r="K5" s="45"/>
      <c r="L5" s="41"/>
    </row>
    <row r="6" spans="1:12" ht="15" customHeight="1" x14ac:dyDescent="0.25">
      <c r="A6"/>
      <c r="B6"/>
      <c r="C6"/>
      <c r="D6"/>
      <c r="E6"/>
      <c r="G6" s="39"/>
      <c r="K6" s="45"/>
      <c r="L6" s="41"/>
    </row>
    <row r="7" spans="1:12" ht="15" customHeight="1" x14ac:dyDescent="0.25">
      <c r="A7"/>
      <c r="B7"/>
      <c r="C7"/>
      <c r="D7"/>
      <c r="E7"/>
      <c r="G7" s="39"/>
      <c r="K7" s="45"/>
      <c r="L7" s="41"/>
    </row>
    <row r="8" spans="1:12" x14ac:dyDescent="0.25">
      <c r="A8"/>
      <c r="B8"/>
      <c r="C8"/>
      <c r="D8"/>
      <c r="E8"/>
    </row>
    <row r="9" spans="1:12" x14ac:dyDescent="0.25">
      <c r="A9"/>
      <c r="B9"/>
      <c r="C9"/>
      <c r="D9"/>
      <c r="E9"/>
    </row>
    <row r="10" spans="1:12" ht="13" thickBot="1" x14ac:dyDescent="0.3"/>
    <row r="11" spans="1:12" s="53" customFormat="1" ht="24.75" customHeight="1" thickTop="1" thickBot="1" x14ac:dyDescent="0.4">
      <c r="A11" s="49" t="s">
        <v>39</v>
      </c>
      <c r="B11" s="50"/>
      <c r="C11" s="51"/>
      <c r="D11" s="51"/>
      <c r="E11" s="51"/>
      <c r="F11" s="51"/>
      <c r="G11" s="52"/>
    </row>
    <row r="12" spans="1:12" s="53" customFormat="1" ht="24.75" customHeight="1" thickTop="1" thickBot="1" x14ac:dyDescent="0.4">
      <c r="A12" s="1493"/>
      <c r="B12" s="1691"/>
      <c r="C12" s="1692"/>
      <c r="D12" s="1692"/>
      <c r="E12" s="1692"/>
      <c r="F12" s="1692"/>
      <c r="G12" s="1692"/>
    </row>
    <row r="13" spans="1:12" s="53" customFormat="1" ht="21" customHeight="1" thickTop="1" x14ac:dyDescent="0.3">
      <c r="A13" s="54" t="s">
        <v>40</v>
      </c>
      <c r="B13" s="55" t="s">
        <v>41</v>
      </c>
      <c r="C13" s="56" t="s">
        <v>42</v>
      </c>
      <c r="D13" s="56" t="s">
        <v>43</v>
      </c>
      <c r="E13" s="56" t="s">
        <v>44</v>
      </c>
      <c r="F13" s="56" t="s">
        <v>45</v>
      </c>
      <c r="G13" s="57" t="s">
        <v>46</v>
      </c>
    </row>
    <row r="14" spans="1:12" s="53" customFormat="1" ht="15" customHeight="1" x14ac:dyDescent="0.25">
      <c r="A14" s="1090">
        <f>'Cash Flow Analysis'!B65</f>
        <v>1</v>
      </c>
      <c r="B14" s="1495">
        <f>IF(B13="","",IF('Cash Flow Analysis'!$B$31=0,"N/A",IF(A14=1,1,IF(A13=debt_period,"",B13+1))))</f>
        <v>1</v>
      </c>
      <c r="C14" s="1093">
        <f ca="1">IF(OR(A14="",B14="",B14="N/A"),"",IF(B14=1,-'Cash Flow Analysis'!G65,IF(B14="N/A",0,G13)))</f>
        <v>171967469.28970423</v>
      </c>
      <c r="D14" s="1093">
        <f ca="1">IF(debt_period=0,
E14+F14,
IF(OR(A14="",B14="",B14="N/A"),"",IF(B14=1,((debt_interest*(1+debt_interest)^debt_period)/((1+debt_interest)^debt_period-1))*(-'Cash Flow Analysis'!G65),IF(G13=0,"",D13))))</f>
        <v>6362796.3637190564</v>
      </c>
      <c r="E14" s="1093">
        <f t="shared" ref="E14:E57" ca="1" si="0">IF(OR(A14="",B14="",B14="N/A"),"",C14*debt_interest)</f>
        <v>6362796.3637190564</v>
      </c>
      <c r="F14" s="1093">
        <f>IF(debt_period=0,
IF(B14=(anal_period+construct),0,0),
IF(OR(A14="",B14="",B14="N/A"),"",D14-E14))</f>
        <v>0</v>
      </c>
      <c r="G14" s="1496">
        <f t="shared" ref="G14:G57" ca="1" si="1">IF(OR(A14="",B14="",B14="N/A"),"",C14-F14)</f>
        <v>171967469.28970423</v>
      </c>
    </row>
    <row r="15" spans="1:12" s="53" customFormat="1" ht="15" customHeight="1" x14ac:dyDescent="0.25">
      <c r="A15" s="1090">
        <f>'Cash Flow Analysis'!B66</f>
        <v>2</v>
      </c>
      <c r="B15" s="1495">
        <f>IF(B14="","",IF('Cash Flow Analysis'!$B$31=0,"N/A",IF(A15=1,1,IF(A14=debt_period,"",B14+1))))</f>
        <v>2</v>
      </c>
      <c r="C15" s="1093">
        <f ca="1">IF(OR(A15="",B15="",B15="N/A"),"",IF(B15=1,-'Cash Flow Analysis'!G66,IF(B15="N/A",0,G14)))</f>
        <v>171967469.28970423</v>
      </c>
      <c r="D15" s="1093">
        <f ca="1">IF(debt_period=0,
E15+F15,
IF(OR(A15="",B15="",B15="N/A"),"",IF(B15=1,((debt_interest*(1+debt_interest)^debt_period)/((1+debt_interest)^debt_period-1))*(-'Cash Flow Analysis'!G66),IF(G14=0,"",D14))))</f>
        <v>6362796.3637190564</v>
      </c>
      <c r="E15" s="1093">
        <f t="shared" ca="1" si="0"/>
        <v>6362796.3637190564</v>
      </c>
      <c r="F15" s="1093">
        <f>IF(debt_period=0,
IF(B15=(anal_period+construct),C14,0),
IF(OR(A15="",B15="",B15="N/A"),"",D15-E15))</f>
        <v>0</v>
      </c>
      <c r="G15" s="1496">
        <f t="shared" ca="1" si="1"/>
        <v>171967469.28970423</v>
      </c>
    </row>
    <row r="16" spans="1:12" s="53" customFormat="1" ht="15" customHeight="1" x14ac:dyDescent="0.25">
      <c r="A16" s="1090">
        <f>'Cash Flow Analysis'!B67</f>
        <v>3</v>
      </c>
      <c r="B16" s="1495">
        <f>IF(B15="","",IF('Cash Flow Analysis'!$B$31=0,"N/A",IF(A16=1,1,IF(A15=debt_period,"",B15+1))))</f>
        <v>3</v>
      </c>
      <c r="C16" s="1093">
        <f ca="1">IF(OR(A16="",B16="",B16="N/A"),"",IF(B16=1,-'Cash Flow Analysis'!G67,IF(B16="N/A",0,G15)))</f>
        <v>171967469.28970423</v>
      </c>
      <c r="D16" s="1093">
        <f ca="1">IF(debt_period=0,
E16+F16,
IF(OR(A16="",B16="",B16="N/A"),"",IF(B16=1,((debt_interest*(1+debt_interest)^debt_period)/((1+debt_interest)^debt_period-1))*(-'Cash Flow Analysis'!G67),IF(G15=0,"",D15))))</f>
        <v>6362796.3637190564</v>
      </c>
      <c r="E16" s="1093">
        <f t="shared" ca="1" si="0"/>
        <v>6362796.3637190564</v>
      </c>
      <c r="F16" s="1093">
        <f t="shared" ref="F16:F57" si="2">IF(debt_period=0,
IF(B16=(anal_period+construct),C16,0),
IF(OR(A16="",B16="",B16="N/A"),"",D16-E16))</f>
        <v>0</v>
      </c>
      <c r="G16" s="1496">
        <f t="shared" ca="1" si="1"/>
        <v>171967469.28970423</v>
      </c>
    </row>
    <row r="17" spans="1:7" s="53" customFormat="1" ht="15" customHeight="1" x14ac:dyDescent="0.25">
      <c r="A17" s="1090">
        <f>'Cash Flow Analysis'!B68</f>
        <v>4</v>
      </c>
      <c r="B17" s="1495">
        <f>IF(B16="","",IF('Cash Flow Analysis'!$B$31=0,"N/A",IF(A17=1,1,IF(A16=debt_period,"",B16+1))))</f>
        <v>4</v>
      </c>
      <c r="C17" s="1093">
        <f ca="1">IF(OR(A17="",B17="",B17="N/A"),"",IF(B17=1,-'Cash Flow Analysis'!G68,IF(B17="N/A",0,G16)))</f>
        <v>171967469.28970423</v>
      </c>
      <c r="D17" s="1093">
        <f ca="1">IF(debt_period=0,
E17+F17,
IF(OR(A17="",B17="",B17="N/A"),"",IF(B17=1,((debt_interest*(1+debt_interest)^debt_period)/((1+debt_interest)^debt_period-1))*(-'Cash Flow Analysis'!G68),IF(G16=0,"",D16))))</f>
        <v>6362796.3637190564</v>
      </c>
      <c r="E17" s="1093">
        <f t="shared" ca="1" si="0"/>
        <v>6362796.3637190564</v>
      </c>
      <c r="F17" s="1093">
        <f t="shared" si="2"/>
        <v>0</v>
      </c>
      <c r="G17" s="1496">
        <f t="shared" ca="1" si="1"/>
        <v>171967469.28970423</v>
      </c>
    </row>
    <row r="18" spans="1:7" s="53" customFormat="1" ht="15" customHeight="1" x14ac:dyDescent="0.25">
      <c r="A18" s="1090">
        <f>'Cash Flow Analysis'!B69</f>
        <v>5</v>
      </c>
      <c r="B18" s="1495">
        <f>IF(B17="","",IF('Cash Flow Analysis'!$B$31=0,"N/A",IF(A18=1,1,IF(A17=debt_period,"",B17+1))))</f>
        <v>5</v>
      </c>
      <c r="C18" s="1093">
        <f ca="1">IF(OR(A18="",B18="",B18="N/A"),"",IF(B18=1,-'Cash Flow Analysis'!G69,IF(B18="N/A",0,G17)))</f>
        <v>171967469.28970423</v>
      </c>
      <c r="D18" s="1093">
        <f ca="1">IF(debt_period=0,
E18+F18,
IF(OR(A18="",B18="",B18="N/A"),"",IF(B18=1,((debt_interest*(1+debt_interest)^debt_period)/((1+debt_interest)^debt_period-1))*(-'Cash Flow Analysis'!G69),IF(G17=0,"",D17))))</f>
        <v>6362796.3637190564</v>
      </c>
      <c r="E18" s="1093">
        <f t="shared" ca="1" si="0"/>
        <v>6362796.3637190564</v>
      </c>
      <c r="F18" s="1093">
        <f t="shared" si="2"/>
        <v>0</v>
      </c>
      <c r="G18" s="1496">
        <f t="shared" ca="1" si="1"/>
        <v>171967469.28970423</v>
      </c>
    </row>
    <row r="19" spans="1:7" s="53" customFormat="1" ht="15" customHeight="1" x14ac:dyDescent="0.25">
      <c r="A19" s="1090">
        <f>'Cash Flow Analysis'!B70</f>
        <v>6</v>
      </c>
      <c r="B19" s="1495">
        <f>IF(B18="","",IF('Cash Flow Analysis'!$B$31=0,"N/A",IF(A19=1,1,IF(A18=debt_period,"",B18+1))))</f>
        <v>6</v>
      </c>
      <c r="C19" s="1093">
        <f ca="1">IF(OR(A19="",B19="",B19="N/A"),"",IF(B19=1,-'Cash Flow Analysis'!G70,IF(B19="N/A",0,G18)))</f>
        <v>171967469.28970423</v>
      </c>
      <c r="D19" s="1093">
        <f ca="1">IF(debt_period=0,
E19+F19,
IF(OR(A19="",B19="",B19="N/A"),"",IF(B19=1,((debt_interest*(1+debt_interest)^debt_period)/((1+debt_interest)^debt_period-1))*(-'Cash Flow Analysis'!G70),IF(G18=0,"",D18))))</f>
        <v>6362796.3637190564</v>
      </c>
      <c r="E19" s="1093">
        <f t="shared" ca="1" si="0"/>
        <v>6362796.3637190564</v>
      </c>
      <c r="F19" s="1093">
        <f t="shared" si="2"/>
        <v>0</v>
      </c>
      <c r="G19" s="1496">
        <f t="shared" ca="1" si="1"/>
        <v>171967469.28970423</v>
      </c>
    </row>
    <row r="20" spans="1:7" s="53" customFormat="1" ht="15" customHeight="1" x14ac:dyDescent="0.25">
      <c r="A20" s="1090">
        <f>'Cash Flow Analysis'!B71</f>
        <v>7</v>
      </c>
      <c r="B20" s="1495">
        <f>IF(B19="","",IF('Cash Flow Analysis'!$B$31=0,"N/A",IF(A20=1,1,IF(A19=debt_period,"",B19+1))))</f>
        <v>7</v>
      </c>
      <c r="C20" s="1093">
        <f ca="1">IF(OR(A20="",B20="",B20="N/A"),"",IF(B20=1,-'Cash Flow Analysis'!G71,IF(B20="N/A",0,G19)))</f>
        <v>171967469.28970423</v>
      </c>
      <c r="D20" s="1093">
        <f ca="1">IF(debt_period=0,
E20+F20,
IF(OR(A20="",B20="",B20="N/A"),"",IF(B20=1,((debt_interest*(1+debt_interest)^debt_period)/((1+debt_interest)^debt_period-1))*(-'Cash Flow Analysis'!G71),IF(G19=0,"",D19))))</f>
        <v>6362796.3637190564</v>
      </c>
      <c r="E20" s="1093">
        <f t="shared" ca="1" si="0"/>
        <v>6362796.3637190564</v>
      </c>
      <c r="F20" s="1093">
        <f t="shared" si="2"/>
        <v>0</v>
      </c>
      <c r="G20" s="1496">
        <f t="shared" ca="1" si="1"/>
        <v>171967469.28970423</v>
      </c>
    </row>
    <row r="21" spans="1:7" s="53" customFormat="1" ht="15" customHeight="1" x14ac:dyDescent="0.25">
      <c r="A21" s="1090">
        <f>'Cash Flow Analysis'!B72</f>
        <v>8</v>
      </c>
      <c r="B21" s="1495">
        <f>IF(B20="","",IF('Cash Flow Analysis'!$B$31=0,"N/A",IF(A21=1,1,IF(A20=debt_period,"",B20+1))))</f>
        <v>8</v>
      </c>
      <c r="C21" s="1093">
        <f ca="1">IF(OR(A21="",B21="",B21="N/A"),"",IF(B21=1,-'Cash Flow Analysis'!G72,IF(B21="N/A",0,G20)))</f>
        <v>171967469.28970423</v>
      </c>
      <c r="D21" s="1093">
        <f ca="1">IF(debt_period=0,
E21+F21,
IF(OR(A21="",B21="",B21="N/A"),"",IF(B21=1,((debt_interest*(1+debt_interest)^debt_period)/((1+debt_interest)^debt_period-1))*(-'Cash Flow Analysis'!G72),IF(G20=0,"",D20))))</f>
        <v>6362796.3637190564</v>
      </c>
      <c r="E21" s="1093">
        <f t="shared" ca="1" si="0"/>
        <v>6362796.3637190564</v>
      </c>
      <c r="F21" s="1093">
        <f t="shared" si="2"/>
        <v>0</v>
      </c>
      <c r="G21" s="1496">
        <f t="shared" ca="1" si="1"/>
        <v>171967469.28970423</v>
      </c>
    </row>
    <row r="22" spans="1:7" s="53" customFormat="1" ht="15" customHeight="1" x14ac:dyDescent="0.25">
      <c r="A22" s="1090">
        <f>'Cash Flow Analysis'!B73</f>
        <v>9</v>
      </c>
      <c r="B22" s="1495">
        <f>IF(B21="","",IF('Cash Flow Analysis'!$B$31=0,"N/A",IF(A22=1,1,IF(A21=debt_period,"",B21+1))))</f>
        <v>9</v>
      </c>
      <c r="C22" s="1093">
        <f ca="1">IF(OR(A22="",B22="",B22="N/A"),"",IF(B22=1,-'Cash Flow Analysis'!G73,IF(B22="N/A",0,G21)))</f>
        <v>171967469.28970423</v>
      </c>
      <c r="D22" s="1093">
        <f ca="1">IF(debt_period=0,
E22+F22,
IF(OR(A22="",B22="",B22="N/A"),"",IF(B22=1,((debt_interest*(1+debt_interest)^debt_period)/((1+debt_interest)^debt_period-1))*(-'Cash Flow Analysis'!G73),IF(G21=0,"",D21))))</f>
        <v>6362796.3637190564</v>
      </c>
      <c r="E22" s="1093">
        <f t="shared" ca="1" si="0"/>
        <v>6362796.3637190564</v>
      </c>
      <c r="F22" s="1093">
        <f t="shared" si="2"/>
        <v>0</v>
      </c>
      <c r="G22" s="1496">
        <f t="shared" ca="1" si="1"/>
        <v>171967469.28970423</v>
      </c>
    </row>
    <row r="23" spans="1:7" s="53" customFormat="1" ht="15" customHeight="1" x14ac:dyDescent="0.25">
      <c r="A23" s="1090">
        <f>'Cash Flow Analysis'!B74</f>
        <v>10</v>
      </c>
      <c r="B23" s="1495">
        <f>IF(B22="","",IF('Cash Flow Analysis'!$B$31=0,"N/A",IF(A23=1,1,IF(A22=debt_period,"",B22+1))))</f>
        <v>10</v>
      </c>
      <c r="C23" s="1093">
        <f ca="1">IF(OR(A23="",B23="",B23="N/A"),"",IF(B23=1,-'Cash Flow Analysis'!G74,IF(B23="N/A",0,G22)))</f>
        <v>171967469.28970423</v>
      </c>
      <c r="D23" s="1093">
        <f ca="1">IF(debt_period=0,
E23+F23,
IF(OR(A23="",B23="",B23="N/A"),"",IF(B23=1,((debt_interest*(1+debt_interest)^debt_period)/((1+debt_interest)^debt_period-1))*(-'Cash Flow Analysis'!G74),IF(G22=0,"",D22))))</f>
        <v>6362796.3637190564</v>
      </c>
      <c r="E23" s="1093">
        <f t="shared" ca="1" si="0"/>
        <v>6362796.3637190564</v>
      </c>
      <c r="F23" s="1093">
        <f t="shared" si="2"/>
        <v>0</v>
      </c>
      <c r="G23" s="1496">
        <f t="shared" ca="1" si="1"/>
        <v>171967469.28970423</v>
      </c>
    </row>
    <row r="24" spans="1:7" s="53" customFormat="1" ht="15" customHeight="1" x14ac:dyDescent="0.25">
      <c r="A24" s="1090">
        <f>'Cash Flow Analysis'!B75</f>
        <v>11</v>
      </c>
      <c r="B24" s="1495">
        <f>IF(B23="","",IF('Cash Flow Analysis'!$B$31=0,"N/A",IF(A24=1,1,IF(A23=debt_period,"",B23+1))))</f>
        <v>11</v>
      </c>
      <c r="C24" s="1093">
        <f ca="1">IF(OR(A24="",B24="",B24="N/A"),"",IF(B24=1,-'Cash Flow Analysis'!G75,IF(B24="N/A",0,G23)))</f>
        <v>171967469.28970423</v>
      </c>
      <c r="D24" s="1093">
        <f ca="1">IF(debt_period=0,
E24+F24,
IF(OR(A24="",B24="",B24="N/A"),"",IF(B24=1,((debt_interest*(1+debt_interest)^debt_period)/((1+debt_interest)^debt_period-1))*(-'Cash Flow Analysis'!G75),IF(G23=0,"",D23))))</f>
        <v>6362796.3637190564</v>
      </c>
      <c r="E24" s="1093">
        <f t="shared" ca="1" si="0"/>
        <v>6362796.3637190564</v>
      </c>
      <c r="F24" s="1093">
        <f t="shared" si="2"/>
        <v>0</v>
      </c>
      <c r="G24" s="1496">
        <f t="shared" ca="1" si="1"/>
        <v>171967469.28970423</v>
      </c>
    </row>
    <row r="25" spans="1:7" s="53" customFormat="1" ht="15" customHeight="1" x14ac:dyDescent="0.25">
      <c r="A25" s="1090">
        <f>'Cash Flow Analysis'!B76</f>
        <v>12</v>
      </c>
      <c r="B25" s="1495">
        <f>IF(B24="","",IF('Cash Flow Analysis'!$B$31=0,"N/A",IF(A25=1,1,IF(A24=debt_period,"",B24+1))))</f>
        <v>12</v>
      </c>
      <c r="C25" s="1093">
        <f ca="1">IF(OR(A25="",B25="",B25="N/A"),"",IF(B25=1,-'Cash Flow Analysis'!G76,IF(B25="N/A",0,G24)))</f>
        <v>171967469.28970423</v>
      </c>
      <c r="D25" s="1093">
        <f ca="1">IF(debt_period=0,
E25+F25,
IF(OR(A25="",B25="",B25="N/A"),"",IF(B25=1,((debt_interest*(1+debt_interest)^debt_period)/((1+debt_interest)^debt_period-1))*(-'Cash Flow Analysis'!G76),IF(G24=0,"",D24))))</f>
        <v>6362796.3637190564</v>
      </c>
      <c r="E25" s="1093">
        <f t="shared" ca="1" si="0"/>
        <v>6362796.3637190564</v>
      </c>
      <c r="F25" s="1093">
        <f t="shared" si="2"/>
        <v>0</v>
      </c>
      <c r="G25" s="1496">
        <f t="shared" ca="1" si="1"/>
        <v>171967469.28970423</v>
      </c>
    </row>
    <row r="26" spans="1:7" s="53" customFormat="1" ht="15" customHeight="1" x14ac:dyDescent="0.25">
      <c r="A26" s="1090">
        <f>'Cash Flow Analysis'!B77</f>
        <v>13</v>
      </c>
      <c r="B26" s="1495">
        <f>IF(B25="","",IF('Cash Flow Analysis'!$B$31=0,"N/A",IF(A26=1,1,IF(A25=debt_period,"",B25+1))))</f>
        <v>13</v>
      </c>
      <c r="C26" s="1093">
        <f ca="1">IF(OR(A26="",B26="",B26="N/A"),"",IF(B26=1,-'Cash Flow Analysis'!G77,IF(B26="N/A",0,G25)))</f>
        <v>171967469.28970423</v>
      </c>
      <c r="D26" s="1093">
        <f ca="1">IF(debt_period=0,
E26+F26,
IF(OR(A26="",B26="",B26="N/A"),"",IF(B26=1,((debt_interest*(1+debt_interest)^debt_period)/((1+debt_interest)^debt_period-1))*(-'Cash Flow Analysis'!G77),IF(G25=0,"",D25))))</f>
        <v>6362796.3637190564</v>
      </c>
      <c r="E26" s="1093">
        <f t="shared" ca="1" si="0"/>
        <v>6362796.3637190564</v>
      </c>
      <c r="F26" s="1093">
        <f t="shared" si="2"/>
        <v>0</v>
      </c>
      <c r="G26" s="1496">
        <f t="shared" ca="1" si="1"/>
        <v>171967469.28970423</v>
      </c>
    </row>
    <row r="27" spans="1:7" s="53" customFormat="1" ht="15" customHeight="1" x14ac:dyDescent="0.25">
      <c r="A27" s="1090">
        <f>'Cash Flow Analysis'!B78</f>
        <v>14</v>
      </c>
      <c r="B27" s="1495">
        <f>IF(B26="","",IF('Cash Flow Analysis'!$B$31=0,"N/A",IF(A27=1,1,IF(A26=debt_period,"",B26+1))))</f>
        <v>14</v>
      </c>
      <c r="C27" s="1093">
        <f ca="1">IF(OR(A27="",B27="",B27="N/A"),"",IF(B27=1,-'Cash Flow Analysis'!G78,IF(B27="N/A",0,G26)))</f>
        <v>171967469.28970423</v>
      </c>
      <c r="D27" s="1093">
        <f ca="1">IF(debt_period=0,
E27+F27,
IF(OR(A27="",B27="",B27="N/A"),"",IF(B27=1,((debt_interest*(1+debt_interest)^debt_period)/((1+debt_interest)^debt_period-1))*(-'Cash Flow Analysis'!G78),IF(G26=0,"",D26))))</f>
        <v>6362796.3637190564</v>
      </c>
      <c r="E27" s="1093">
        <f t="shared" ca="1" si="0"/>
        <v>6362796.3637190564</v>
      </c>
      <c r="F27" s="1093">
        <f t="shared" si="2"/>
        <v>0</v>
      </c>
      <c r="G27" s="1496">
        <f t="shared" ca="1" si="1"/>
        <v>171967469.28970423</v>
      </c>
    </row>
    <row r="28" spans="1:7" s="53" customFormat="1" ht="15" customHeight="1" x14ac:dyDescent="0.25">
      <c r="A28" s="1090">
        <f>'Cash Flow Analysis'!B79</f>
        <v>15</v>
      </c>
      <c r="B28" s="1495">
        <f>IF(B27="","",IF('Cash Flow Analysis'!$B$31=0,"N/A",IF(A28=1,1,IF(A27=debt_period,"",B27+1))))</f>
        <v>15</v>
      </c>
      <c r="C28" s="1093">
        <f ca="1">IF(OR(A28="",B28="",B28="N/A"),"",IF(B28=1,-'Cash Flow Analysis'!G79,IF(B28="N/A",0,G27)))</f>
        <v>171967469.28970423</v>
      </c>
      <c r="D28" s="1093">
        <f ca="1">IF(debt_period=0,
E28+F28,
IF(OR(A28="",B28="",B28="N/A"),"",IF(B28=1,((debt_interest*(1+debt_interest)^debt_period)/((1+debt_interest)^debt_period-1))*(-'Cash Flow Analysis'!G79),IF(G27=0,"",D27))))</f>
        <v>6362796.3637190564</v>
      </c>
      <c r="E28" s="1093">
        <f t="shared" ca="1" si="0"/>
        <v>6362796.3637190564</v>
      </c>
      <c r="F28" s="1093">
        <f t="shared" si="2"/>
        <v>0</v>
      </c>
      <c r="G28" s="1496">
        <f t="shared" ca="1" si="1"/>
        <v>171967469.28970423</v>
      </c>
    </row>
    <row r="29" spans="1:7" s="53" customFormat="1" ht="15" customHeight="1" x14ac:dyDescent="0.25">
      <c r="A29" s="1090">
        <f>'Cash Flow Analysis'!B80</f>
        <v>16</v>
      </c>
      <c r="B29" s="1495">
        <f>IF(B28="","",IF('Cash Flow Analysis'!$B$31=0,"N/A",IF(A29=1,1,IF(A28=debt_period,"",B28+1))))</f>
        <v>16</v>
      </c>
      <c r="C29" s="1093">
        <f ca="1">IF(OR(A29="",B29="",B29="N/A"),"",IF(B29=1,-'Cash Flow Analysis'!G80,IF(B29="N/A",0,G28)))</f>
        <v>171967469.28970423</v>
      </c>
      <c r="D29" s="1093">
        <f ca="1">IF(debt_period=0,
E29+F29,
IF(OR(A29="",B29="",B29="N/A"),"",IF(B29=1,((debt_interest*(1+debt_interest)^debt_period)/((1+debt_interest)^debt_period-1))*(-'Cash Flow Analysis'!G80),IF(G28=0,"",D28))))</f>
        <v>6362796.3637190564</v>
      </c>
      <c r="E29" s="1093">
        <f t="shared" ca="1" si="0"/>
        <v>6362796.3637190564</v>
      </c>
      <c r="F29" s="1093">
        <f t="shared" si="2"/>
        <v>0</v>
      </c>
      <c r="G29" s="1496">
        <f t="shared" ca="1" si="1"/>
        <v>171967469.28970423</v>
      </c>
    </row>
    <row r="30" spans="1:7" s="53" customFormat="1" ht="15" customHeight="1" x14ac:dyDescent="0.25">
      <c r="A30" s="1090">
        <f>'Cash Flow Analysis'!B81</f>
        <v>17</v>
      </c>
      <c r="B30" s="1495">
        <f>IF(B29="","",IF('Cash Flow Analysis'!$B$31=0,"N/A",IF(A30=1,1,IF(A29=debt_period,"",B29+1))))</f>
        <v>17</v>
      </c>
      <c r="C30" s="1093">
        <f ca="1">IF(OR(A30="",B30="",B30="N/A"),"",IF(B30=1,-'Cash Flow Analysis'!G81,IF(B30="N/A",0,G29)))</f>
        <v>171967469.28970423</v>
      </c>
      <c r="D30" s="1093">
        <f ca="1">IF(debt_period=0,
E30+F30,
IF(OR(A30="",B30="",B30="N/A"),"",IF(B30=1,((debt_interest*(1+debt_interest)^debt_period)/((1+debt_interest)^debt_period-1))*(-'Cash Flow Analysis'!G81),IF(G29=0,"",D29))))</f>
        <v>6362796.3637190564</v>
      </c>
      <c r="E30" s="1093">
        <f t="shared" ca="1" si="0"/>
        <v>6362796.3637190564</v>
      </c>
      <c r="F30" s="1093">
        <f t="shared" si="2"/>
        <v>0</v>
      </c>
      <c r="G30" s="1496">
        <f t="shared" ca="1" si="1"/>
        <v>171967469.28970423</v>
      </c>
    </row>
    <row r="31" spans="1:7" s="53" customFormat="1" ht="15" customHeight="1" x14ac:dyDescent="0.25">
      <c r="A31" s="1090">
        <f>'Cash Flow Analysis'!B82</f>
        <v>18</v>
      </c>
      <c r="B31" s="1495">
        <f>IF(B30="","",IF('Cash Flow Analysis'!$B$31=0,"N/A",IF(A31=1,1,IF(A30=debt_period,"",B30+1))))</f>
        <v>18</v>
      </c>
      <c r="C31" s="1093">
        <f ca="1">IF(OR(A31="",B31="",B31="N/A"),"",IF(B31=1,-'Cash Flow Analysis'!G82,IF(B31="N/A",0,G30)))</f>
        <v>171967469.28970423</v>
      </c>
      <c r="D31" s="1093">
        <f ca="1">IF(debt_period=0,
E31+F31,
IF(OR(A31="",B31="",B31="N/A"),"",IF(B31=1,((debt_interest*(1+debt_interest)^debt_period)/((1+debt_interest)^debt_period-1))*(-'Cash Flow Analysis'!G82),IF(G30=0,"",D30))))</f>
        <v>6362796.3637190564</v>
      </c>
      <c r="E31" s="1093">
        <f t="shared" ca="1" si="0"/>
        <v>6362796.3637190564</v>
      </c>
      <c r="F31" s="1093">
        <f t="shared" si="2"/>
        <v>0</v>
      </c>
      <c r="G31" s="1496">
        <f t="shared" ca="1" si="1"/>
        <v>171967469.28970423</v>
      </c>
    </row>
    <row r="32" spans="1:7" s="53" customFormat="1" ht="15" customHeight="1" x14ac:dyDescent="0.25">
      <c r="A32" s="1090">
        <f>'Cash Flow Analysis'!B83</f>
        <v>19</v>
      </c>
      <c r="B32" s="1495">
        <f>IF(B31="","",IF('Cash Flow Analysis'!$B$31=0,"N/A",IF(A32=1,1,IF(A31=debt_period,"",B31+1))))</f>
        <v>19</v>
      </c>
      <c r="C32" s="1093">
        <f ca="1">IF(OR(A32="",B32="",B32="N/A"),"",IF(B32=1,-'Cash Flow Analysis'!G83,IF(B32="N/A",0,G31)))</f>
        <v>171967469.28970423</v>
      </c>
      <c r="D32" s="1093">
        <f ca="1">IF(debt_period=0,
E32+F32,
IF(OR(A32="",B32="",B32="N/A"),"",IF(B32=1,((debt_interest*(1+debt_interest)^debt_period)/((1+debt_interest)^debt_period-1))*(-'Cash Flow Analysis'!G83),IF(G31=0,"",D31))))</f>
        <v>6362796.3637190564</v>
      </c>
      <c r="E32" s="1093">
        <f t="shared" ca="1" si="0"/>
        <v>6362796.3637190564</v>
      </c>
      <c r="F32" s="1093">
        <f t="shared" si="2"/>
        <v>0</v>
      </c>
      <c r="G32" s="1496">
        <f t="shared" ca="1" si="1"/>
        <v>171967469.28970423</v>
      </c>
    </row>
    <row r="33" spans="1:7" s="53" customFormat="1" ht="15" customHeight="1" x14ac:dyDescent="0.25">
      <c r="A33" s="1090">
        <f>'Cash Flow Analysis'!B84</f>
        <v>20</v>
      </c>
      <c r="B33" s="1495">
        <f>IF(B32="","",IF('Cash Flow Analysis'!$B$31=0,"N/A",IF(A33=1,1,IF(A32=debt_period,"",B32+1))))</f>
        <v>20</v>
      </c>
      <c r="C33" s="1093">
        <f ca="1">IF(OR(A33="",B33="",B33="N/A"),"",IF(B33=1,-'Cash Flow Analysis'!G84,IF(B33="N/A",0,G32)))</f>
        <v>171967469.28970423</v>
      </c>
      <c r="D33" s="1093">
        <f ca="1">IF(debt_period=0,
E33+F33,
IF(OR(A33="",B33="",B33="N/A"),"",IF(B33=1,((debt_interest*(1+debt_interest)^debt_period)/((1+debt_interest)^debt_period-1))*(-'Cash Flow Analysis'!G84),IF(G32=0,"",D32))))</f>
        <v>6362796.3637190564</v>
      </c>
      <c r="E33" s="1093">
        <f t="shared" ca="1" si="0"/>
        <v>6362796.3637190564</v>
      </c>
      <c r="F33" s="1093">
        <f t="shared" si="2"/>
        <v>0</v>
      </c>
      <c r="G33" s="1496">
        <f t="shared" ca="1" si="1"/>
        <v>171967469.28970423</v>
      </c>
    </row>
    <row r="34" spans="1:7" s="53" customFormat="1" ht="15" customHeight="1" x14ac:dyDescent="0.25">
      <c r="A34" s="1090">
        <f>'Cash Flow Analysis'!B85</f>
        <v>21</v>
      </c>
      <c r="B34" s="1495">
        <f>IF(B33="","",IF('Cash Flow Analysis'!$B$31=0,"N/A",IF(A34=1,1,IF(A33=debt_period,"",B33+1))))</f>
        <v>21</v>
      </c>
      <c r="C34" s="1093">
        <f ca="1">IF(OR(A34="",B34="",B34="N/A"),"",IF(B34=1,-'Cash Flow Analysis'!G85,IF(B34="N/A",0,G33)))</f>
        <v>171967469.28970423</v>
      </c>
      <c r="D34" s="1093">
        <f ca="1">IF(debt_period=0,
E34+F34,
IF(OR(A34="",B34="",B34="N/A"),"",IF(B34=1,((debt_interest*(1+debt_interest)^debt_period)/((1+debt_interest)^debt_period-1))*(-'Cash Flow Analysis'!G85),IF(G33=0,"",D33))))</f>
        <v>6362796.3637190564</v>
      </c>
      <c r="E34" s="1093">
        <f t="shared" ca="1" si="0"/>
        <v>6362796.3637190564</v>
      </c>
      <c r="F34" s="1093">
        <f t="shared" si="2"/>
        <v>0</v>
      </c>
      <c r="G34" s="1496">
        <f t="shared" ca="1" si="1"/>
        <v>171967469.28970423</v>
      </c>
    </row>
    <row r="35" spans="1:7" s="53" customFormat="1" ht="15" customHeight="1" x14ac:dyDescent="0.25">
      <c r="A35" s="1090">
        <f>'Cash Flow Analysis'!B86</f>
        <v>22</v>
      </c>
      <c r="B35" s="1495">
        <f>IF(B34="","",IF('Cash Flow Analysis'!$B$31=0,"N/A",IF(A35=1,1,IF(A34=debt_period,"",B34+1))))</f>
        <v>22</v>
      </c>
      <c r="C35" s="1093">
        <f ca="1">IF(OR(A35="",B35="",B35="N/A"),"",IF(B35=1,-'Cash Flow Analysis'!G86,IF(B35="N/A",0,G34)))</f>
        <v>171967469.28970423</v>
      </c>
      <c r="D35" s="1093">
        <f ca="1">IF(debt_period=0,
E35+F35,
IF(OR(A35="",B35="",B35="N/A"),"",IF(B35=1,((debt_interest*(1+debt_interest)^debt_period)/((1+debt_interest)^debt_period-1))*(-'Cash Flow Analysis'!G86),IF(G34=0,"",D34))))</f>
        <v>6362796.3637190564</v>
      </c>
      <c r="E35" s="1093">
        <f t="shared" ca="1" si="0"/>
        <v>6362796.3637190564</v>
      </c>
      <c r="F35" s="1093">
        <f t="shared" si="2"/>
        <v>0</v>
      </c>
      <c r="G35" s="1496">
        <f t="shared" ca="1" si="1"/>
        <v>171967469.28970423</v>
      </c>
    </row>
    <row r="36" spans="1:7" s="53" customFormat="1" ht="15" customHeight="1" x14ac:dyDescent="0.25">
      <c r="A36" s="1090">
        <f>'Cash Flow Analysis'!B87</f>
        <v>23</v>
      </c>
      <c r="B36" s="1495">
        <f>IF(B35="","",IF('Cash Flow Analysis'!$B$31=0,"N/A",IF(A36=1,1,IF(A35=debt_period,"",B35+1))))</f>
        <v>23</v>
      </c>
      <c r="C36" s="1093">
        <f ca="1">IF(OR(A36="",B36="",B36="N/A"),"",IF(B36=1,-'Cash Flow Analysis'!G87,IF(B36="N/A",0,G35)))</f>
        <v>171967469.28970423</v>
      </c>
      <c r="D36" s="1093">
        <f ca="1">IF(debt_period=0,
E36+F36,
IF(OR(A36="",B36="",B36="N/A"),"",IF(B36=1,((debt_interest*(1+debt_interest)^debt_period)/((1+debt_interest)^debt_period-1))*(-'Cash Flow Analysis'!G87),IF(G35=0,"",D35))))</f>
        <v>6362796.3637190564</v>
      </c>
      <c r="E36" s="1093">
        <f t="shared" ca="1" si="0"/>
        <v>6362796.3637190564</v>
      </c>
      <c r="F36" s="1093">
        <f t="shared" si="2"/>
        <v>0</v>
      </c>
      <c r="G36" s="1496">
        <f t="shared" ca="1" si="1"/>
        <v>171967469.28970423</v>
      </c>
    </row>
    <row r="37" spans="1:7" s="53" customFormat="1" ht="15" customHeight="1" x14ac:dyDescent="0.25">
      <c r="A37" s="1090">
        <f>'Cash Flow Analysis'!B88</f>
        <v>24</v>
      </c>
      <c r="B37" s="1495">
        <f>IF(B36="","",IF('Cash Flow Analysis'!$B$31=0,"N/A",IF(A37=1,1,IF(A36=debt_period,"",B36+1))))</f>
        <v>24</v>
      </c>
      <c r="C37" s="1093">
        <f ca="1">IF(OR(A37="",B37="",B37="N/A"),"",IF(B37=1,-'Cash Flow Analysis'!G88,IF(B37="N/A",0,G36)))</f>
        <v>171967469.28970423</v>
      </c>
      <c r="D37" s="1093">
        <f ca="1">IF(debt_period=0,
E37+F37,
IF(OR(A37="",B37="",B37="N/A"),"",IF(B37=1,((debt_interest*(1+debt_interest)^debt_period)/((1+debt_interest)^debt_period-1))*(-'Cash Flow Analysis'!G88),IF(G36=0,"",D36))))</f>
        <v>6362796.3637190564</v>
      </c>
      <c r="E37" s="1093">
        <f t="shared" ca="1" si="0"/>
        <v>6362796.3637190564</v>
      </c>
      <c r="F37" s="1093">
        <f t="shared" si="2"/>
        <v>0</v>
      </c>
      <c r="G37" s="1496">
        <f t="shared" ca="1" si="1"/>
        <v>171967469.28970423</v>
      </c>
    </row>
    <row r="38" spans="1:7" s="53" customFormat="1" ht="15" customHeight="1" x14ac:dyDescent="0.25">
      <c r="A38" s="1090">
        <f>'Cash Flow Analysis'!B89</f>
        <v>25</v>
      </c>
      <c r="B38" s="1495">
        <f>IF(B37="","",IF('Cash Flow Analysis'!$B$31=0,"N/A",IF(A38=1,1,IF(A37=debt_period,"",B37+1))))</f>
        <v>25</v>
      </c>
      <c r="C38" s="1093">
        <f ca="1">IF(OR(A38="",B38="",B38="N/A"),"",IF(B38=1,-'Cash Flow Analysis'!G89,IF(B38="N/A",0,G37)))</f>
        <v>171967469.28970423</v>
      </c>
      <c r="D38" s="1093">
        <f ca="1">IF(debt_period=0,
E38+F38,
IF(OR(A38="",B38="",B38="N/A"),"",IF(B38=1,((debt_interest*(1+debt_interest)^debt_period)/((1+debt_interest)^debt_period-1))*(-'Cash Flow Analysis'!G89),IF(G37=0,"",D37))))</f>
        <v>6362796.3637190564</v>
      </c>
      <c r="E38" s="1093">
        <f t="shared" ca="1" si="0"/>
        <v>6362796.3637190564</v>
      </c>
      <c r="F38" s="1093">
        <f t="shared" si="2"/>
        <v>0</v>
      </c>
      <c r="G38" s="1496">
        <f t="shared" ca="1" si="1"/>
        <v>171967469.28970423</v>
      </c>
    </row>
    <row r="39" spans="1:7" s="53" customFormat="1" ht="15" customHeight="1" x14ac:dyDescent="0.25">
      <c r="A39" s="1090">
        <f>'Cash Flow Analysis'!B90</f>
        <v>26</v>
      </c>
      <c r="B39" s="1495">
        <f>IF(B38="","",IF('Cash Flow Analysis'!$B$31=0,"N/A",IF(A39=1,1,IF(A38=debt_period,"",B38+1))))</f>
        <v>26</v>
      </c>
      <c r="C39" s="1093">
        <f ca="1">IF(OR(A39="",B39="",B39="N/A"),"",IF(B39=1,-'Cash Flow Analysis'!G90,IF(B39="N/A",0,G38)))</f>
        <v>171967469.28970423</v>
      </c>
      <c r="D39" s="1093">
        <f ca="1">IF(debt_period=0,
E39+F39,
IF(OR(A39="",B39="",B39="N/A"),"",IF(B39=1,((debt_interest*(1+debt_interest)^debt_period)/((1+debt_interest)^debt_period-1))*(-'Cash Flow Analysis'!G90),IF(G38=0,"",D38))))</f>
        <v>6362796.3637190564</v>
      </c>
      <c r="E39" s="1093">
        <f t="shared" ca="1" si="0"/>
        <v>6362796.3637190564</v>
      </c>
      <c r="F39" s="1093">
        <f t="shared" si="2"/>
        <v>0</v>
      </c>
      <c r="G39" s="1496">
        <f t="shared" ca="1" si="1"/>
        <v>171967469.28970423</v>
      </c>
    </row>
    <row r="40" spans="1:7" s="53" customFormat="1" ht="15" customHeight="1" x14ac:dyDescent="0.25">
      <c r="A40" s="1090">
        <f>'Cash Flow Analysis'!B91</f>
        <v>27</v>
      </c>
      <c r="B40" s="1495">
        <f>IF(B39="","",IF('Cash Flow Analysis'!$B$31=0,"N/A",IF(A40=1,1,IF(A39=debt_period,"",B39+1))))</f>
        <v>27</v>
      </c>
      <c r="C40" s="1093">
        <f ca="1">IF(OR(A40="",B40="",B40="N/A"),"",IF(B40=1,-'Cash Flow Analysis'!G91,IF(B40="N/A",0,G39)))</f>
        <v>171967469.28970423</v>
      </c>
      <c r="D40" s="1093">
        <f ca="1">IF(debt_period=0,
E40+F40,
IF(OR(A40="",B40="",B40="N/A"),"",IF(B40=1,((debt_interest*(1+debt_interest)^debt_period)/((1+debt_interest)^debt_period-1))*(-'Cash Flow Analysis'!G91),IF(G39=0,"",D39))))</f>
        <v>6362796.3637190564</v>
      </c>
      <c r="E40" s="1093">
        <f t="shared" ca="1" si="0"/>
        <v>6362796.3637190564</v>
      </c>
      <c r="F40" s="1093">
        <f t="shared" si="2"/>
        <v>0</v>
      </c>
      <c r="G40" s="1496">
        <f t="shared" ca="1" si="1"/>
        <v>171967469.28970423</v>
      </c>
    </row>
    <row r="41" spans="1:7" s="53" customFormat="1" ht="15" customHeight="1" x14ac:dyDescent="0.25">
      <c r="A41" s="1090">
        <f>'Cash Flow Analysis'!B92</f>
        <v>28</v>
      </c>
      <c r="B41" s="1495">
        <f>IF(B40="","",IF('Cash Flow Analysis'!$B$31=0,"N/A",IF(A41=1,1,IF(A40=debt_period,"",B40+1))))</f>
        <v>28</v>
      </c>
      <c r="C41" s="1093">
        <f ca="1">IF(OR(A41="",B41="",B41="N/A"),"",IF(B41=1,-'Cash Flow Analysis'!G92,IF(B41="N/A",0,G40)))</f>
        <v>171967469.28970423</v>
      </c>
      <c r="D41" s="1093">
        <f ca="1">IF(debt_period=0,
E41+F41,
IF(OR(A41="",B41="",B41="N/A"),"",IF(B41=1,((debt_interest*(1+debt_interest)^debt_period)/((1+debt_interest)^debt_period-1))*(-'Cash Flow Analysis'!G92),IF(G40=0,"",D40))))</f>
        <v>6362796.3637190564</v>
      </c>
      <c r="E41" s="1093">
        <f t="shared" ca="1" si="0"/>
        <v>6362796.3637190564</v>
      </c>
      <c r="F41" s="1093">
        <f t="shared" si="2"/>
        <v>0</v>
      </c>
      <c r="G41" s="1496">
        <f t="shared" ca="1" si="1"/>
        <v>171967469.28970423</v>
      </c>
    </row>
    <row r="42" spans="1:7" s="53" customFormat="1" ht="15" customHeight="1" x14ac:dyDescent="0.25">
      <c r="A42" s="1090">
        <f>'Cash Flow Analysis'!B93</f>
        <v>29</v>
      </c>
      <c r="B42" s="1495">
        <f>IF(B41="","",IF('Cash Flow Analysis'!$B$31=0,"N/A",IF(A42=1,1,IF(A41=debt_period,"",B41+1))))</f>
        <v>29</v>
      </c>
      <c r="C42" s="1093">
        <f ca="1">IF(OR(A42="",B42="",B42="N/A"),"",IF(B42=1,-'Cash Flow Analysis'!G93,IF(B42="N/A",0,G41)))</f>
        <v>171967469.28970423</v>
      </c>
      <c r="D42" s="1093">
        <f ca="1">IF(debt_period=0,
E42+F42,
IF(OR(A42="",B42="",B42="N/A"),"",IF(B42=1,((debt_interest*(1+debt_interest)^debt_period)/((1+debt_interest)^debt_period-1))*(-'Cash Flow Analysis'!G93),IF(G41=0,"",D41))))</f>
        <v>6362796.3637190564</v>
      </c>
      <c r="E42" s="1093">
        <f t="shared" ca="1" si="0"/>
        <v>6362796.3637190564</v>
      </c>
      <c r="F42" s="1093">
        <f t="shared" si="2"/>
        <v>0</v>
      </c>
      <c r="G42" s="1496">
        <f t="shared" ca="1" si="1"/>
        <v>171967469.28970423</v>
      </c>
    </row>
    <row r="43" spans="1:7" s="53" customFormat="1" ht="15" customHeight="1" x14ac:dyDescent="0.25">
      <c r="A43" s="1090">
        <f>'Cash Flow Analysis'!B94</f>
        <v>30</v>
      </c>
      <c r="B43" s="1495">
        <f>IF(B42="","",IF('Cash Flow Analysis'!$B$31=0,"N/A",IF(A43=1,1,IF(A42=debt_period,"",B42+1))))</f>
        <v>30</v>
      </c>
      <c r="C43" s="1093">
        <f ca="1">IF(OR(A43="",B43="",B43="N/A"),"",IF(B43=1,-'Cash Flow Analysis'!G94,IF(B43="N/A",0,G42)))</f>
        <v>171967469.28970423</v>
      </c>
      <c r="D43" s="1093">
        <f ca="1">IF(debt_period=0,
E43+F43,
IF(OR(A43="",B43="",B43="N/A"),"",IF(B43=1,((debt_interest*(1+debt_interest)^debt_period)/((1+debt_interest)^debt_period-1))*(-'Cash Flow Analysis'!G94),IF(G42=0,"",D42))))</f>
        <v>6362796.3637190564</v>
      </c>
      <c r="E43" s="1093">
        <f t="shared" ca="1" si="0"/>
        <v>6362796.3637190564</v>
      </c>
      <c r="F43" s="1093">
        <f t="shared" si="2"/>
        <v>0</v>
      </c>
      <c r="G43" s="1496">
        <f t="shared" ca="1" si="1"/>
        <v>171967469.28970423</v>
      </c>
    </row>
    <row r="44" spans="1:7" s="53" customFormat="1" ht="15" customHeight="1" x14ac:dyDescent="0.25">
      <c r="A44" s="1090">
        <f>'Cash Flow Analysis'!B95</f>
        <v>31</v>
      </c>
      <c r="B44" s="1495">
        <f>IF(B43="","",IF('Cash Flow Analysis'!$B$31=0,"N/A",IF(A44=1,1,IF(A43=debt_period,"",B43+1))))</f>
        <v>31</v>
      </c>
      <c r="C44" s="1093">
        <f ca="1">IF(OR(A44="",B44="",B44="N/A"),"",IF(B44=1,-'Cash Flow Analysis'!G95,IF(B44="N/A",0,G43)))</f>
        <v>171967469.28970423</v>
      </c>
      <c r="D44" s="1093">
        <f ca="1">IF(debt_period=0,
E44+F44,
IF(OR(A44="",B44="",B44="N/A"),"",IF(B44=1,((debt_interest*(1+debt_interest)^debt_period)/((1+debt_interest)^debt_period-1))*(-'Cash Flow Analysis'!G95),IF(G43=0,"",D43))))</f>
        <v>6362796.3637190564</v>
      </c>
      <c r="E44" s="1093">
        <f t="shared" ca="1" si="0"/>
        <v>6362796.3637190564</v>
      </c>
      <c r="F44" s="1093">
        <f t="shared" si="2"/>
        <v>0</v>
      </c>
      <c r="G44" s="1496">
        <f t="shared" ca="1" si="1"/>
        <v>171967469.28970423</v>
      </c>
    </row>
    <row r="45" spans="1:7" s="53" customFormat="1" ht="15" customHeight="1" x14ac:dyDescent="0.25">
      <c r="A45" s="1090">
        <f>'Cash Flow Analysis'!B96</f>
        <v>32</v>
      </c>
      <c r="B45" s="1495">
        <f>IF(B44="","",IF('Cash Flow Analysis'!$B$31=0,"N/A",IF(A45=1,1,IF(A44=debt_period,"",B44+1))))</f>
        <v>32</v>
      </c>
      <c r="C45" s="1093">
        <f ca="1">IF(OR(A45="",B45="",B45="N/A"),"",IF(B45=1,-'Cash Flow Analysis'!G96,IF(B45="N/A",0,G44)))</f>
        <v>171967469.28970423</v>
      </c>
      <c r="D45" s="1093">
        <f ca="1">IF(debt_period=0,
E45+F45,
IF(OR(A45="",B45="",B45="N/A"),"",IF(B45=1,((debt_interest*(1+debt_interest)^debt_period)/((1+debt_interest)^debt_period-1))*(-'Cash Flow Analysis'!G96),IF(G44=0,"",D44))))</f>
        <v>6362796.3637190564</v>
      </c>
      <c r="E45" s="1093">
        <f t="shared" ca="1" si="0"/>
        <v>6362796.3637190564</v>
      </c>
      <c r="F45" s="1093">
        <f t="shared" si="2"/>
        <v>0</v>
      </c>
      <c r="G45" s="1496">
        <f t="shared" ca="1" si="1"/>
        <v>171967469.28970423</v>
      </c>
    </row>
    <row r="46" spans="1:7" s="53" customFormat="1" ht="15" customHeight="1" x14ac:dyDescent="0.25">
      <c r="A46" s="1090">
        <f>'Cash Flow Analysis'!B97</f>
        <v>33</v>
      </c>
      <c r="B46" s="1495">
        <f>IF(B45="","",IF('Cash Flow Analysis'!$B$31=0,"N/A",IF(A46=1,1,IF(A45=debt_period,"",B45+1))))</f>
        <v>33</v>
      </c>
      <c r="C46" s="1093">
        <f ca="1">IF(OR(A46="",B46="",B46="N/A"),"",IF(B46=1,-'Cash Flow Analysis'!G97,IF(B46="N/A",0,G45)))</f>
        <v>171967469.28970423</v>
      </c>
      <c r="D46" s="1093">
        <f ca="1">IF(debt_period=0,
E46+F46,
IF(OR(A46="",B46="",B46="N/A"),"",IF(B46=1,((debt_interest*(1+debt_interest)^debt_period)/((1+debt_interest)^debt_period-1))*(-'Cash Flow Analysis'!G97),IF(G45=0,"",D45))))</f>
        <v>6362796.3637190564</v>
      </c>
      <c r="E46" s="1093">
        <f t="shared" ca="1" si="0"/>
        <v>6362796.3637190564</v>
      </c>
      <c r="F46" s="1093">
        <f t="shared" si="2"/>
        <v>0</v>
      </c>
      <c r="G46" s="1496">
        <f t="shared" ca="1" si="1"/>
        <v>171967469.28970423</v>
      </c>
    </row>
    <row r="47" spans="1:7" s="53" customFormat="1" ht="15" customHeight="1" x14ac:dyDescent="0.25">
      <c r="A47" s="1090">
        <f>'Cash Flow Analysis'!B98</f>
        <v>34</v>
      </c>
      <c r="B47" s="1495">
        <f>IF(B46="","",IF('Cash Flow Analysis'!$B$31=0,"N/A",IF(A47=1,1,IF(A46=debt_period,"",B46+1))))</f>
        <v>34</v>
      </c>
      <c r="C47" s="1093">
        <f ca="1">IF(OR(A47="",B47="",B47="N/A"),"",IF(B47=1,-'Cash Flow Analysis'!G98,IF(B47="N/A",0,G46)))</f>
        <v>171967469.28970423</v>
      </c>
      <c r="D47" s="1093">
        <f ca="1">IF(debt_period=0,
E47+F47,
IF(OR(A47="",B47="",B47="N/A"),"",IF(B47=1,((debt_interest*(1+debt_interest)^debt_period)/((1+debt_interest)^debt_period-1))*(-'Cash Flow Analysis'!G98),IF(G46=0,"",D46))))</f>
        <v>6362796.3637190564</v>
      </c>
      <c r="E47" s="1093">
        <f t="shared" ca="1" si="0"/>
        <v>6362796.3637190564</v>
      </c>
      <c r="F47" s="1093">
        <f t="shared" si="2"/>
        <v>0</v>
      </c>
      <c r="G47" s="1496">
        <f t="shared" ca="1" si="1"/>
        <v>171967469.28970423</v>
      </c>
    </row>
    <row r="48" spans="1:7" s="53" customFormat="1" ht="15" customHeight="1" x14ac:dyDescent="0.25">
      <c r="A48" s="1090">
        <f>'Cash Flow Analysis'!B99</f>
        <v>35</v>
      </c>
      <c r="B48" s="1495">
        <f>IF(B47="","",IF('Cash Flow Analysis'!$B$31=0,"N/A",IF(A48=1,1,IF(A47=debt_period,"",B47+1))))</f>
        <v>35</v>
      </c>
      <c r="C48" s="1093">
        <f ca="1">IF(OR(A48="",B48="",B48="N/A"),"",IF(B48=1,-'Cash Flow Analysis'!G99,IF(B48="N/A",0,G47)))</f>
        <v>171967469.28970423</v>
      </c>
      <c r="D48" s="1093">
        <f ca="1">IF(debt_period=0,
E48+F48,
IF(OR(A48="",B48="",B48="N/A"),"",IF(B48=1,((debt_interest*(1+debt_interest)^debt_period)/((1+debt_interest)^debt_period-1))*(-'Cash Flow Analysis'!G99),IF(G47=0,"",D47))))</f>
        <v>6362796.3637190564</v>
      </c>
      <c r="E48" s="1093">
        <f t="shared" ca="1" si="0"/>
        <v>6362796.3637190564</v>
      </c>
      <c r="F48" s="1093">
        <f t="shared" si="2"/>
        <v>0</v>
      </c>
      <c r="G48" s="1496">
        <f t="shared" ca="1" si="1"/>
        <v>171967469.28970423</v>
      </c>
    </row>
    <row r="49" spans="1:7" s="53" customFormat="1" ht="15" customHeight="1" x14ac:dyDescent="0.25">
      <c r="A49" s="1090">
        <f>'Cash Flow Analysis'!B100</f>
        <v>36</v>
      </c>
      <c r="B49" s="1495">
        <f>IF(B48="","",IF('Cash Flow Analysis'!$B$31=0,"N/A",IF(A49=1,1,IF(A48=debt_period,"",B48+1))))</f>
        <v>36</v>
      </c>
      <c r="C49" s="1093">
        <f ca="1">IF(OR(A49="",B49="",B49="N/A"),"",IF(B49=1,-'Cash Flow Analysis'!G100,IF(B49="N/A",0,G48)))</f>
        <v>171967469.28970423</v>
      </c>
      <c r="D49" s="1093">
        <f ca="1">IF(debt_period=0,
E49+F49,
IF(OR(A49="",B49="",B49="N/A"),"",IF(B49=1,((debt_interest*(1+debt_interest)^debt_period)/((1+debt_interest)^debt_period-1))*(-'Cash Flow Analysis'!G100),IF(G48=0,"",D48))))</f>
        <v>6362796.3637190564</v>
      </c>
      <c r="E49" s="1093">
        <f t="shared" ca="1" si="0"/>
        <v>6362796.3637190564</v>
      </c>
      <c r="F49" s="1093">
        <f t="shared" si="2"/>
        <v>0</v>
      </c>
      <c r="G49" s="1496">
        <f t="shared" ca="1" si="1"/>
        <v>171967469.28970423</v>
      </c>
    </row>
    <row r="50" spans="1:7" s="53" customFormat="1" ht="15" customHeight="1" x14ac:dyDescent="0.25">
      <c r="A50" s="1090">
        <f>'Cash Flow Analysis'!B101</f>
        <v>37</v>
      </c>
      <c r="B50" s="1495">
        <f>IF(B49="","",IF('Cash Flow Analysis'!$B$31=0,"N/A",IF(A50=1,1,IF(A49=debt_period,"",B49+1))))</f>
        <v>37</v>
      </c>
      <c r="C50" s="1093">
        <f ca="1">IF(OR(A50="",B50="",B50="N/A"),"",IF(B50=1,-'Cash Flow Analysis'!G101,IF(B50="N/A",0,G49)))</f>
        <v>171967469.28970423</v>
      </c>
      <c r="D50" s="1093">
        <f ca="1">IF(debt_period=0,
E50+F50,
IF(OR(A50="",B50="",B50="N/A"),"",IF(B50=1,((debt_interest*(1+debt_interest)^debt_period)/((1+debt_interest)^debt_period-1))*(-'Cash Flow Analysis'!G101),IF(G49=0,"",D49))))</f>
        <v>6362796.3637190564</v>
      </c>
      <c r="E50" s="1093">
        <f t="shared" ca="1" si="0"/>
        <v>6362796.3637190564</v>
      </c>
      <c r="F50" s="1093">
        <f t="shared" si="2"/>
        <v>0</v>
      </c>
      <c r="G50" s="1496">
        <f t="shared" ca="1" si="1"/>
        <v>171967469.28970423</v>
      </c>
    </row>
    <row r="51" spans="1:7" s="53" customFormat="1" ht="15" customHeight="1" x14ac:dyDescent="0.25">
      <c r="A51" s="1090">
        <f>'Cash Flow Analysis'!B102</f>
        <v>38</v>
      </c>
      <c r="B51" s="1495">
        <f>IF(B50="","",IF('Cash Flow Analysis'!$B$31=0,"N/A",IF(A51=1,1,IF(A50=debt_period,"",B50+1))))</f>
        <v>38</v>
      </c>
      <c r="C51" s="1093">
        <f ca="1">IF(OR(A51="",B51="",B51="N/A"),"",IF(B51=1,-'Cash Flow Analysis'!G102,IF(B51="N/A",0,G50)))</f>
        <v>171967469.28970423</v>
      </c>
      <c r="D51" s="1093">
        <f ca="1">IF(debt_period=0,
E51+F51,
IF(OR(A51="",B51="",B51="N/A"),"",IF(B51=1,((debt_interest*(1+debt_interest)^debt_period)/((1+debt_interest)^debt_period-1))*(-'Cash Flow Analysis'!G102),IF(G50=0,"",D50))))</f>
        <v>6362796.3637190564</v>
      </c>
      <c r="E51" s="1093">
        <f t="shared" ca="1" si="0"/>
        <v>6362796.3637190564</v>
      </c>
      <c r="F51" s="1093">
        <f t="shared" si="2"/>
        <v>0</v>
      </c>
      <c r="G51" s="1496">
        <f t="shared" ca="1" si="1"/>
        <v>171967469.28970423</v>
      </c>
    </row>
    <row r="52" spans="1:7" s="53" customFormat="1" ht="15" customHeight="1" x14ac:dyDescent="0.25">
      <c r="A52" s="1090">
        <f>'Cash Flow Analysis'!B103</f>
        <v>39</v>
      </c>
      <c r="B52" s="1495">
        <f>IF(B51="","",IF('Cash Flow Analysis'!$B$31=0,"N/A",IF(A52=1,1,IF(A51=debt_period,"",B51+1))))</f>
        <v>39</v>
      </c>
      <c r="C52" s="1093">
        <f ca="1">IF(OR(A52="",B52="",B52="N/A"),"",IF(B52=1,-'Cash Flow Analysis'!G103,IF(B52="N/A",0,G51)))</f>
        <v>171967469.28970423</v>
      </c>
      <c r="D52" s="1093">
        <f ca="1">IF(debt_period=0,
E52+F52,
IF(OR(A52="",B52="",B52="N/A"),"",IF(B52=1,((debt_interest*(1+debt_interest)^debt_period)/((1+debt_interest)^debt_period-1))*(-'Cash Flow Analysis'!G103),IF(G51=0,"",D51))))</f>
        <v>6362796.3637190564</v>
      </c>
      <c r="E52" s="1093">
        <f t="shared" ca="1" si="0"/>
        <v>6362796.3637190564</v>
      </c>
      <c r="F52" s="1093">
        <f t="shared" si="2"/>
        <v>0</v>
      </c>
      <c r="G52" s="1496">
        <f t="shared" ca="1" si="1"/>
        <v>171967469.28970423</v>
      </c>
    </row>
    <row r="53" spans="1:7" s="53" customFormat="1" ht="15" customHeight="1" x14ac:dyDescent="0.25">
      <c r="A53" s="1090">
        <f>'Cash Flow Analysis'!B104</f>
        <v>40</v>
      </c>
      <c r="B53" s="1495">
        <f>IF(B52="","",IF('Cash Flow Analysis'!$B$31=0,"N/A",IF(A53=1,1,IF(A52=debt_period,"",B52+1))))</f>
        <v>40</v>
      </c>
      <c r="C53" s="1093">
        <f ca="1">IF(OR(A53="",B53="",B53="N/A"),"",IF(B53=1,-'Cash Flow Analysis'!G104,IF(B53="N/A",0,G52)))</f>
        <v>171967469.28970423</v>
      </c>
      <c r="D53" s="1093">
        <f ca="1">IF(debt_period=0,
E53+F53,
IF(OR(A53="",B53="",B53="N/A"),"",IF(B53=1,((debt_interest*(1+debt_interest)^debt_period)/((1+debt_interest)^debt_period-1))*(-'Cash Flow Analysis'!G104),IF(G52=0,"",D52))))</f>
        <v>6362796.3637190564</v>
      </c>
      <c r="E53" s="1093">
        <f t="shared" ca="1" si="0"/>
        <v>6362796.3637190564</v>
      </c>
      <c r="F53" s="1093">
        <f t="shared" si="2"/>
        <v>0</v>
      </c>
      <c r="G53" s="1496">
        <f t="shared" ca="1" si="1"/>
        <v>171967469.28970423</v>
      </c>
    </row>
    <row r="54" spans="1:7" s="53" customFormat="1" ht="15" customHeight="1" x14ac:dyDescent="0.25">
      <c r="A54" s="1090">
        <f>'Cash Flow Analysis'!B105</f>
        <v>41</v>
      </c>
      <c r="B54" s="1495">
        <f>IF(B53="","",IF('Cash Flow Analysis'!$B$31=0,"N/A",IF(A54=1,1,IF(A53=debt_period,"",B53+1))))</f>
        <v>41</v>
      </c>
      <c r="C54" s="1093">
        <f ca="1">IF(OR(A54="",B54="",B54="N/A"),"",IF(B54=1,-'Cash Flow Analysis'!G105,IF(B54="N/A",0,G53)))</f>
        <v>171967469.28970423</v>
      </c>
      <c r="D54" s="1093">
        <f ca="1">IF(debt_period=0,
E54+F54,
IF(OR(A54="",B54="",B54="N/A"),"",IF(B54=1,((debt_interest*(1+debt_interest)^debt_period)/((1+debt_interest)^debt_period-1))*(-'Cash Flow Analysis'!G105),IF(G53=0,"",D53))))</f>
        <v>6362796.3637190564</v>
      </c>
      <c r="E54" s="1093">
        <f t="shared" ca="1" si="0"/>
        <v>6362796.3637190564</v>
      </c>
      <c r="F54" s="1093">
        <f t="shared" si="2"/>
        <v>0</v>
      </c>
      <c r="G54" s="1496">
        <f t="shared" ca="1" si="1"/>
        <v>171967469.28970423</v>
      </c>
    </row>
    <row r="55" spans="1:7" s="53" customFormat="1" ht="15" customHeight="1" x14ac:dyDescent="0.25">
      <c r="A55" s="1090">
        <f>'Cash Flow Analysis'!B106</f>
        <v>42</v>
      </c>
      <c r="B55" s="1495">
        <f>IF(B54="","",IF('Cash Flow Analysis'!$B$31=0,"N/A",IF(A55=1,1,IF(A54=debt_period,"",B54+1))))</f>
        <v>42</v>
      </c>
      <c r="C55" s="1093">
        <f ca="1">IF(OR(A55="",B55="",B55="N/A"),"",IF(B55=1,-'Cash Flow Analysis'!G106,IF(B55="N/A",0,G54)))</f>
        <v>171967469.28970423</v>
      </c>
      <c r="D55" s="1093">
        <f ca="1">IF(debt_period=0,
E55+F55,
IF(OR(A55="",B55="",B55="N/A"),"",IF(B55=1,((debt_interest*(1+debt_interest)^debt_period)/((1+debt_interest)^debt_period-1))*(-'Cash Flow Analysis'!G106),IF(G54=0,"",D54))))</f>
        <v>6362796.3637190564</v>
      </c>
      <c r="E55" s="1093">
        <f t="shared" ca="1" si="0"/>
        <v>6362796.3637190564</v>
      </c>
      <c r="F55" s="1093">
        <f t="shared" si="2"/>
        <v>0</v>
      </c>
      <c r="G55" s="1496">
        <f t="shared" ca="1" si="1"/>
        <v>171967469.28970423</v>
      </c>
    </row>
    <row r="56" spans="1:7" s="53" customFormat="1" ht="15" customHeight="1" x14ac:dyDescent="0.25">
      <c r="A56" s="1090">
        <f>'Cash Flow Analysis'!B107</f>
        <v>43</v>
      </c>
      <c r="B56" s="1495">
        <f>IF(B55="","",IF('Cash Flow Analysis'!$B$31=0,"N/A",IF(A56=1,1,IF(A55=debt_period,"",B55+1))))</f>
        <v>43</v>
      </c>
      <c r="C56" s="1093">
        <f ca="1">IF(OR(A56="",B56="",B56="N/A"),"",IF(B56=1,-'Cash Flow Analysis'!G107,IF(B56="N/A",0,G55)))</f>
        <v>171967469.28970423</v>
      </c>
      <c r="D56" s="1093">
        <f ca="1">IF(debt_period=0,
E56+F56,
IF(OR(A56="",B56="",B56="N/A"),"",IF(B56=1,((debt_interest*(1+debt_interest)^debt_period)/((1+debt_interest)^debt_period-1))*(-'Cash Flow Analysis'!G107),IF(G55=0,"",D55))))</f>
        <v>178330265.65342328</v>
      </c>
      <c r="E56" s="1093">
        <f t="shared" ca="1" si="0"/>
        <v>6362796.3637190564</v>
      </c>
      <c r="F56" s="1093">
        <f t="shared" ca="1" si="2"/>
        <v>171967469.28970423</v>
      </c>
      <c r="G56" s="1496">
        <f t="shared" ca="1" si="1"/>
        <v>0</v>
      </c>
    </row>
    <row r="57" spans="1:7" s="53" customFormat="1" ht="15" customHeight="1" thickBot="1" x14ac:dyDescent="0.3">
      <c r="A57" s="1497" t="str">
        <f>'Cash Flow Analysis'!B108</f>
        <v/>
      </c>
      <c r="B57" s="1498">
        <f>IF(B56="","",IF('Cash Flow Analysis'!$B$31=0,"N/A",IF(A57=1,1,IF(A56=debt_period,"",B56+1))))</f>
        <v>44</v>
      </c>
      <c r="C57" s="1499" t="str">
        <f>IF(OR(A57="",B57="",B57="N/A"),"",IF(B57=1,-'Cash Flow Analysis'!G108,IF(B57="N/A",0,G56)))</f>
        <v/>
      </c>
      <c r="D57" s="1499" t="str">
        <f>IF(F57=0,E57,
IF(OR(A57="",B57="",B57="N/A"),"",IF(B57=1,((debt_interest*(1+debt_interest)^debt_period)/((1+debt_interest)^debt_period-1))*(-'Cash Flow Analysis'!G108),IF(G56=0,"",D56))))</f>
        <v/>
      </c>
      <c r="E57" s="1499" t="str">
        <f t="shared" si="0"/>
        <v/>
      </c>
      <c r="F57" s="1499">
        <f t="shared" si="2"/>
        <v>0</v>
      </c>
      <c r="G57" s="1500" t="str">
        <f t="shared" si="1"/>
        <v/>
      </c>
    </row>
    <row r="58" spans="1:7" ht="13"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1796875" defaultRowHeight="12.5" x14ac:dyDescent="0.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x14ac:dyDescent="0.4">
      <c r="A1" s="37" t="s">
        <v>47</v>
      </c>
    </row>
    <row r="2" spans="1:8" ht="15" customHeight="1" x14ac:dyDescent="0.25">
      <c r="G2" s="39"/>
    </row>
    <row r="3" spans="1:8" ht="15" customHeight="1" x14ac:dyDescent="0.35">
      <c r="A3" s="42" t="s">
        <v>33</v>
      </c>
      <c r="B3" s="43"/>
      <c r="C3" s="43"/>
      <c r="D3" s="43"/>
      <c r="E3" s="44"/>
      <c r="F3" s="44"/>
      <c r="G3" s="44"/>
      <c r="H3" s="39"/>
    </row>
    <row r="4" spans="1:8" ht="15" customHeight="1" x14ac:dyDescent="0.35">
      <c r="A4" s="42" t="s">
        <v>34</v>
      </c>
      <c r="B4" s="43"/>
      <c r="C4" s="43"/>
      <c r="D4" s="43"/>
      <c r="E4" s="44"/>
      <c r="F4" s="44"/>
      <c r="G4" s="44"/>
      <c r="H4" s="39"/>
    </row>
    <row r="5" spans="1:8" ht="15" customHeight="1" x14ac:dyDescent="0.25">
      <c r="G5" s="39"/>
    </row>
    <row r="6" spans="1:8" ht="15" customHeight="1" x14ac:dyDescent="0.25">
      <c r="A6" s="36"/>
      <c r="B6" s="41" t="s">
        <v>35</v>
      </c>
    </row>
    <row r="7" spans="1:8" ht="15" customHeight="1" x14ac:dyDescent="0.25">
      <c r="A7" s="46"/>
      <c r="B7" s="41" t="s">
        <v>36</v>
      </c>
    </row>
    <row r="8" spans="1:8" ht="15" customHeight="1" x14ac:dyDescent="0.25">
      <c r="A8" s="47"/>
      <c r="B8" s="41" t="s">
        <v>37</v>
      </c>
    </row>
    <row r="9" spans="1:8" ht="15" customHeight="1" x14ac:dyDescent="0.25">
      <c r="A9" s="48"/>
      <c r="B9" s="41" t="s">
        <v>38</v>
      </c>
    </row>
    <row r="10" spans="1:8" ht="15" customHeight="1" x14ac:dyDescent="0.25"/>
    <row r="11" spans="1:8" ht="15" customHeight="1" thickBot="1" x14ac:dyDescent="0.3"/>
    <row r="12" spans="1:8" ht="29.25" customHeight="1" thickTop="1" thickBot="1" x14ac:dyDescent="0.4">
      <c r="B12" s="63" t="s">
        <v>48</v>
      </c>
      <c r="C12" s="64"/>
      <c r="D12" s="64"/>
      <c r="E12" s="64"/>
      <c r="F12" s="64"/>
      <c r="G12" s="64"/>
      <c r="H12" s="65"/>
    </row>
    <row r="13" spans="1:8" ht="15" customHeight="1" thickTop="1" thickBot="1" x14ac:dyDescent="0.3">
      <c r="B13" s="66"/>
      <c r="C13" s="1693" t="s">
        <v>49</v>
      </c>
      <c r="D13" s="1693"/>
      <c r="E13" s="1693"/>
      <c r="F13" s="1693"/>
      <c r="G13" s="1693"/>
      <c r="H13" s="1694"/>
    </row>
    <row r="14" spans="1:8" ht="15" customHeight="1" thickTop="1" thickBot="1" x14ac:dyDescent="0.3">
      <c r="B14" s="69" t="s">
        <v>49</v>
      </c>
      <c r="C14" s="70">
        <v>3</v>
      </c>
      <c r="D14" s="67">
        <v>5</v>
      </c>
      <c r="E14" s="67">
        <v>7</v>
      </c>
      <c r="F14" s="67">
        <v>10</v>
      </c>
      <c r="G14" s="67">
        <v>15</v>
      </c>
      <c r="H14" s="68">
        <v>20</v>
      </c>
    </row>
    <row r="15" spans="1:8" ht="15" customHeight="1" thickTop="1" x14ac:dyDescent="0.25">
      <c r="B15" s="71">
        <v>1</v>
      </c>
      <c r="C15" s="72">
        <v>0.33329999999999999</v>
      </c>
      <c r="D15" s="73">
        <v>0.2</v>
      </c>
      <c r="E15" s="73">
        <v>0.1429</v>
      </c>
      <c r="F15" s="73">
        <v>0.1</v>
      </c>
      <c r="G15" s="73">
        <v>0.05</v>
      </c>
      <c r="H15" s="74">
        <v>3.7499999999999999E-2</v>
      </c>
    </row>
    <row r="16" spans="1:8" ht="15" customHeight="1" x14ac:dyDescent="0.25">
      <c r="B16" s="75">
        <v>2</v>
      </c>
      <c r="C16" s="76">
        <v>0.44450000000000001</v>
      </c>
      <c r="D16" s="77">
        <v>0.32</v>
      </c>
      <c r="E16" s="77">
        <v>0.24490000000000001</v>
      </c>
      <c r="F16" s="77">
        <v>0.18</v>
      </c>
      <c r="G16" s="77">
        <v>9.5000000000000001E-2</v>
      </c>
      <c r="H16" s="78">
        <v>7.2190000000000004E-2</v>
      </c>
    </row>
    <row r="17" spans="2:8" ht="15" customHeight="1" x14ac:dyDescent="0.25">
      <c r="B17" s="75">
        <v>3</v>
      </c>
      <c r="C17" s="76">
        <v>0.14810000000000001</v>
      </c>
      <c r="D17" s="77">
        <v>0.192</v>
      </c>
      <c r="E17" s="77">
        <v>0.1749</v>
      </c>
      <c r="F17" s="77">
        <v>0.14399999999999999</v>
      </c>
      <c r="G17" s="77">
        <v>8.5500000000000007E-2</v>
      </c>
      <c r="H17" s="78">
        <v>6.6769999999999996E-2</v>
      </c>
    </row>
    <row r="18" spans="2:8" ht="15" customHeight="1" x14ac:dyDescent="0.25">
      <c r="B18" s="75">
        <v>4</v>
      </c>
      <c r="C18" s="76">
        <v>7.4099999999999999E-2</v>
      </c>
      <c r="D18" s="77">
        <v>0.1152</v>
      </c>
      <c r="E18" s="77">
        <v>0.1249</v>
      </c>
      <c r="F18" s="77">
        <v>0.1152</v>
      </c>
      <c r="G18" s="77">
        <v>7.6999999999999999E-2</v>
      </c>
      <c r="H18" s="78">
        <v>6.1769999999999999E-2</v>
      </c>
    </row>
    <row r="19" spans="2:8" ht="15" customHeight="1" x14ac:dyDescent="0.25">
      <c r="B19" s="75">
        <v>5</v>
      </c>
      <c r="C19" s="76"/>
      <c r="D19" s="77">
        <v>0.1152</v>
      </c>
      <c r="E19" s="77">
        <v>8.9300000000000004E-2</v>
      </c>
      <c r="F19" s="77">
        <v>9.2200000000000004E-2</v>
      </c>
      <c r="G19" s="77">
        <v>6.93E-2</v>
      </c>
      <c r="H19" s="78">
        <v>5.713E-2</v>
      </c>
    </row>
    <row r="20" spans="2:8" ht="15" customHeight="1" x14ac:dyDescent="0.25">
      <c r="B20" s="75">
        <v>6</v>
      </c>
      <c r="C20" s="76"/>
      <c r="D20" s="77">
        <v>5.7599999999999998E-2</v>
      </c>
      <c r="E20" s="77">
        <v>8.9200000000000002E-2</v>
      </c>
      <c r="F20" s="77">
        <v>7.3700000000000002E-2</v>
      </c>
      <c r="G20" s="77">
        <v>6.2300000000000001E-2</v>
      </c>
      <c r="H20" s="78">
        <v>5.2850000000000001E-2</v>
      </c>
    </row>
    <row r="21" spans="2:8" ht="15" customHeight="1" x14ac:dyDescent="0.25">
      <c r="B21" s="75">
        <v>7</v>
      </c>
      <c r="C21" s="76"/>
      <c r="D21" s="77"/>
      <c r="E21" s="77">
        <v>8.9300000000000004E-2</v>
      </c>
      <c r="F21" s="77">
        <v>6.5500000000000003E-2</v>
      </c>
      <c r="G21" s="77">
        <v>5.8999999999999997E-2</v>
      </c>
      <c r="H21" s="78">
        <v>4.888E-2</v>
      </c>
    </row>
    <row r="22" spans="2:8" ht="15" customHeight="1" x14ac:dyDescent="0.25">
      <c r="B22" s="75">
        <v>8</v>
      </c>
      <c r="C22" s="76"/>
      <c r="D22" s="77"/>
      <c r="E22" s="77">
        <v>4.4600000000000001E-2</v>
      </c>
      <c r="F22" s="77">
        <v>6.5500000000000003E-2</v>
      </c>
      <c r="G22" s="77">
        <v>5.8999999999999997E-2</v>
      </c>
      <c r="H22" s="78">
        <v>4.5220000000000003E-2</v>
      </c>
    </row>
    <row r="23" spans="2:8" ht="15" customHeight="1" x14ac:dyDescent="0.25">
      <c r="B23" s="75">
        <v>9</v>
      </c>
      <c r="C23" s="76"/>
      <c r="D23" s="77"/>
      <c r="E23" s="77"/>
      <c r="F23" s="77">
        <v>6.5600000000000006E-2</v>
      </c>
      <c r="G23" s="77">
        <v>5.91E-2</v>
      </c>
      <c r="H23" s="78">
        <v>4.462E-2</v>
      </c>
    </row>
    <row r="24" spans="2:8" ht="15" customHeight="1" x14ac:dyDescent="0.25">
      <c r="B24" s="75">
        <v>10</v>
      </c>
      <c r="C24" s="76"/>
      <c r="D24" s="77"/>
      <c r="E24" s="77"/>
      <c r="F24" s="77">
        <v>6.5500000000000003E-2</v>
      </c>
      <c r="G24" s="77">
        <v>5.8999999999999997E-2</v>
      </c>
      <c r="H24" s="78">
        <v>4.4609999999999997E-2</v>
      </c>
    </row>
    <row r="25" spans="2:8" ht="15" customHeight="1" x14ac:dyDescent="0.25">
      <c r="B25" s="75">
        <v>11</v>
      </c>
      <c r="C25" s="76"/>
      <c r="D25" s="77"/>
      <c r="E25" s="77"/>
      <c r="F25" s="77">
        <v>3.2800000000000003E-2</v>
      </c>
      <c r="G25" s="77">
        <v>5.91E-2</v>
      </c>
      <c r="H25" s="78">
        <v>4.462E-2</v>
      </c>
    </row>
    <row r="26" spans="2:8" ht="15" customHeight="1" x14ac:dyDescent="0.25">
      <c r="B26" s="75">
        <v>12</v>
      </c>
      <c r="C26" s="76"/>
      <c r="D26" s="77"/>
      <c r="E26" s="77"/>
      <c r="F26" s="77"/>
      <c r="G26" s="77">
        <v>5.8999999999999997E-2</v>
      </c>
      <c r="H26" s="78">
        <v>4.4609999999999997E-2</v>
      </c>
    </row>
    <row r="27" spans="2:8" ht="15" customHeight="1" x14ac:dyDescent="0.25">
      <c r="B27" s="75">
        <v>13</v>
      </c>
      <c r="C27" s="76"/>
      <c r="D27" s="77"/>
      <c r="E27" s="77"/>
      <c r="F27" s="77"/>
      <c r="G27" s="77">
        <v>5.91E-2</v>
      </c>
      <c r="H27" s="78">
        <v>4.462E-2</v>
      </c>
    </row>
    <row r="28" spans="2:8" ht="15" customHeight="1" x14ac:dyDescent="0.25">
      <c r="B28" s="75">
        <v>14</v>
      </c>
      <c r="C28" s="76"/>
      <c r="D28" s="77"/>
      <c r="E28" s="77"/>
      <c r="F28" s="77"/>
      <c r="G28" s="77">
        <v>5.8999999999999997E-2</v>
      </c>
      <c r="H28" s="78">
        <v>4.4609999999999997E-2</v>
      </c>
    </row>
    <row r="29" spans="2:8" ht="15" customHeight="1" x14ac:dyDescent="0.25">
      <c r="B29" s="75">
        <v>15</v>
      </c>
      <c r="C29" s="76"/>
      <c r="D29" s="77"/>
      <c r="E29" s="77"/>
      <c r="F29" s="77"/>
      <c r="G29" s="77">
        <v>5.91E-2</v>
      </c>
      <c r="H29" s="78">
        <v>4.462E-2</v>
      </c>
    </row>
    <row r="30" spans="2:8" ht="15" customHeight="1" x14ac:dyDescent="0.25">
      <c r="B30" s="75">
        <v>16</v>
      </c>
      <c r="C30" s="76"/>
      <c r="D30" s="77"/>
      <c r="E30" s="77"/>
      <c r="F30" s="77"/>
      <c r="G30" s="77">
        <v>2.9499999999999998E-2</v>
      </c>
      <c r="H30" s="78">
        <v>4.4609999999999997E-2</v>
      </c>
    </row>
    <row r="31" spans="2:8" ht="15" customHeight="1" x14ac:dyDescent="0.25">
      <c r="B31" s="75">
        <v>17</v>
      </c>
      <c r="C31" s="76"/>
      <c r="D31" s="77"/>
      <c r="E31" s="77"/>
      <c r="F31" s="77"/>
      <c r="G31" s="77"/>
      <c r="H31" s="78">
        <v>4.462E-2</v>
      </c>
    </row>
    <row r="32" spans="2:8" ht="15" customHeight="1" x14ac:dyDescent="0.25">
      <c r="B32" s="75">
        <v>18</v>
      </c>
      <c r="C32" s="76"/>
      <c r="D32" s="77"/>
      <c r="E32" s="77"/>
      <c r="F32" s="77"/>
      <c r="G32" s="77"/>
      <c r="H32" s="78">
        <v>4.4609999999999997E-2</v>
      </c>
    </row>
    <row r="33" spans="1:24" ht="15" customHeight="1" x14ac:dyDescent="0.25">
      <c r="B33" s="75">
        <v>19</v>
      </c>
      <c r="C33" s="76"/>
      <c r="D33" s="77"/>
      <c r="E33" s="77"/>
      <c r="F33" s="77"/>
      <c r="G33" s="77"/>
      <c r="H33" s="78">
        <v>4.462E-2</v>
      </c>
    </row>
    <row r="34" spans="1:24" ht="15" customHeight="1" x14ac:dyDescent="0.25">
      <c r="B34" s="75">
        <v>20</v>
      </c>
      <c r="C34" s="76"/>
      <c r="D34" s="77"/>
      <c r="E34" s="77"/>
      <c r="F34" s="77"/>
      <c r="G34" s="77"/>
      <c r="H34" s="78">
        <v>4.4609999999999997E-2</v>
      </c>
    </row>
    <row r="35" spans="1:24" ht="15" customHeight="1" thickBot="1" x14ac:dyDescent="0.3">
      <c r="B35" s="79">
        <v>21</v>
      </c>
      <c r="C35" s="80"/>
      <c r="D35" s="81"/>
      <c r="E35" s="81"/>
      <c r="F35" s="81"/>
      <c r="G35" s="81"/>
      <c r="H35" s="82">
        <v>2.231E-2</v>
      </c>
    </row>
    <row r="36" spans="1:24" ht="15" customHeight="1" thickTop="1" x14ac:dyDescent="0.25">
      <c r="B36" s="83" t="s">
        <v>50</v>
      </c>
      <c r="C36" s="84">
        <f t="shared" ref="C36:H36" ca="1" si="0">NPV(real_irr,C15:C35)</f>
        <v>0.861730483722558</v>
      </c>
      <c r="D36" s="85">
        <f t="shared" ca="1" si="0"/>
        <v>0.81132579180653486</v>
      </c>
      <c r="E36" s="85">
        <f t="shared" ca="1" si="0"/>
        <v>0.76611247423420981</v>
      </c>
      <c r="F36" s="85">
        <f t="shared" ca="1" si="0"/>
        <v>0.70592323058796147</v>
      </c>
      <c r="G36" s="85">
        <f t="shared" ca="1" si="0"/>
        <v>0.57966874115937961</v>
      </c>
      <c r="H36" s="86">
        <f t="shared" ca="1" si="0"/>
        <v>0.50624177952518146</v>
      </c>
    </row>
    <row r="37" spans="1:24" ht="15" customHeight="1" thickBot="1" x14ac:dyDescent="0.3">
      <c r="B37" s="79" t="s">
        <v>51</v>
      </c>
      <c r="C37" s="87">
        <f t="shared" ref="C37:H37" ca="1" si="1">NPV(nominal_irr,C15:C35)</f>
        <v>0.83149291060393982</v>
      </c>
      <c r="D37" s="88">
        <f t="shared" ca="1" si="1"/>
        <v>0.77231075823151107</v>
      </c>
      <c r="E37" s="88">
        <f t="shared" ca="1" si="1"/>
        <v>0.72034649543580254</v>
      </c>
      <c r="F37" s="88">
        <f t="shared" ca="1" si="1"/>
        <v>0.65286934217044934</v>
      </c>
      <c r="G37" s="88">
        <f t="shared" ca="1" si="1"/>
        <v>0.51586770297474116</v>
      </c>
      <c r="H37" s="89">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4">
      <c r="A41" s="90" t="s">
        <v>52</v>
      </c>
      <c r="B41" s="91"/>
    </row>
    <row r="42" spans="1:24" ht="15" customHeight="1" thickTop="1" x14ac:dyDescent="0.25">
      <c r="A42" s="92" t="s">
        <v>389</v>
      </c>
      <c r="B42" s="93" t="str">
        <f>depr_type</f>
        <v>MACRS</v>
      </c>
    </row>
    <row r="43" spans="1:24" ht="15" customHeight="1" x14ac:dyDescent="0.25">
      <c r="A43" s="94" t="s">
        <v>53</v>
      </c>
      <c r="B43" s="95">
        <f>depr_length</f>
        <v>20</v>
      </c>
    </row>
    <row r="44" spans="1:24" ht="15" customHeight="1" thickBot="1" x14ac:dyDescent="0.3">
      <c r="A44" s="96" t="s">
        <v>54</v>
      </c>
      <c r="B44" s="97">
        <f ca="1">-('Cash Flow Analysis'!G65+SUM('Cash Flow Analysis'!H65:H113))</f>
        <v>289326728.32185221</v>
      </c>
    </row>
    <row r="45" spans="1:24" ht="15" customHeight="1" thickTop="1" x14ac:dyDescent="0.25"/>
    <row r="46" spans="1:24" ht="15" customHeight="1" thickBot="1" x14ac:dyDescent="0.3"/>
    <row r="47" spans="1:24" ht="27" customHeight="1" thickTop="1" thickBot="1" x14ac:dyDescent="0.4">
      <c r="A47" s="98" t="s">
        <v>55</v>
      </c>
      <c r="B47" s="64"/>
      <c r="C47" s="64"/>
      <c r="D47" s="64"/>
      <c r="E47" s="64"/>
      <c r="F47" s="64"/>
      <c r="G47" s="64"/>
      <c r="H47" s="64"/>
      <c r="I47" s="64"/>
      <c r="J47" s="64"/>
      <c r="K47" s="64"/>
      <c r="L47" s="64"/>
      <c r="M47" s="64"/>
      <c r="N47" s="64"/>
      <c r="O47" s="64"/>
      <c r="P47" s="64"/>
      <c r="Q47" s="64"/>
      <c r="R47" s="64"/>
      <c r="S47" s="64"/>
      <c r="T47" s="64"/>
      <c r="U47" s="64"/>
      <c r="V47" s="64"/>
      <c r="W47" s="64"/>
      <c r="X47" s="65"/>
    </row>
    <row r="48" spans="1:24" ht="30.75" customHeight="1" thickTop="1" thickBot="1" x14ac:dyDescent="0.3">
      <c r="A48" s="99" t="s">
        <v>56</v>
      </c>
      <c r="B48" s="100" t="s">
        <v>57</v>
      </c>
      <c r="C48" s="101">
        <v>1</v>
      </c>
      <c r="D48" s="102">
        <v>2</v>
      </c>
      <c r="E48" s="102">
        <v>3</v>
      </c>
      <c r="F48" s="102">
        <v>4</v>
      </c>
      <c r="G48" s="102">
        <v>5</v>
      </c>
      <c r="H48" s="102">
        <v>6</v>
      </c>
      <c r="I48" s="102">
        <v>7</v>
      </c>
      <c r="J48" s="102">
        <v>8</v>
      </c>
      <c r="K48" s="102">
        <v>9</v>
      </c>
      <c r="L48" s="102">
        <v>10</v>
      </c>
      <c r="M48" s="102">
        <v>11</v>
      </c>
      <c r="N48" s="102">
        <v>12</v>
      </c>
      <c r="O48" s="102">
        <v>13</v>
      </c>
      <c r="P48" s="102">
        <v>14</v>
      </c>
      <c r="Q48" s="102">
        <v>15</v>
      </c>
      <c r="R48" s="102">
        <v>16</v>
      </c>
      <c r="S48" s="102">
        <v>17</v>
      </c>
      <c r="T48" s="102">
        <v>18</v>
      </c>
      <c r="U48" s="102">
        <v>19</v>
      </c>
      <c r="V48" s="102">
        <v>20</v>
      </c>
      <c r="W48" s="91">
        <v>21</v>
      </c>
      <c r="X48" s="69" t="s">
        <v>58</v>
      </c>
    </row>
    <row r="49" spans="1:24" ht="15" customHeight="1" thickTop="1" x14ac:dyDescent="0.25">
      <c r="A49" s="83">
        <f>IF('Cash Flow Analysis'!C65="","",'Cash Flow Analysis'!C65)</f>
        <v>-3</v>
      </c>
      <c r="B49" s="1087">
        <f>IF(A49="","",IF(A49&lt;1,0,IF(A49=1,$B$44-'Cash Flow Analysis'!I65,-'Cash Flow Analysis'!I65)))</f>
        <v>0</v>
      </c>
      <c r="C49" s="103">
        <f>IF(B49="","",IF(AND($B$42="Straight Line",$C$48&lt;=depr_length),B49/depr_length,IF(AND($B$42="MACRS",$C$48&lt;=depr_length+1),B49*INDEX(MACRS_Table,MATCH($C$48,recovery_year,0),MATCH($B$43,recovery_period,0)),"")))</f>
        <v>0</v>
      </c>
      <c r="D49" s="104">
        <f t="shared" ref="D49:W49" si="2">IF($B$49="","",IF(AND($B$42="Straight Line",D48&lt;=depr_length),$B$49/depr_length,IF(AND($B$42="MACRS",D48&lt;=depr_length+1),$B$49*INDEX(MACRS_Table,MATCH(D48,recovery_year,0),MATCH($B$43,recovery_period,0)),"")))</f>
        <v>0</v>
      </c>
      <c r="E49" s="104">
        <f t="shared" si="2"/>
        <v>0</v>
      </c>
      <c r="F49" s="104">
        <f t="shared" si="2"/>
        <v>0</v>
      </c>
      <c r="G49" s="104">
        <f t="shared" si="2"/>
        <v>0</v>
      </c>
      <c r="H49" s="104">
        <f t="shared" si="2"/>
        <v>0</v>
      </c>
      <c r="I49" s="104">
        <f t="shared" si="2"/>
        <v>0</v>
      </c>
      <c r="J49" s="104">
        <f t="shared" si="2"/>
        <v>0</v>
      </c>
      <c r="K49" s="104">
        <f t="shared" si="2"/>
        <v>0</v>
      </c>
      <c r="L49" s="104">
        <f t="shared" si="2"/>
        <v>0</v>
      </c>
      <c r="M49" s="104">
        <f t="shared" si="2"/>
        <v>0</v>
      </c>
      <c r="N49" s="104">
        <f t="shared" si="2"/>
        <v>0</v>
      </c>
      <c r="O49" s="104">
        <f t="shared" si="2"/>
        <v>0</v>
      </c>
      <c r="P49" s="104">
        <f t="shared" si="2"/>
        <v>0</v>
      </c>
      <c r="Q49" s="104">
        <f t="shared" si="2"/>
        <v>0</v>
      </c>
      <c r="R49" s="104">
        <f t="shared" si="2"/>
        <v>0</v>
      </c>
      <c r="S49" s="104">
        <f t="shared" si="2"/>
        <v>0</v>
      </c>
      <c r="T49" s="104">
        <f t="shared" si="2"/>
        <v>0</v>
      </c>
      <c r="U49" s="104">
        <f t="shared" si="2"/>
        <v>0</v>
      </c>
      <c r="V49" s="104">
        <f t="shared" si="2"/>
        <v>0</v>
      </c>
      <c r="W49" s="105">
        <f t="shared" si="2"/>
        <v>0</v>
      </c>
      <c r="X49" s="106">
        <f t="shared" ref="X49:X92" si="3">SUM(C49:W49)</f>
        <v>0</v>
      </c>
    </row>
    <row r="50" spans="1:24" ht="15" customHeight="1" x14ac:dyDescent="0.25">
      <c r="A50" s="75">
        <f>IF('Cash Flow Analysis'!C66="","",'Cash Flow Analysis'!C66)</f>
        <v>-2</v>
      </c>
      <c r="B50" s="1088">
        <f>IF(A50="","",IF(A50&lt;1,0,IF(A50=1,$B$44-'Cash Flow Analysis'!I66,-'Cash Flow Analysis'!I66)))</f>
        <v>0</v>
      </c>
      <c r="C50" s="108">
        <f t="shared" ref="C50:W50" si="4">IF($B$50="","",IF(AND($B$42="Straight Line",C48&lt;=depr_length),$B$50/depr_length,IF(AND($B$42="MACRS",C48&lt;=depr_length+1),$B$50*INDEX(MACRS_Table,MATCH(C48,recovery_year,0),MATCH($B$43,recovery_period,0)),"")))</f>
        <v>0</v>
      </c>
      <c r="D50" s="109">
        <f t="shared" si="4"/>
        <v>0</v>
      </c>
      <c r="E50" s="109">
        <f t="shared" si="4"/>
        <v>0</v>
      </c>
      <c r="F50" s="109">
        <f t="shared" si="4"/>
        <v>0</v>
      </c>
      <c r="G50" s="109">
        <f t="shared" si="4"/>
        <v>0</v>
      </c>
      <c r="H50" s="109">
        <f t="shared" si="4"/>
        <v>0</v>
      </c>
      <c r="I50" s="109">
        <f t="shared" si="4"/>
        <v>0</v>
      </c>
      <c r="J50" s="109">
        <f t="shared" si="4"/>
        <v>0</v>
      </c>
      <c r="K50" s="109">
        <f t="shared" si="4"/>
        <v>0</v>
      </c>
      <c r="L50" s="109">
        <f t="shared" si="4"/>
        <v>0</v>
      </c>
      <c r="M50" s="109">
        <f t="shared" si="4"/>
        <v>0</v>
      </c>
      <c r="N50" s="109">
        <f t="shared" si="4"/>
        <v>0</v>
      </c>
      <c r="O50" s="109">
        <f t="shared" si="4"/>
        <v>0</v>
      </c>
      <c r="P50" s="109">
        <f t="shared" si="4"/>
        <v>0</v>
      </c>
      <c r="Q50" s="109">
        <f t="shared" si="4"/>
        <v>0</v>
      </c>
      <c r="R50" s="109">
        <f t="shared" si="4"/>
        <v>0</v>
      </c>
      <c r="S50" s="109">
        <f t="shared" si="4"/>
        <v>0</v>
      </c>
      <c r="T50" s="109">
        <f t="shared" si="4"/>
        <v>0</v>
      </c>
      <c r="U50" s="109">
        <f t="shared" si="4"/>
        <v>0</v>
      </c>
      <c r="V50" s="109">
        <f t="shared" si="4"/>
        <v>0</v>
      </c>
      <c r="W50" s="110">
        <f t="shared" si="4"/>
        <v>0</v>
      </c>
      <c r="X50" s="107">
        <f t="shared" si="3"/>
        <v>0</v>
      </c>
    </row>
    <row r="51" spans="1:24" ht="15" customHeight="1" x14ac:dyDescent="0.25">
      <c r="A51" s="75">
        <f>IF('Cash Flow Analysis'!C67="","",'Cash Flow Analysis'!C67)</f>
        <v>-1</v>
      </c>
      <c r="B51" s="1088">
        <f>IF(A51="","",IF(A51&lt;1,0,IF(A51=1,$B$44-'Cash Flow Analysis'!I67,-'Cash Flow Analysis'!I67)))</f>
        <v>0</v>
      </c>
      <c r="C51" s="108">
        <f t="shared" ref="C51:W51" si="5">IF($B$51="","",IF(AND($B$42="Straight Line",C48&lt;=depr_length),$B$51/depr_length,IF(AND($B$42="MACRS",C48&lt;=depr_length+1),$B$51*INDEX(MACRS_Table,MATCH(C48,recovery_year,0),MATCH($B$43,recovery_period,0)),"")))</f>
        <v>0</v>
      </c>
      <c r="D51" s="109">
        <f t="shared" si="5"/>
        <v>0</v>
      </c>
      <c r="E51" s="109">
        <f t="shared" si="5"/>
        <v>0</v>
      </c>
      <c r="F51" s="109">
        <f t="shared" si="5"/>
        <v>0</v>
      </c>
      <c r="G51" s="109">
        <f t="shared" si="5"/>
        <v>0</v>
      </c>
      <c r="H51" s="109">
        <f t="shared" si="5"/>
        <v>0</v>
      </c>
      <c r="I51" s="109">
        <f t="shared" si="5"/>
        <v>0</v>
      </c>
      <c r="J51" s="109">
        <f t="shared" si="5"/>
        <v>0</v>
      </c>
      <c r="K51" s="109">
        <f t="shared" si="5"/>
        <v>0</v>
      </c>
      <c r="L51" s="109">
        <f t="shared" si="5"/>
        <v>0</v>
      </c>
      <c r="M51" s="109">
        <f t="shared" si="5"/>
        <v>0</v>
      </c>
      <c r="N51" s="109">
        <f t="shared" si="5"/>
        <v>0</v>
      </c>
      <c r="O51" s="109">
        <f t="shared" si="5"/>
        <v>0</v>
      </c>
      <c r="P51" s="109">
        <f t="shared" si="5"/>
        <v>0</v>
      </c>
      <c r="Q51" s="109">
        <f t="shared" si="5"/>
        <v>0</v>
      </c>
      <c r="R51" s="109">
        <f t="shared" si="5"/>
        <v>0</v>
      </c>
      <c r="S51" s="109">
        <f t="shared" si="5"/>
        <v>0</v>
      </c>
      <c r="T51" s="109">
        <f t="shared" si="5"/>
        <v>0</v>
      </c>
      <c r="U51" s="109">
        <f t="shared" si="5"/>
        <v>0</v>
      </c>
      <c r="V51" s="109">
        <f t="shared" si="5"/>
        <v>0</v>
      </c>
      <c r="W51" s="110">
        <f t="shared" si="5"/>
        <v>0</v>
      </c>
      <c r="X51" s="107">
        <f t="shared" si="3"/>
        <v>0</v>
      </c>
    </row>
    <row r="52" spans="1:24" ht="15" customHeight="1" x14ac:dyDescent="0.25">
      <c r="A52" s="75">
        <f>IF('Cash Flow Analysis'!C68="","",'Cash Flow Analysis'!C68)</f>
        <v>1</v>
      </c>
      <c r="B52" s="1088">
        <f ca="1">IF(A52="","",IF(A52&lt;1,0,IF(A52=1,$B$44-'Cash Flow Analysis'!I68,-'Cash Flow Analysis'!I68)))</f>
        <v>290843036.94962996</v>
      </c>
      <c r="C52" s="108">
        <f t="shared" ref="C52:W52" ca="1" si="6">IF($B$52="","",IF(AND($B$42="Straight Line",C48&lt;=depr_length),$B$52/depr_length,IF(AND($B$42="MACRS",C48&lt;=depr_length+1),$B$52*INDEX(MACRS_Table,MATCH(C48,recovery_year,0),MATCH($B$43,recovery_period,0)),"")))</f>
        <v>10906613.885611122</v>
      </c>
      <c r="D52" s="109">
        <f t="shared" ca="1" si="6"/>
        <v>20995958.837393787</v>
      </c>
      <c r="E52" s="109">
        <f t="shared" ca="1" si="6"/>
        <v>19419589.57712679</v>
      </c>
      <c r="F52" s="109">
        <f t="shared" ca="1" si="6"/>
        <v>17965374.392378643</v>
      </c>
      <c r="G52" s="109">
        <f t="shared" ca="1" si="6"/>
        <v>16615862.700932359</v>
      </c>
      <c r="H52" s="109">
        <f t="shared" ca="1" si="6"/>
        <v>15371054.502787944</v>
      </c>
      <c r="I52" s="109">
        <f t="shared" ca="1" si="6"/>
        <v>14216407.646097913</v>
      </c>
      <c r="J52" s="109">
        <f t="shared" ca="1" si="6"/>
        <v>13151922.130862268</v>
      </c>
      <c r="K52" s="109">
        <f t="shared" ca="1" si="6"/>
        <v>12977416.308692489</v>
      </c>
      <c r="L52" s="109">
        <f t="shared" ca="1" si="6"/>
        <v>12974507.878322992</v>
      </c>
      <c r="M52" s="109">
        <f t="shared" ca="1" si="6"/>
        <v>12977416.308692489</v>
      </c>
      <c r="N52" s="109">
        <f t="shared" ca="1" si="6"/>
        <v>12974507.878322992</v>
      </c>
      <c r="O52" s="109">
        <f t="shared" ca="1" si="6"/>
        <v>12977416.308692489</v>
      </c>
      <c r="P52" s="109">
        <f t="shared" ca="1" si="6"/>
        <v>12974507.878322992</v>
      </c>
      <c r="Q52" s="109">
        <f t="shared" ca="1" si="6"/>
        <v>12977416.308692489</v>
      </c>
      <c r="R52" s="109">
        <f t="shared" ca="1" si="6"/>
        <v>12974507.878322992</v>
      </c>
      <c r="S52" s="109">
        <f t="shared" ca="1" si="6"/>
        <v>12977416.308692489</v>
      </c>
      <c r="T52" s="109">
        <f t="shared" ca="1" si="6"/>
        <v>12974507.878322992</v>
      </c>
      <c r="U52" s="109">
        <f t="shared" ca="1" si="6"/>
        <v>12977416.308692489</v>
      </c>
      <c r="V52" s="109">
        <f t="shared" ca="1" si="6"/>
        <v>12974507.878322992</v>
      </c>
      <c r="W52" s="110">
        <f t="shared" ca="1" si="6"/>
        <v>6488708.1543462444</v>
      </c>
      <c r="X52" s="107">
        <f t="shared" ca="1" si="3"/>
        <v>290843036.94962996</v>
      </c>
    </row>
    <row r="53" spans="1:24" ht="15" customHeight="1" x14ac:dyDescent="0.25">
      <c r="A53" s="75">
        <f>IF('Cash Flow Analysis'!C69="","",'Cash Flow Analysis'!C69)</f>
        <v>2</v>
      </c>
      <c r="B53" s="1088">
        <f ca="1">IF(A53="","",IF(A53&lt;1,0,IF(A53=1,$B$44-'Cash Flow Analysis'!I69,-'Cash Flow Analysis'!I69)))</f>
        <v>1545118.4917055266</v>
      </c>
      <c r="C53" s="108">
        <f t="shared" ref="C53:W53" ca="1" si="7">IF($B$53="","",IF(AND($B$42="Straight Line",C48&lt;=depr_length),$B$53/depr_length,IF(AND($B$42="MACRS",C48&lt;=depr_length+1),$B$53*INDEX(MACRS_Table,MATCH(C48,recovery_year,0),MATCH($B$43,recovery_period,0)),"")))</f>
        <v>57941.943438957249</v>
      </c>
      <c r="D53" s="109">
        <f t="shared" ca="1" si="7"/>
        <v>111542.10391622197</v>
      </c>
      <c r="E53" s="109">
        <f t="shared" ca="1" si="7"/>
        <v>103167.56169117801</v>
      </c>
      <c r="F53" s="109">
        <f t="shared" ca="1" si="7"/>
        <v>95441.969232650372</v>
      </c>
      <c r="G53" s="109">
        <f t="shared" ca="1" si="7"/>
        <v>88272.619431136729</v>
      </c>
      <c r="H53" s="109">
        <f t="shared" ca="1" si="7"/>
        <v>81659.51228663708</v>
      </c>
      <c r="I53" s="109">
        <f t="shared" ca="1" si="7"/>
        <v>75525.391874566136</v>
      </c>
      <c r="J53" s="109">
        <f t="shared" ca="1" si="7"/>
        <v>69870.258194923925</v>
      </c>
      <c r="K53" s="109">
        <f t="shared" ca="1" si="7"/>
        <v>68943.187099900591</v>
      </c>
      <c r="L53" s="109">
        <f t="shared" ca="1" si="7"/>
        <v>68927.735914983539</v>
      </c>
      <c r="M53" s="109">
        <f t="shared" ca="1" si="7"/>
        <v>68943.187099900591</v>
      </c>
      <c r="N53" s="109">
        <f t="shared" ca="1" si="7"/>
        <v>68927.735914983539</v>
      </c>
      <c r="O53" s="109">
        <f t="shared" ca="1" si="7"/>
        <v>68943.187099900591</v>
      </c>
      <c r="P53" s="109">
        <f t="shared" ca="1" si="7"/>
        <v>68927.735914983539</v>
      </c>
      <c r="Q53" s="109">
        <f t="shared" ca="1" si="7"/>
        <v>68943.187099900591</v>
      </c>
      <c r="R53" s="109">
        <f t="shared" ca="1" si="7"/>
        <v>68927.735914983539</v>
      </c>
      <c r="S53" s="109">
        <f t="shared" ca="1" si="7"/>
        <v>68943.187099900591</v>
      </c>
      <c r="T53" s="109">
        <f t="shared" ca="1" si="7"/>
        <v>68927.735914983539</v>
      </c>
      <c r="U53" s="109">
        <f t="shared" ca="1" si="7"/>
        <v>68943.187099900591</v>
      </c>
      <c r="V53" s="109">
        <f t="shared" ca="1" si="7"/>
        <v>68927.735914983539</v>
      </c>
      <c r="W53" s="110">
        <f t="shared" ca="1" si="7"/>
        <v>34471.593549950296</v>
      </c>
      <c r="X53" s="107">
        <f t="shared" ca="1" si="3"/>
        <v>1545118.4917055264</v>
      </c>
    </row>
    <row r="54" spans="1:24" ht="15" customHeight="1" x14ac:dyDescent="0.25">
      <c r="A54" s="75">
        <f>IF('Cash Flow Analysis'!C70="","",'Cash Flow Analysis'!C70)</f>
        <v>3</v>
      </c>
      <c r="B54" s="1088">
        <f ca="1">IF(A54="","",IF(A54&lt;1,0,IF(A54=1,$B$44-'Cash Flow Analysis'!I70,-'Cash Flow Analysis'!I70)))</f>
        <v>1574475.7430479315</v>
      </c>
      <c r="C54" s="108">
        <f t="shared" ref="C54:W54" ca="1" si="8">IF($B$54="","",IF(AND($B$42="Straight Line",C48&lt;=depr_length),$B$54/depr_length,IF(AND($B$42="MACRS",C48&lt;=depr_length+1),$B$54*INDEX(MACRS_Table,MATCH(C48,recovery_year,0),MATCH($B$43,recovery_period,0)),"")))</f>
        <v>59042.84036429743</v>
      </c>
      <c r="D54" s="109">
        <f t="shared" ca="1" si="8"/>
        <v>113661.40389063017</v>
      </c>
      <c r="E54" s="109">
        <f t="shared" ca="1" si="8"/>
        <v>105127.74536331037</v>
      </c>
      <c r="F54" s="109">
        <f t="shared" ca="1" si="8"/>
        <v>97255.366648070718</v>
      </c>
      <c r="G54" s="109">
        <f t="shared" ca="1" si="8"/>
        <v>89949.799200328329</v>
      </c>
      <c r="H54" s="109">
        <f t="shared" ca="1" si="8"/>
        <v>83211.043020083176</v>
      </c>
      <c r="I54" s="109">
        <f t="shared" ca="1" si="8"/>
        <v>76960.374320182891</v>
      </c>
      <c r="J54" s="109">
        <f t="shared" ca="1" si="8"/>
        <v>71197.793100627459</v>
      </c>
      <c r="K54" s="109">
        <f t="shared" ca="1" si="8"/>
        <v>70253.107654798703</v>
      </c>
      <c r="L54" s="109">
        <f t="shared" ca="1" si="8"/>
        <v>70237.362897368221</v>
      </c>
      <c r="M54" s="109">
        <f t="shared" ca="1" si="8"/>
        <v>70253.107654798703</v>
      </c>
      <c r="N54" s="109">
        <f t="shared" ca="1" si="8"/>
        <v>70237.362897368221</v>
      </c>
      <c r="O54" s="109">
        <f t="shared" ca="1" si="8"/>
        <v>70253.107654798703</v>
      </c>
      <c r="P54" s="109">
        <f t="shared" ca="1" si="8"/>
        <v>70237.362897368221</v>
      </c>
      <c r="Q54" s="109">
        <f t="shared" ca="1" si="8"/>
        <v>70253.107654798703</v>
      </c>
      <c r="R54" s="109">
        <f t="shared" ca="1" si="8"/>
        <v>70237.362897368221</v>
      </c>
      <c r="S54" s="109">
        <f t="shared" ca="1" si="8"/>
        <v>70253.107654798703</v>
      </c>
      <c r="T54" s="109">
        <f t="shared" ca="1" si="8"/>
        <v>70237.362897368221</v>
      </c>
      <c r="U54" s="109">
        <f t="shared" ca="1" si="8"/>
        <v>70253.107654798703</v>
      </c>
      <c r="V54" s="109">
        <f t="shared" ca="1" si="8"/>
        <v>70237.362897368221</v>
      </c>
      <c r="W54" s="110">
        <f t="shared" ca="1" si="8"/>
        <v>35126.553827399352</v>
      </c>
      <c r="X54" s="107">
        <f t="shared" ca="1" si="3"/>
        <v>1574475.7430479315</v>
      </c>
    </row>
    <row r="55" spans="1:24" ht="15" customHeight="1" x14ac:dyDescent="0.25">
      <c r="A55" s="75">
        <f>IF('Cash Flow Analysis'!C71="","",'Cash Flow Analysis'!C71)</f>
        <v>4</v>
      </c>
      <c r="B55" s="1088">
        <f ca="1">IF(A55="","",IF(A55&lt;1,0,IF(A55=1,$B$44-'Cash Flow Analysis'!I71,-'Cash Flow Analysis'!I71)))</f>
        <v>1604390.7821658421</v>
      </c>
      <c r="C55" s="108">
        <f t="shared" ref="C55:W55" ca="1" si="9">IF($B$55="","",IF(AND($B$42="Straight Line",C48&lt;=depr_length),$B$55/depr_length,IF(AND($B$42="MACRS",C48&lt;=depr_length+1),$B$55*INDEX(MACRS_Table,MATCH(C48,recovery_year,0),MATCH($B$43,recovery_period,0)),"")))</f>
        <v>60164.654331219077</v>
      </c>
      <c r="D55" s="109">
        <f t="shared" ca="1" si="9"/>
        <v>115820.97056455215</v>
      </c>
      <c r="E55" s="109">
        <f t="shared" ca="1" si="9"/>
        <v>107125.17252521327</v>
      </c>
      <c r="F55" s="109">
        <f t="shared" ca="1" si="9"/>
        <v>99103.218614384066</v>
      </c>
      <c r="G55" s="109">
        <f t="shared" ca="1" si="9"/>
        <v>91658.845385134555</v>
      </c>
      <c r="H55" s="109">
        <f t="shared" ca="1" si="9"/>
        <v>84792.052837464755</v>
      </c>
      <c r="I55" s="109">
        <f t="shared" ca="1" si="9"/>
        <v>78422.621432266358</v>
      </c>
      <c r="J55" s="109">
        <f t="shared" ca="1" si="9"/>
        <v>72550.55116953938</v>
      </c>
      <c r="K55" s="109">
        <f t="shared" ca="1" si="9"/>
        <v>71587.916700239875</v>
      </c>
      <c r="L55" s="109">
        <f t="shared" ca="1" si="9"/>
        <v>71571.872792418217</v>
      </c>
      <c r="M55" s="109">
        <f t="shared" ca="1" si="9"/>
        <v>71587.916700239875</v>
      </c>
      <c r="N55" s="109">
        <f t="shared" ca="1" si="9"/>
        <v>71571.872792418217</v>
      </c>
      <c r="O55" s="109">
        <f t="shared" ca="1" si="9"/>
        <v>71587.916700239875</v>
      </c>
      <c r="P55" s="109">
        <f t="shared" ca="1" si="9"/>
        <v>71571.872792418217</v>
      </c>
      <c r="Q55" s="109">
        <f t="shared" ca="1" si="9"/>
        <v>71587.916700239875</v>
      </c>
      <c r="R55" s="109">
        <f t="shared" ca="1" si="9"/>
        <v>71571.872792418217</v>
      </c>
      <c r="S55" s="109">
        <f t="shared" ca="1" si="9"/>
        <v>71587.916700239875</v>
      </c>
      <c r="T55" s="109">
        <f t="shared" ca="1" si="9"/>
        <v>71571.872792418217</v>
      </c>
      <c r="U55" s="109">
        <f t="shared" ca="1" si="9"/>
        <v>71587.916700239875</v>
      </c>
      <c r="V55" s="109">
        <f t="shared" ca="1" si="9"/>
        <v>71571.872792418217</v>
      </c>
      <c r="W55" s="110">
        <f t="shared" ca="1" si="9"/>
        <v>35793.958350119938</v>
      </c>
      <c r="X55" s="107">
        <f t="shared" ca="1" si="3"/>
        <v>1604390.7821658414</v>
      </c>
    </row>
    <row r="56" spans="1:24" ht="15" customHeight="1" x14ac:dyDescent="0.25">
      <c r="A56" s="75">
        <f>IF('Cash Flow Analysis'!C72="","",'Cash Flow Analysis'!C72)</f>
        <v>5</v>
      </c>
      <c r="B56" s="1088">
        <f ca="1">IF(A56="","",IF(A56&lt;1,0,IF(A56=1,$B$44-'Cash Flow Analysis'!I72,-'Cash Flow Analysis'!I72)))</f>
        <v>1634874.2070269932</v>
      </c>
      <c r="C56" s="108">
        <f t="shared" ref="C56:W56" ca="1" si="10">IF($B$56="","",IF(AND($B$42="Straight Line",C48&lt;=depr_length),$B$56/depr_length,IF(AND($B$42="MACRS",C48&lt;=depr_length+1),$B$56*INDEX(MACRS_Table,MATCH(C48,recovery_year,0),MATCH($B$43,recovery_period,0)),"")))</f>
        <v>61307.782763512238</v>
      </c>
      <c r="D56" s="109">
        <f t="shared" ca="1" si="10"/>
        <v>118021.56900527864</v>
      </c>
      <c r="E56" s="109">
        <f t="shared" ca="1" si="10"/>
        <v>109160.55080319232</v>
      </c>
      <c r="F56" s="109">
        <f t="shared" ca="1" si="10"/>
        <v>100986.17976805737</v>
      </c>
      <c r="G56" s="109">
        <f t="shared" ca="1" si="10"/>
        <v>93400.363447452124</v>
      </c>
      <c r="H56" s="109">
        <f t="shared" ca="1" si="10"/>
        <v>86403.101841376585</v>
      </c>
      <c r="I56" s="109">
        <f t="shared" ca="1" si="10"/>
        <v>79912.651239479426</v>
      </c>
      <c r="J56" s="109">
        <f t="shared" ca="1" si="10"/>
        <v>73929.011641760633</v>
      </c>
      <c r="K56" s="109">
        <f t="shared" ca="1" si="10"/>
        <v>72948.087117544434</v>
      </c>
      <c r="L56" s="109">
        <f t="shared" ca="1" si="10"/>
        <v>72931.73837547416</v>
      </c>
      <c r="M56" s="109">
        <f t="shared" ca="1" si="10"/>
        <v>72948.087117544434</v>
      </c>
      <c r="N56" s="109">
        <f t="shared" ca="1" si="10"/>
        <v>72931.73837547416</v>
      </c>
      <c r="O56" s="109">
        <f t="shared" ca="1" si="10"/>
        <v>72948.087117544434</v>
      </c>
      <c r="P56" s="109">
        <f t="shared" ca="1" si="10"/>
        <v>72931.73837547416</v>
      </c>
      <c r="Q56" s="109">
        <f t="shared" ca="1" si="10"/>
        <v>72948.087117544434</v>
      </c>
      <c r="R56" s="109">
        <f t="shared" ca="1" si="10"/>
        <v>72931.73837547416</v>
      </c>
      <c r="S56" s="109">
        <f t="shared" ca="1" si="10"/>
        <v>72948.087117544434</v>
      </c>
      <c r="T56" s="109">
        <f t="shared" ca="1" si="10"/>
        <v>72931.73837547416</v>
      </c>
      <c r="U56" s="109">
        <f t="shared" ca="1" si="10"/>
        <v>72948.087117544434</v>
      </c>
      <c r="V56" s="109">
        <f t="shared" ca="1" si="10"/>
        <v>72931.73837547416</v>
      </c>
      <c r="W56" s="110">
        <f t="shared" ca="1" si="10"/>
        <v>36474.043558772217</v>
      </c>
      <c r="X56" s="107">
        <f t="shared" ca="1" si="3"/>
        <v>1634874.2070269932</v>
      </c>
    </row>
    <row r="57" spans="1:24" ht="15" customHeight="1" x14ac:dyDescent="0.25">
      <c r="A57" s="75">
        <f>IF('Cash Flow Analysis'!C73="","",'Cash Flow Analysis'!C73)</f>
        <v>6</v>
      </c>
      <c r="B57" s="1088">
        <f ca="1">IF(A57="","",IF(A57&lt;1,0,IF(A57=1,$B$44-'Cash Flow Analysis'!I73,-'Cash Flow Analysis'!I73)))</f>
        <v>1665936.8169605057</v>
      </c>
      <c r="C57" s="108">
        <f t="shared" ref="C57:W57" ca="1" si="11">IF($B$57="","",IF(AND($B$42="Straight Line",C48&lt;=depr_length),$B$57/depr_length,IF(AND($B$42="MACRS",C48&lt;=depr_length+1),$B$57*INDEX(MACRS_Table,MATCH(C48,recovery_year,0),MATCH($B$43,recovery_period,0)),"")))</f>
        <v>62472.630636018963</v>
      </c>
      <c r="D57" s="109">
        <f t="shared" ca="1" si="11"/>
        <v>120263.97881637891</v>
      </c>
      <c r="E57" s="109">
        <f t="shared" ca="1" si="11"/>
        <v>111234.60126845296</v>
      </c>
      <c r="F57" s="109">
        <f t="shared" ca="1" si="11"/>
        <v>102904.91718365044</v>
      </c>
      <c r="G57" s="109">
        <f t="shared" ca="1" si="11"/>
        <v>95174.970352953693</v>
      </c>
      <c r="H57" s="109">
        <f t="shared" ca="1" si="11"/>
        <v>88044.760776362731</v>
      </c>
      <c r="I57" s="109">
        <f t="shared" ca="1" si="11"/>
        <v>81430.991613029517</v>
      </c>
      <c r="J57" s="109">
        <f t="shared" ca="1" si="11"/>
        <v>75333.662862954079</v>
      </c>
      <c r="K57" s="109">
        <f t="shared" ca="1" si="11"/>
        <v>74334.100772777761</v>
      </c>
      <c r="L57" s="109">
        <f t="shared" ca="1" si="11"/>
        <v>74317.441404608151</v>
      </c>
      <c r="M57" s="109">
        <f t="shared" ca="1" si="11"/>
        <v>74334.100772777761</v>
      </c>
      <c r="N57" s="109">
        <f t="shared" ca="1" si="11"/>
        <v>74317.441404608151</v>
      </c>
      <c r="O57" s="109">
        <f t="shared" ca="1" si="11"/>
        <v>74334.100772777761</v>
      </c>
      <c r="P57" s="109">
        <f t="shared" ca="1" si="11"/>
        <v>74317.441404608151</v>
      </c>
      <c r="Q57" s="109">
        <f t="shared" ca="1" si="11"/>
        <v>74334.100772777761</v>
      </c>
      <c r="R57" s="109">
        <f t="shared" ca="1" si="11"/>
        <v>74317.441404608151</v>
      </c>
      <c r="S57" s="109">
        <f t="shared" ca="1" si="11"/>
        <v>74334.100772777761</v>
      </c>
      <c r="T57" s="109">
        <f t="shared" ca="1" si="11"/>
        <v>74317.441404608151</v>
      </c>
      <c r="U57" s="109">
        <f t="shared" ca="1" si="11"/>
        <v>74334.100772777761</v>
      </c>
      <c r="V57" s="109">
        <f t="shared" ca="1" si="11"/>
        <v>74317.441404608151</v>
      </c>
      <c r="W57" s="110">
        <f t="shared" ca="1" si="11"/>
        <v>37167.050386388881</v>
      </c>
      <c r="X57" s="107">
        <f t="shared" ca="1" si="3"/>
        <v>1665936.8169605054</v>
      </c>
    </row>
    <row r="58" spans="1:24" ht="15" customHeight="1" x14ac:dyDescent="0.25">
      <c r="A58" s="75">
        <f>IF('Cash Flow Analysis'!C74="","",'Cash Flow Analysis'!C74)</f>
        <v>7</v>
      </c>
      <c r="B58" s="1088">
        <f ca="1">IF(A58="","",IF(A58&lt;1,0,IF(A58=1,$B$44-'Cash Flow Analysis'!I74,-'Cash Flow Analysis'!I74)))</f>
        <v>1697589.6164827556</v>
      </c>
      <c r="C58" s="108">
        <f t="shared" ref="C58:W58" ca="1" si="12">IF($B$58="","",IF(AND($B$42="Straight Line",C48&lt;=depr_length),$B$58/depr_length,IF(AND($B$42="MACRS",C48&lt;=depr_length+1),$B$58*INDEX(MACRS_Table,MATCH(C48,recovery_year,0),MATCH($B$43,recovery_period,0)),"")))</f>
        <v>63659.610618103332</v>
      </c>
      <c r="D58" s="109">
        <f t="shared" ca="1" si="12"/>
        <v>122548.99441389013</v>
      </c>
      <c r="E58" s="109">
        <f t="shared" ca="1" si="12"/>
        <v>113348.05869255359</v>
      </c>
      <c r="F58" s="109">
        <f t="shared" ca="1" si="12"/>
        <v>104860.11061013982</v>
      </c>
      <c r="G58" s="109">
        <f t="shared" ca="1" si="12"/>
        <v>96983.294789659834</v>
      </c>
      <c r="H58" s="109">
        <f t="shared" ca="1" si="12"/>
        <v>89717.611231113638</v>
      </c>
      <c r="I58" s="109">
        <f t="shared" ca="1" si="12"/>
        <v>82978.180453677094</v>
      </c>
      <c r="J58" s="109">
        <f t="shared" ca="1" si="12"/>
        <v>76765.002457350216</v>
      </c>
      <c r="K58" s="109">
        <f t="shared" ca="1" si="12"/>
        <v>75746.44868746055</v>
      </c>
      <c r="L58" s="109">
        <f t="shared" ca="1" si="12"/>
        <v>75729.472791295717</v>
      </c>
      <c r="M58" s="109">
        <f t="shared" ca="1" si="12"/>
        <v>75746.44868746055</v>
      </c>
      <c r="N58" s="109">
        <f t="shared" ca="1" si="12"/>
        <v>75729.472791295717</v>
      </c>
      <c r="O58" s="109">
        <f t="shared" ca="1" si="12"/>
        <v>75746.44868746055</v>
      </c>
      <c r="P58" s="109">
        <f t="shared" ca="1" si="12"/>
        <v>75729.472791295717</v>
      </c>
      <c r="Q58" s="109">
        <f t="shared" ca="1" si="12"/>
        <v>75746.44868746055</v>
      </c>
      <c r="R58" s="109">
        <f t="shared" ca="1" si="12"/>
        <v>75729.472791295717</v>
      </c>
      <c r="S58" s="109">
        <f t="shared" ca="1" si="12"/>
        <v>75746.44868746055</v>
      </c>
      <c r="T58" s="109">
        <f t="shared" ca="1" si="12"/>
        <v>75729.472791295717</v>
      </c>
      <c r="U58" s="109">
        <f t="shared" ca="1" si="12"/>
        <v>75746.44868746055</v>
      </c>
      <c r="V58" s="109">
        <f t="shared" ca="1" si="12"/>
        <v>75729.472791295717</v>
      </c>
      <c r="W58" s="110">
        <f t="shared" ca="1" si="12"/>
        <v>37873.224343730275</v>
      </c>
      <c r="X58" s="107">
        <f t="shared" ca="1" si="3"/>
        <v>1697589.6164827554</v>
      </c>
    </row>
    <row r="59" spans="1:24" ht="15" customHeight="1" x14ac:dyDescent="0.25">
      <c r="A59" s="75">
        <f>IF('Cash Flow Analysis'!C75="","",'Cash Flow Analysis'!C75)</f>
        <v>8</v>
      </c>
      <c r="B59" s="1088">
        <f ca="1">IF(A59="","",IF(A59&lt;1,0,IF(A59=1,$B$44-'Cash Flow Analysis'!I75,-'Cash Flow Analysis'!I75)))</f>
        <v>1729843.8191959278</v>
      </c>
      <c r="C59" s="108">
        <f t="shared" ref="C59:W59" ca="1" si="13">IF($B$59="","",IF(AND($B$42="Straight Line",C48&lt;=depr_length),$B$59/depr_length,IF(AND($B$42="MACRS",C48&lt;=depr_length+1),$B$59*INDEX(MACRS_Table,MATCH(C48,recovery_year,0),MATCH($B$43,recovery_period,0)),"")))</f>
        <v>64869.14321984729</v>
      </c>
      <c r="D59" s="109">
        <f t="shared" ca="1" si="13"/>
        <v>124877.42530775403</v>
      </c>
      <c r="E59" s="109">
        <f t="shared" ca="1" si="13"/>
        <v>115501.67180771209</v>
      </c>
      <c r="F59" s="109">
        <f t="shared" ca="1" si="13"/>
        <v>106852.45271173246</v>
      </c>
      <c r="G59" s="109">
        <f t="shared" ca="1" si="13"/>
        <v>98825.977390663364</v>
      </c>
      <c r="H59" s="109">
        <f t="shared" ca="1" si="13"/>
        <v>91422.245844504781</v>
      </c>
      <c r="I59" s="109">
        <f t="shared" ca="1" si="13"/>
        <v>84554.765882296953</v>
      </c>
      <c r="J59" s="109">
        <f t="shared" ca="1" si="13"/>
        <v>78223.537504039865</v>
      </c>
      <c r="K59" s="109">
        <f t="shared" ca="1" si="13"/>
        <v>77185.631212522305</v>
      </c>
      <c r="L59" s="109">
        <f t="shared" ca="1" si="13"/>
        <v>77168.332774330338</v>
      </c>
      <c r="M59" s="109">
        <f t="shared" ca="1" si="13"/>
        <v>77185.631212522305</v>
      </c>
      <c r="N59" s="109">
        <f t="shared" ca="1" si="13"/>
        <v>77168.332774330338</v>
      </c>
      <c r="O59" s="109">
        <f t="shared" ca="1" si="13"/>
        <v>77185.631212522305</v>
      </c>
      <c r="P59" s="109">
        <f t="shared" ca="1" si="13"/>
        <v>77168.332774330338</v>
      </c>
      <c r="Q59" s="109">
        <f t="shared" ca="1" si="13"/>
        <v>77185.631212522305</v>
      </c>
      <c r="R59" s="109">
        <f t="shared" ca="1" si="13"/>
        <v>77168.332774330338</v>
      </c>
      <c r="S59" s="109">
        <f t="shared" ca="1" si="13"/>
        <v>77185.631212522305</v>
      </c>
      <c r="T59" s="109">
        <f t="shared" ca="1" si="13"/>
        <v>77168.332774330338</v>
      </c>
      <c r="U59" s="109">
        <f t="shared" ca="1" si="13"/>
        <v>77185.631212522305</v>
      </c>
      <c r="V59" s="109">
        <f t="shared" ca="1" si="13"/>
        <v>77168.332774330338</v>
      </c>
      <c r="W59" s="110">
        <f t="shared" ca="1" si="13"/>
        <v>38592.815606261152</v>
      </c>
      <c r="X59" s="107">
        <f t="shared" ca="1" si="3"/>
        <v>1729843.8191959278</v>
      </c>
    </row>
    <row r="60" spans="1:24" ht="15" customHeight="1" x14ac:dyDescent="0.25">
      <c r="A60" s="75">
        <f>IF('Cash Flow Analysis'!C76="","",'Cash Flow Analysis'!C76)</f>
        <v>9</v>
      </c>
      <c r="B60" s="1088">
        <f ca="1">IF(A60="","",IF(A60&lt;1,0,IF(A60=1,$B$44-'Cash Flow Analysis'!I76,-'Cash Flow Analysis'!I76)))</f>
        <v>1762710.8517606503</v>
      </c>
      <c r="C60" s="108">
        <f t="shared" ref="C60:W60" ca="1" si="14">IF($B$60="","",IF(AND($B$42="Straight Line",C48&lt;=depr_length),$B$60/depr_length,IF(AND($B$42="MACRS",C48&lt;=depr_length+1),$B$60*INDEX(MACRS_Table,MATCH(C48,recovery_year,0),MATCH($B$43,recovery_period,0)),"")))</f>
        <v>66101.656941024383</v>
      </c>
      <c r="D60" s="109">
        <f t="shared" ca="1" si="14"/>
        <v>127250.09638860135</v>
      </c>
      <c r="E60" s="109">
        <f t="shared" ca="1" si="14"/>
        <v>117696.20357205861</v>
      </c>
      <c r="F60" s="109">
        <f t="shared" ca="1" si="14"/>
        <v>108882.64931325536</v>
      </c>
      <c r="G60" s="109">
        <f t="shared" ca="1" si="14"/>
        <v>100703.67096108595</v>
      </c>
      <c r="H60" s="109">
        <f t="shared" ca="1" si="14"/>
        <v>93159.268515550371</v>
      </c>
      <c r="I60" s="109">
        <f t="shared" ca="1" si="14"/>
        <v>86161.306434060592</v>
      </c>
      <c r="J60" s="109">
        <f t="shared" ca="1" si="14"/>
        <v>79709.784716616618</v>
      </c>
      <c r="K60" s="109">
        <f t="shared" ca="1" si="14"/>
        <v>78652.158205560219</v>
      </c>
      <c r="L60" s="109">
        <f t="shared" ca="1" si="14"/>
        <v>78634.531097042607</v>
      </c>
      <c r="M60" s="109">
        <f t="shared" ca="1" si="14"/>
        <v>78652.158205560219</v>
      </c>
      <c r="N60" s="109">
        <f t="shared" ca="1" si="14"/>
        <v>78634.531097042607</v>
      </c>
      <c r="O60" s="109">
        <f t="shared" ca="1" si="14"/>
        <v>78652.158205560219</v>
      </c>
      <c r="P60" s="109">
        <f t="shared" ca="1" si="14"/>
        <v>78634.531097042607</v>
      </c>
      <c r="Q60" s="109">
        <f t="shared" ca="1" si="14"/>
        <v>78652.158205560219</v>
      </c>
      <c r="R60" s="109">
        <f t="shared" ca="1" si="14"/>
        <v>78634.531097042607</v>
      </c>
      <c r="S60" s="109">
        <f t="shared" ca="1" si="14"/>
        <v>78652.158205560219</v>
      </c>
      <c r="T60" s="109">
        <f t="shared" ca="1" si="14"/>
        <v>78634.531097042607</v>
      </c>
      <c r="U60" s="109">
        <f t="shared" ca="1" si="14"/>
        <v>78652.158205560219</v>
      </c>
      <c r="V60" s="109">
        <f t="shared" ca="1" si="14"/>
        <v>78634.531097042607</v>
      </c>
      <c r="W60" s="110">
        <f t="shared" ca="1" si="14"/>
        <v>39326.07910278011</v>
      </c>
      <c r="X60" s="107">
        <f t="shared" ca="1" si="3"/>
        <v>1762710.8517606501</v>
      </c>
    </row>
    <row r="61" spans="1:24" ht="15" customHeight="1" x14ac:dyDescent="0.25">
      <c r="A61" s="75">
        <f>IF('Cash Flow Analysis'!C77="","",'Cash Flow Analysis'!C77)</f>
        <v>10</v>
      </c>
      <c r="B61" s="1088">
        <f ca="1">IF(A61="","",IF(A61&lt;1,0,IF(A61=1,$B$44-'Cash Flow Analysis'!I77,-'Cash Flow Analysis'!I77)))</f>
        <v>1796202.3579441025</v>
      </c>
      <c r="C61" s="108">
        <f t="shared" ref="C61:W61" ca="1" si="15">IF($B$61="","",IF(AND($B$42="Straight Line",C48&lt;=depr_length),$B$61/depr_length,IF(AND($B$42="MACRS",C48&lt;=depr_length+1),$B$61*INDEX(MACRS_Table,MATCH(C48,recovery_year,0),MATCH($B$43,recovery_period,0)),"")))</f>
        <v>67357.588422903835</v>
      </c>
      <c r="D61" s="109">
        <f t="shared" ca="1" si="15"/>
        <v>129667.84821998476</v>
      </c>
      <c r="E61" s="109">
        <f t="shared" ca="1" si="15"/>
        <v>119932.43143992772</v>
      </c>
      <c r="F61" s="109">
        <f t="shared" ca="1" si="15"/>
        <v>110951.41965020722</v>
      </c>
      <c r="G61" s="109">
        <f t="shared" ca="1" si="15"/>
        <v>102617.04070934658</v>
      </c>
      <c r="H61" s="109">
        <f t="shared" ca="1" si="15"/>
        <v>94929.294617345819</v>
      </c>
      <c r="I61" s="109">
        <f t="shared" ca="1" si="15"/>
        <v>87798.371256307728</v>
      </c>
      <c r="J61" s="109">
        <f t="shared" ca="1" si="15"/>
        <v>81224.270626232319</v>
      </c>
      <c r="K61" s="109">
        <f t="shared" ca="1" si="15"/>
        <v>80146.549211465855</v>
      </c>
      <c r="L61" s="109">
        <f t="shared" ca="1" si="15"/>
        <v>80128.587187886413</v>
      </c>
      <c r="M61" s="109">
        <f t="shared" ca="1" si="15"/>
        <v>80146.549211465855</v>
      </c>
      <c r="N61" s="109">
        <f t="shared" ca="1" si="15"/>
        <v>80128.587187886413</v>
      </c>
      <c r="O61" s="109">
        <f t="shared" ca="1" si="15"/>
        <v>80146.549211465855</v>
      </c>
      <c r="P61" s="109">
        <f t="shared" ca="1" si="15"/>
        <v>80128.587187886413</v>
      </c>
      <c r="Q61" s="109">
        <f t="shared" ca="1" si="15"/>
        <v>80146.549211465855</v>
      </c>
      <c r="R61" s="109">
        <f t="shared" ca="1" si="15"/>
        <v>80128.587187886413</v>
      </c>
      <c r="S61" s="109">
        <f t="shared" ca="1" si="15"/>
        <v>80146.549211465855</v>
      </c>
      <c r="T61" s="109">
        <f t="shared" ca="1" si="15"/>
        <v>80128.587187886413</v>
      </c>
      <c r="U61" s="109">
        <f t="shared" ca="1" si="15"/>
        <v>80146.549211465855</v>
      </c>
      <c r="V61" s="109">
        <f t="shared" ca="1" si="15"/>
        <v>80128.587187886413</v>
      </c>
      <c r="W61" s="110">
        <f t="shared" ca="1" si="15"/>
        <v>40073.274605732928</v>
      </c>
      <c r="X61" s="107">
        <f t="shared" ca="1" si="3"/>
        <v>1796202.357944102</v>
      </c>
    </row>
    <row r="62" spans="1:24" ht="15" customHeight="1" x14ac:dyDescent="0.25">
      <c r="A62" s="75">
        <f>IF('Cash Flow Analysis'!C78="","",'Cash Flow Analysis'!C78)</f>
        <v>11</v>
      </c>
      <c r="B62" s="1088">
        <f ca="1">IF(A62="","",IF(A62&lt;1,0,IF(A62=1,$B$44-'Cash Flow Analysis'!I78,-'Cash Flow Analysis'!I78)))</f>
        <v>1830330.2027450404</v>
      </c>
      <c r="C62" s="108">
        <f t="shared" ref="C62:W62" ca="1" si="16">IF($B$62="","",IF(AND($B$42="Straight Line",C48&lt;=depr_length),$B$62/depr_length,IF(AND($B$42="MACRS",C48&lt;=depr_length+1),$B$62*INDEX(MACRS_Table,MATCH(C48,recovery_year,0),MATCH($B$43,recovery_period,0)),"")))</f>
        <v>68637.382602939018</v>
      </c>
      <c r="D62" s="109">
        <f t="shared" ca="1" si="16"/>
        <v>132131.53733616447</v>
      </c>
      <c r="E62" s="109">
        <f t="shared" ca="1" si="16"/>
        <v>122211.14763728634</v>
      </c>
      <c r="F62" s="109">
        <f t="shared" ca="1" si="16"/>
        <v>113059.49662356115</v>
      </c>
      <c r="G62" s="109">
        <f t="shared" ca="1" si="16"/>
        <v>104566.76448282416</v>
      </c>
      <c r="H62" s="109">
        <f t="shared" ca="1" si="16"/>
        <v>96732.951215075387</v>
      </c>
      <c r="I62" s="109">
        <f t="shared" ca="1" si="16"/>
        <v>89466.540310177574</v>
      </c>
      <c r="J62" s="109">
        <f t="shared" ca="1" si="16"/>
        <v>82767.531768130735</v>
      </c>
      <c r="K62" s="109">
        <f t="shared" ca="1" si="16"/>
        <v>81669.333646483705</v>
      </c>
      <c r="L62" s="109">
        <f t="shared" ca="1" si="16"/>
        <v>81651.030344456245</v>
      </c>
      <c r="M62" s="109">
        <f t="shared" ca="1" si="16"/>
        <v>81669.333646483705</v>
      </c>
      <c r="N62" s="109">
        <f t="shared" ca="1" si="16"/>
        <v>81651.030344456245</v>
      </c>
      <c r="O62" s="109">
        <f t="shared" ca="1" si="16"/>
        <v>81669.333646483705</v>
      </c>
      <c r="P62" s="109">
        <f t="shared" ca="1" si="16"/>
        <v>81651.030344456245</v>
      </c>
      <c r="Q62" s="109">
        <f t="shared" ca="1" si="16"/>
        <v>81669.333646483705</v>
      </c>
      <c r="R62" s="109">
        <f t="shared" ca="1" si="16"/>
        <v>81651.030344456245</v>
      </c>
      <c r="S62" s="109">
        <f t="shared" ca="1" si="16"/>
        <v>81669.333646483705</v>
      </c>
      <c r="T62" s="109">
        <f t="shared" ca="1" si="16"/>
        <v>81651.030344456245</v>
      </c>
      <c r="U62" s="109">
        <f t="shared" ca="1" si="16"/>
        <v>81669.333646483705</v>
      </c>
      <c r="V62" s="109">
        <f t="shared" ca="1" si="16"/>
        <v>81651.030344456245</v>
      </c>
      <c r="W62" s="110">
        <f t="shared" ca="1" si="16"/>
        <v>40834.666823241852</v>
      </c>
      <c r="X62" s="107">
        <f t="shared" ca="1" si="3"/>
        <v>1830330.2027450402</v>
      </c>
    </row>
    <row r="63" spans="1:24" ht="15" customHeight="1" x14ac:dyDescent="0.25">
      <c r="A63" s="75">
        <f>IF('Cash Flow Analysis'!C79="","",'Cash Flow Analysis'!C79)</f>
        <v>12</v>
      </c>
      <c r="B63" s="1088">
        <f ca="1">IF(A63="","",IF(A63&lt;1,0,IF(A63=1,$B$44-'Cash Flow Analysis'!I79,-'Cash Flow Analysis'!I79)))</f>
        <v>1865106.4765971962</v>
      </c>
      <c r="C63" s="108">
        <f t="shared" ref="C63:W63" ca="1" si="17">IF($B$63="","",IF(AND($B$42="Straight Line",C48&lt;=depr_length),$B$63/depr_length,IF(AND($B$42="MACRS",C48&lt;=depr_length+1),$B$63*INDEX(MACRS_Table,MATCH(C48,recovery_year,0),MATCH($B$43,recovery_period,0)),"")))</f>
        <v>69941.492872394854</v>
      </c>
      <c r="D63" s="109">
        <f t="shared" ca="1" si="17"/>
        <v>134642.03654555161</v>
      </c>
      <c r="E63" s="109">
        <f t="shared" ca="1" si="17"/>
        <v>124533.15944239478</v>
      </c>
      <c r="F63" s="109">
        <f t="shared" ca="1" si="17"/>
        <v>115207.62705940881</v>
      </c>
      <c r="G63" s="109">
        <f t="shared" ca="1" si="17"/>
        <v>106553.53300799782</v>
      </c>
      <c r="H63" s="109">
        <f t="shared" ca="1" si="17"/>
        <v>98570.877288161821</v>
      </c>
      <c r="I63" s="109">
        <f t="shared" ca="1" si="17"/>
        <v>91166.404576070956</v>
      </c>
      <c r="J63" s="109">
        <f t="shared" ca="1" si="17"/>
        <v>84340.114871725222</v>
      </c>
      <c r="K63" s="109">
        <f t="shared" ca="1" si="17"/>
        <v>83221.050985766895</v>
      </c>
      <c r="L63" s="109">
        <f t="shared" ca="1" si="17"/>
        <v>83202.399921000921</v>
      </c>
      <c r="M63" s="109">
        <f t="shared" ca="1" si="17"/>
        <v>83221.050985766895</v>
      </c>
      <c r="N63" s="109">
        <f t="shared" ca="1" si="17"/>
        <v>83202.399921000921</v>
      </c>
      <c r="O63" s="109">
        <f t="shared" ca="1" si="17"/>
        <v>83221.050985766895</v>
      </c>
      <c r="P63" s="109">
        <f t="shared" ca="1" si="17"/>
        <v>83202.399921000921</v>
      </c>
      <c r="Q63" s="109">
        <f t="shared" ca="1" si="17"/>
        <v>83221.050985766895</v>
      </c>
      <c r="R63" s="109">
        <f t="shared" ca="1" si="17"/>
        <v>83202.399921000921</v>
      </c>
      <c r="S63" s="109">
        <f t="shared" ca="1" si="17"/>
        <v>83221.050985766895</v>
      </c>
      <c r="T63" s="109">
        <f t="shared" ca="1" si="17"/>
        <v>83202.399921000921</v>
      </c>
      <c r="U63" s="109">
        <f t="shared" ca="1" si="17"/>
        <v>83221.050985766895</v>
      </c>
      <c r="V63" s="109">
        <f t="shared" ca="1" si="17"/>
        <v>83202.399921000921</v>
      </c>
      <c r="W63" s="110">
        <f t="shared" ca="1" si="17"/>
        <v>41610.525492883447</v>
      </c>
      <c r="X63" s="107">
        <f t="shared" ca="1" si="3"/>
        <v>1865106.476597196</v>
      </c>
    </row>
    <row r="64" spans="1:24" ht="15" customHeight="1" x14ac:dyDescent="0.25">
      <c r="A64" s="75">
        <f>IF('Cash Flow Analysis'!C80="","",'Cash Flow Analysis'!C80)</f>
        <v>13</v>
      </c>
      <c r="B64" s="1088">
        <f ca="1">IF(A64="","",IF(A64&lt;1,0,IF(A64=1,$B$44-'Cash Flow Analysis'!I80,-'Cash Flow Analysis'!I80)))</f>
        <v>1900543.4996525426</v>
      </c>
      <c r="C64" s="108">
        <f t="shared" ref="C64:W64" ca="1" si="18">IF($B$64="","",IF(AND($B$42="Straight Line",C48&lt;=depr_length),$B$64/depr_length,IF(AND($B$42="MACRS",C48&lt;=depr_length+1),$B$64*INDEX(MACRS_Table,MATCH(C48,recovery_year,0),MATCH($B$43,recovery_period,0)),"")))</f>
        <v>71270.381236970352</v>
      </c>
      <c r="D64" s="109">
        <f t="shared" ca="1" si="18"/>
        <v>137200.23523991706</v>
      </c>
      <c r="E64" s="109">
        <f t="shared" ca="1" si="18"/>
        <v>126899.28947180026</v>
      </c>
      <c r="F64" s="109">
        <f t="shared" ca="1" si="18"/>
        <v>117396.57197353756</v>
      </c>
      <c r="G64" s="109">
        <f t="shared" ca="1" si="18"/>
        <v>108578.05013514977</v>
      </c>
      <c r="H64" s="109">
        <f t="shared" ca="1" si="18"/>
        <v>100443.72395663688</v>
      </c>
      <c r="I64" s="109">
        <f t="shared" ca="1" si="18"/>
        <v>92898.566263016284</v>
      </c>
      <c r="J64" s="109">
        <f t="shared" ca="1" si="18"/>
        <v>85942.577054287991</v>
      </c>
      <c r="K64" s="109">
        <f t="shared" ca="1" si="18"/>
        <v>84802.250954496456</v>
      </c>
      <c r="L64" s="109">
        <f t="shared" ca="1" si="18"/>
        <v>84783.24551949992</v>
      </c>
      <c r="M64" s="109">
        <f t="shared" ca="1" si="18"/>
        <v>84802.250954496456</v>
      </c>
      <c r="N64" s="109">
        <f t="shared" ca="1" si="18"/>
        <v>84783.24551949992</v>
      </c>
      <c r="O64" s="109">
        <f t="shared" ca="1" si="18"/>
        <v>84802.250954496456</v>
      </c>
      <c r="P64" s="109">
        <f t="shared" ca="1" si="18"/>
        <v>84783.24551949992</v>
      </c>
      <c r="Q64" s="109">
        <f t="shared" ca="1" si="18"/>
        <v>84802.250954496456</v>
      </c>
      <c r="R64" s="109">
        <f t="shared" ca="1" si="18"/>
        <v>84783.24551949992</v>
      </c>
      <c r="S64" s="109">
        <f t="shared" ca="1" si="18"/>
        <v>84802.250954496456</v>
      </c>
      <c r="T64" s="109">
        <f t="shared" ca="1" si="18"/>
        <v>84783.24551949992</v>
      </c>
      <c r="U64" s="109">
        <f t="shared" ca="1" si="18"/>
        <v>84802.250954496456</v>
      </c>
      <c r="V64" s="109">
        <f t="shared" ca="1" si="18"/>
        <v>84783.24551949992</v>
      </c>
      <c r="W64" s="110">
        <f t="shared" ca="1" si="18"/>
        <v>42401.125477248228</v>
      </c>
      <c r="X64" s="107">
        <f t="shared" ca="1" si="3"/>
        <v>1900543.4996525431</v>
      </c>
    </row>
    <row r="65" spans="1:24" ht="15" customHeight="1" x14ac:dyDescent="0.25">
      <c r="A65" s="75">
        <f>IF('Cash Flow Analysis'!C81="","",'Cash Flow Analysis'!C81)</f>
        <v>14</v>
      </c>
      <c r="B65" s="1088">
        <f ca="1">IF(A65="","",IF(A65&lt;1,0,IF(A65=1,$B$44-'Cash Flow Analysis'!I81,-'Cash Flow Analysis'!I81)))</f>
        <v>1936653.8261459407</v>
      </c>
      <c r="C65" s="108">
        <f t="shared" ref="C65:W65" ca="1" si="19">IF($B$65="","",IF(AND($B$42="Straight Line",C48&lt;=depr_length),$B$65/depr_length,IF(AND($B$42="MACRS",C48&lt;=depr_length+1),$B$65*INDEX(MACRS_Table,MATCH(C48,recovery_year,0),MATCH($B$43,recovery_period,0)),"")))</f>
        <v>72624.518480472776</v>
      </c>
      <c r="D65" s="109">
        <f t="shared" ca="1" si="19"/>
        <v>139807.03970947547</v>
      </c>
      <c r="E65" s="109">
        <f t="shared" ca="1" si="19"/>
        <v>129310.37597176446</v>
      </c>
      <c r="F65" s="109">
        <f t="shared" ca="1" si="19"/>
        <v>119627.10684103475</v>
      </c>
      <c r="G65" s="109">
        <f t="shared" ca="1" si="19"/>
        <v>110641.03308771759</v>
      </c>
      <c r="H65" s="109">
        <f t="shared" ca="1" si="19"/>
        <v>102352.15471181297</v>
      </c>
      <c r="I65" s="109">
        <f t="shared" ca="1" si="19"/>
        <v>94663.63902201358</v>
      </c>
      <c r="J65" s="109">
        <f t="shared" ca="1" si="19"/>
        <v>87575.48601831944</v>
      </c>
      <c r="K65" s="109">
        <f t="shared" ca="1" si="19"/>
        <v>86413.493722631873</v>
      </c>
      <c r="L65" s="109">
        <f t="shared" ca="1" si="19"/>
        <v>86394.127184370402</v>
      </c>
      <c r="M65" s="109">
        <f t="shared" ca="1" si="19"/>
        <v>86413.493722631873</v>
      </c>
      <c r="N65" s="109">
        <f t="shared" ca="1" si="19"/>
        <v>86394.127184370402</v>
      </c>
      <c r="O65" s="109">
        <f t="shared" ca="1" si="19"/>
        <v>86413.493722631873</v>
      </c>
      <c r="P65" s="109">
        <f t="shared" ca="1" si="19"/>
        <v>86394.127184370402</v>
      </c>
      <c r="Q65" s="109">
        <f t="shared" ca="1" si="19"/>
        <v>86413.493722631873</v>
      </c>
      <c r="R65" s="109">
        <f t="shared" ca="1" si="19"/>
        <v>86394.127184370402</v>
      </c>
      <c r="S65" s="109">
        <f t="shared" ca="1" si="19"/>
        <v>86413.493722631873</v>
      </c>
      <c r="T65" s="109">
        <f t="shared" ca="1" si="19"/>
        <v>86394.127184370402</v>
      </c>
      <c r="U65" s="109">
        <f t="shared" ca="1" si="19"/>
        <v>86413.493722631873</v>
      </c>
      <c r="V65" s="109">
        <f t="shared" ca="1" si="19"/>
        <v>86394.127184370402</v>
      </c>
      <c r="W65" s="110">
        <f t="shared" ca="1" si="19"/>
        <v>43206.746861315936</v>
      </c>
      <c r="X65" s="107">
        <f t="shared" ca="1" si="3"/>
        <v>1936653.82614594</v>
      </c>
    </row>
    <row r="66" spans="1:24" ht="15" customHeight="1" x14ac:dyDescent="0.25">
      <c r="A66" s="75">
        <f>IF('Cash Flow Analysis'!C82="","",'Cash Flow Analysis'!C82)</f>
        <v>15</v>
      </c>
      <c r="B66" s="1088">
        <f ca="1">IF(A66="","",IF(A66&lt;1,0,IF(A66=1,$B$44-'Cash Flow Analysis'!I82,-'Cash Flow Analysis'!I82)))</f>
        <v>1973450.2488427139</v>
      </c>
      <c r="C66" s="108">
        <f t="shared" ref="C66:W66" ca="1" si="20">IF($B$66="","",IF(AND($B$42="Straight Line",C48&lt;=depr_length),$B$66/depr_length,IF(AND($B$42="MACRS",C48&lt;=depr_length+1),$B$66*INDEX(MACRS_Table,MATCH(C48,recovery_year,0),MATCH($B$43,recovery_period,0)),"")))</f>
        <v>74004.384331601774</v>
      </c>
      <c r="D66" s="109">
        <f t="shared" ca="1" si="20"/>
        <v>142463.37346395553</v>
      </c>
      <c r="E66" s="109">
        <f t="shared" ca="1" si="20"/>
        <v>131767.27311522799</v>
      </c>
      <c r="F66" s="109">
        <f t="shared" ca="1" si="20"/>
        <v>121900.02187101444</v>
      </c>
      <c r="G66" s="109">
        <f t="shared" ca="1" si="20"/>
        <v>112743.21271638424</v>
      </c>
      <c r="H66" s="109">
        <f t="shared" ca="1" si="20"/>
        <v>104296.84565133743</v>
      </c>
      <c r="I66" s="109">
        <f t="shared" ca="1" si="20"/>
        <v>96462.248163431854</v>
      </c>
      <c r="J66" s="109">
        <f t="shared" ca="1" si="20"/>
        <v>89239.420252667522</v>
      </c>
      <c r="K66" s="109">
        <f t="shared" ca="1" si="20"/>
        <v>88055.350103361896</v>
      </c>
      <c r="L66" s="109">
        <f t="shared" ca="1" si="20"/>
        <v>88035.615600873454</v>
      </c>
      <c r="M66" s="109">
        <f t="shared" ca="1" si="20"/>
        <v>88055.350103361896</v>
      </c>
      <c r="N66" s="109">
        <f t="shared" ca="1" si="20"/>
        <v>88035.615600873454</v>
      </c>
      <c r="O66" s="109">
        <f t="shared" ca="1" si="20"/>
        <v>88055.350103361896</v>
      </c>
      <c r="P66" s="109">
        <f t="shared" ca="1" si="20"/>
        <v>88035.615600873454</v>
      </c>
      <c r="Q66" s="109">
        <f t="shared" ca="1" si="20"/>
        <v>88055.350103361896</v>
      </c>
      <c r="R66" s="109">
        <f t="shared" ca="1" si="20"/>
        <v>88035.615600873454</v>
      </c>
      <c r="S66" s="109">
        <f t="shared" ca="1" si="20"/>
        <v>88055.350103361896</v>
      </c>
      <c r="T66" s="109">
        <f t="shared" ca="1" si="20"/>
        <v>88035.615600873454</v>
      </c>
      <c r="U66" s="109">
        <f t="shared" ca="1" si="20"/>
        <v>88055.350103361896</v>
      </c>
      <c r="V66" s="109">
        <f t="shared" ca="1" si="20"/>
        <v>88035.615600873454</v>
      </c>
      <c r="W66" s="110">
        <f t="shared" ca="1" si="20"/>
        <v>44027.675051680948</v>
      </c>
      <c r="X66" s="107">
        <f t="shared" ca="1" si="3"/>
        <v>1973450.2488427146</v>
      </c>
    </row>
    <row r="67" spans="1:24" ht="15" customHeight="1" x14ac:dyDescent="0.25">
      <c r="A67" s="75">
        <f>IF('Cash Flow Analysis'!C83="","",'Cash Flow Analysis'!C83)</f>
        <v>16</v>
      </c>
      <c r="B67" s="1088">
        <f ca="1">IF(A67="","",IF(A67&lt;1,0,IF(A67=1,$B$44-'Cash Flow Analysis'!I83,-'Cash Flow Analysis'!I83)))</f>
        <v>2010945.8035707253</v>
      </c>
      <c r="C67" s="108">
        <f t="shared" ref="C67:W67" ca="1" si="21">IF($B$67="","",IF(AND($B$42="Straight Line",C48&lt;=depr_length),$B$67/depr_length,IF(AND($B$42="MACRS",C48&lt;=depr_length+1),$B$67*INDEX(MACRS_Table,MATCH(C48,recovery_year,0),MATCH($B$43,recovery_period,0)),"")))</f>
        <v>75410.467633902197</v>
      </c>
      <c r="D67" s="109">
        <f t="shared" ca="1" si="21"/>
        <v>145170.17755977067</v>
      </c>
      <c r="E67" s="109">
        <f t="shared" ca="1" si="21"/>
        <v>134270.85130441733</v>
      </c>
      <c r="F67" s="109">
        <f t="shared" ca="1" si="21"/>
        <v>124216.1222865637</v>
      </c>
      <c r="G67" s="109">
        <f t="shared" ca="1" si="21"/>
        <v>114885.33375799554</v>
      </c>
      <c r="H67" s="109">
        <f t="shared" ca="1" si="21"/>
        <v>106278.48571871284</v>
      </c>
      <c r="I67" s="109">
        <f t="shared" ca="1" si="21"/>
        <v>98295.030878537043</v>
      </c>
      <c r="J67" s="109">
        <f t="shared" ca="1" si="21"/>
        <v>90934.969237468205</v>
      </c>
      <c r="K67" s="109">
        <f t="shared" ca="1" si="21"/>
        <v>89728.401755325758</v>
      </c>
      <c r="L67" s="109">
        <f t="shared" ca="1" si="21"/>
        <v>89708.292297290041</v>
      </c>
      <c r="M67" s="109">
        <f t="shared" ca="1" si="21"/>
        <v>89728.401755325758</v>
      </c>
      <c r="N67" s="109">
        <f t="shared" ca="1" si="21"/>
        <v>89708.292297290041</v>
      </c>
      <c r="O67" s="109">
        <f t="shared" ca="1" si="21"/>
        <v>89728.401755325758</v>
      </c>
      <c r="P67" s="109">
        <f t="shared" ca="1" si="21"/>
        <v>89708.292297290041</v>
      </c>
      <c r="Q67" s="109">
        <f t="shared" ca="1" si="21"/>
        <v>89728.401755325758</v>
      </c>
      <c r="R67" s="109">
        <f t="shared" ca="1" si="21"/>
        <v>89708.292297290041</v>
      </c>
      <c r="S67" s="109">
        <f t="shared" ca="1" si="21"/>
        <v>89728.401755325758</v>
      </c>
      <c r="T67" s="109">
        <f t="shared" ca="1" si="21"/>
        <v>89708.292297290041</v>
      </c>
      <c r="U67" s="109">
        <f t="shared" ca="1" si="21"/>
        <v>89728.401755325758</v>
      </c>
      <c r="V67" s="109">
        <f t="shared" ca="1" si="21"/>
        <v>89708.292297290041</v>
      </c>
      <c r="W67" s="110">
        <f t="shared" ca="1" si="21"/>
        <v>44864.200877662879</v>
      </c>
      <c r="X67" s="107">
        <f t="shared" ca="1" si="3"/>
        <v>2010945.8035707246</v>
      </c>
    </row>
    <row r="68" spans="1:24" ht="15" customHeight="1" x14ac:dyDescent="0.25">
      <c r="A68" s="75">
        <f>IF('Cash Flow Analysis'!C84="","",'Cash Flow Analysis'!C84)</f>
        <v>17</v>
      </c>
      <c r="B68" s="1088">
        <f ca="1">IF(A68="","",IF(A68&lt;1,0,IF(A68=1,$B$44-'Cash Flow Analysis'!I84,-'Cash Flow Analysis'!I84)))</f>
        <v>2049153.7738385689</v>
      </c>
      <c r="C68" s="108">
        <f t="shared" ref="C68:W68" ca="1" si="22">IF($B$68="","",IF(AND($B$42="Straight Line",C48&lt;=depr_length),$B$68/depr_length,IF(AND($B$42="MACRS",C48&lt;=depr_length+1),$B$68*INDEX(MACRS_Table,MATCH(C48,recovery_year,0),MATCH($B$43,recovery_period,0)),"")))</f>
        <v>76843.26651894633</v>
      </c>
      <c r="D68" s="109">
        <f t="shared" ca="1" si="22"/>
        <v>147928.4109334063</v>
      </c>
      <c r="E68" s="109">
        <f t="shared" ca="1" si="22"/>
        <v>136821.99747920124</v>
      </c>
      <c r="F68" s="109">
        <f t="shared" ca="1" si="22"/>
        <v>126576.2286100084</v>
      </c>
      <c r="G68" s="109">
        <f t="shared" ca="1" si="22"/>
        <v>117068.15509939744</v>
      </c>
      <c r="H68" s="109">
        <f t="shared" ca="1" si="22"/>
        <v>108297.77694736837</v>
      </c>
      <c r="I68" s="109">
        <f t="shared" ca="1" si="22"/>
        <v>100162.63646522925</v>
      </c>
      <c r="J68" s="109">
        <f t="shared" ca="1" si="22"/>
        <v>92662.733652980096</v>
      </c>
      <c r="K68" s="109">
        <f t="shared" ca="1" si="22"/>
        <v>91433.24138867695</v>
      </c>
      <c r="L68" s="109">
        <f t="shared" ca="1" si="22"/>
        <v>91412.749850938548</v>
      </c>
      <c r="M68" s="109">
        <f t="shared" ca="1" si="22"/>
        <v>91433.24138867695</v>
      </c>
      <c r="N68" s="109">
        <f t="shared" ca="1" si="22"/>
        <v>91412.749850938548</v>
      </c>
      <c r="O68" s="109">
        <f t="shared" ca="1" si="22"/>
        <v>91433.24138867695</v>
      </c>
      <c r="P68" s="109">
        <f t="shared" ca="1" si="22"/>
        <v>91412.749850938548</v>
      </c>
      <c r="Q68" s="109">
        <f t="shared" ca="1" si="22"/>
        <v>91433.24138867695</v>
      </c>
      <c r="R68" s="109">
        <f t="shared" ca="1" si="22"/>
        <v>91412.749850938548</v>
      </c>
      <c r="S68" s="109">
        <f t="shared" ca="1" si="22"/>
        <v>91433.24138867695</v>
      </c>
      <c r="T68" s="109">
        <f t="shared" ca="1" si="22"/>
        <v>91412.749850938548</v>
      </c>
      <c r="U68" s="109">
        <f t="shared" ca="1" si="22"/>
        <v>91433.24138867695</v>
      </c>
      <c r="V68" s="109">
        <f t="shared" ca="1" si="22"/>
        <v>91412.749850938548</v>
      </c>
      <c r="W68" s="110">
        <f t="shared" ca="1" si="22"/>
        <v>45716.620694338475</v>
      </c>
      <c r="X68" s="107">
        <f t="shared" ca="1" si="3"/>
        <v>2049153.7738385687</v>
      </c>
    </row>
    <row r="69" spans="1:24" ht="15" customHeight="1" x14ac:dyDescent="0.25">
      <c r="A69" s="75">
        <f>IF('Cash Flow Analysis'!C85="","",'Cash Flow Analysis'!C85)</f>
        <v>18</v>
      </c>
      <c r="B69" s="1088">
        <f ca="1">IF(A69="","",IF(A69&lt;1,0,IF(A69=1,$B$44-'Cash Flow Analysis'!I85,-'Cash Flow Analysis'!I85)))</f>
        <v>2088087.6955415017</v>
      </c>
      <c r="C69" s="108">
        <f t="shared" ref="C69:W69" ca="1" si="23">IF($B$69="","",IF(AND($B$42="Straight Line",C48&lt;=depr_length),$B$69/depr_length,IF(AND($B$42="MACRS",C48&lt;=depr_length+1),$B$69*INDEX(MACRS_Table,MATCH(C48,recovery_year,0),MATCH($B$43,recovery_period,0)),"")))</f>
        <v>78303.288582806315</v>
      </c>
      <c r="D69" s="109">
        <f t="shared" ca="1" si="23"/>
        <v>150739.05074114102</v>
      </c>
      <c r="E69" s="109">
        <f t="shared" ca="1" si="23"/>
        <v>139421.61543130607</v>
      </c>
      <c r="F69" s="109">
        <f t="shared" ca="1" si="23"/>
        <v>128981.17695359857</v>
      </c>
      <c r="G69" s="109">
        <f t="shared" ca="1" si="23"/>
        <v>119292.450046286</v>
      </c>
      <c r="H69" s="109">
        <f t="shared" ca="1" si="23"/>
        <v>110355.43470936838</v>
      </c>
      <c r="I69" s="109">
        <f t="shared" ca="1" si="23"/>
        <v>102065.72655806861</v>
      </c>
      <c r="J69" s="109">
        <f t="shared" ca="1" si="23"/>
        <v>94423.325592386711</v>
      </c>
      <c r="K69" s="109">
        <f t="shared" ca="1" si="23"/>
        <v>93170.472975061813</v>
      </c>
      <c r="L69" s="109">
        <f t="shared" ca="1" si="23"/>
        <v>93149.592098106383</v>
      </c>
      <c r="M69" s="109">
        <f t="shared" ca="1" si="23"/>
        <v>93170.472975061813</v>
      </c>
      <c r="N69" s="109">
        <f t="shared" ca="1" si="23"/>
        <v>93149.592098106383</v>
      </c>
      <c r="O69" s="109">
        <f t="shared" ca="1" si="23"/>
        <v>93170.472975061813</v>
      </c>
      <c r="P69" s="109">
        <f t="shared" ca="1" si="23"/>
        <v>93149.592098106383</v>
      </c>
      <c r="Q69" s="109">
        <f t="shared" ca="1" si="23"/>
        <v>93170.472975061813</v>
      </c>
      <c r="R69" s="109">
        <f t="shared" ca="1" si="23"/>
        <v>93149.592098106383</v>
      </c>
      <c r="S69" s="109">
        <f t="shared" ca="1" si="23"/>
        <v>93170.472975061813</v>
      </c>
      <c r="T69" s="109">
        <f t="shared" ca="1" si="23"/>
        <v>93149.592098106383</v>
      </c>
      <c r="U69" s="109">
        <f t="shared" ca="1" si="23"/>
        <v>93170.472975061813</v>
      </c>
      <c r="V69" s="109">
        <f t="shared" ca="1" si="23"/>
        <v>93149.592098106383</v>
      </c>
      <c r="W69" s="110">
        <f t="shared" ca="1" si="23"/>
        <v>46585.236487530907</v>
      </c>
      <c r="X69" s="107">
        <f t="shared" ca="1" si="3"/>
        <v>2088087.6955415015</v>
      </c>
    </row>
    <row r="70" spans="1:24" ht="15" customHeight="1" x14ac:dyDescent="0.25">
      <c r="A70" s="75">
        <f>IF('Cash Flow Analysis'!C86="","",'Cash Flow Analysis'!C86)</f>
        <v>19</v>
      </c>
      <c r="B70" s="1088">
        <f ca="1">IF(A70="","",IF(A70&lt;1,0,IF(A70=1,$B$44-'Cash Flow Analysis'!I86,-'Cash Flow Analysis'!I86)))</f>
        <v>2127761.36175679</v>
      </c>
      <c r="C70" s="108">
        <f t="shared" ref="C70:W70" ca="1" si="24">IF($B$70="","",IF(AND($B$42="Straight Line",C48&lt;=depr_length),$B$70/depr_length,IF(AND($B$42="MACRS",C48&lt;=depr_length+1),$B$70*INDEX(MACRS_Table,MATCH(C48,recovery_year,0),MATCH($B$43,recovery_period,0)),"")))</f>
        <v>79791.051065879627</v>
      </c>
      <c r="D70" s="109">
        <f t="shared" ca="1" si="24"/>
        <v>153603.09270522269</v>
      </c>
      <c r="E70" s="109">
        <f t="shared" ca="1" si="24"/>
        <v>142070.62612450085</v>
      </c>
      <c r="F70" s="109">
        <f t="shared" ca="1" si="24"/>
        <v>131431.81931571692</v>
      </c>
      <c r="G70" s="109">
        <f t="shared" ca="1" si="24"/>
        <v>121559.00659716541</v>
      </c>
      <c r="H70" s="109">
        <f t="shared" ca="1" si="24"/>
        <v>112452.18796884635</v>
      </c>
      <c r="I70" s="109">
        <f t="shared" ca="1" si="24"/>
        <v>104004.97536267189</v>
      </c>
      <c r="J70" s="109">
        <f t="shared" ca="1" si="24"/>
        <v>96217.368778642049</v>
      </c>
      <c r="K70" s="109">
        <f t="shared" ca="1" si="24"/>
        <v>94940.711961587964</v>
      </c>
      <c r="L70" s="109">
        <f t="shared" ca="1" si="24"/>
        <v>94919.434347970397</v>
      </c>
      <c r="M70" s="109">
        <f t="shared" ca="1" si="24"/>
        <v>94940.711961587964</v>
      </c>
      <c r="N70" s="109">
        <f t="shared" ca="1" si="24"/>
        <v>94919.434347970397</v>
      </c>
      <c r="O70" s="109">
        <f t="shared" ca="1" si="24"/>
        <v>94940.711961587964</v>
      </c>
      <c r="P70" s="109">
        <f t="shared" ca="1" si="24"/>
        <v>94919.434347970397</v>
      </c>
      <c r="Q70" s="109">
        <f t="shared" ca="1" si="24"/>
        <v>94940.711961587964</v>
      </c>
      <c r="R70" s="109">
        <f t="shared" ca="1" si="24"/>
        <v>94919.434347970397</v>
      </c>
      <c r="S70" s="109">
        <f t="shared" ca="1" si="24"/>
        <v>94940.711961587964</v>
      </c>
      <c r="T70" s="109">
        <f t="shared" ca="1" si="24"/>
        <v>94919.434347970397</v>
      </c>
      <c r="U70" s="109">
        <f t="shared" ca="1" si="24"/>
        <v>94940.711961587964</v>
      </c>
      <c r="V70" s="109">
        <f t="shared" ca="1" si="24"/>
        <v>94919.434347970397</v>
      </c>
      <c r="W70" s="110">
        <f t="shared" ca="1" si="24"/>
        <v>47470.355980793982</v>
      </c>
      <c r="X70" s="107">
        <f t="shared" ca="1" si="3"/>
        <v>2127761.36175679</v>
      </c>
    </row>
    <row r="71" spans="1:24" ht="15" customHeight="1" x14ac:dyDescent="0.25">
      <c r="A71" s="75">
        <f>IF('Cash Flow Analysis'!C87="","",'Cash Flow Analysis'!C87)</f>
        <v>20</v>
      </c>
      <c r="B71" s="1088">
        <f ca="1">IF(A71="","",IF(A71&lt;1,0,IF(A71=1,$B$44-'Cash Flow Analysis'!I87,-'Cash Flow Analysis'!I87)))</f>
        <v>2168188.8276301692</v>
      </c>
      <c r="C71" s="108">
        <f t="shared" ref="C71:W71" ca="1" si="25">IF($B$71="","",IF(AND($B$42="Straight Line",C48&lt;=depr_length),$B$71/depr_length,IF(AND($B$42="MACRS",C48&lt;=depr_length+1),$B$71*INDEX(MACRS_Table,MATCH(C48,recovery_year,0),MATCH($B$43,recovery_period,0)),"")))</f>
        <v>81307.081036131349</v>
      </c>
      <c r="D71" s="109">
        <f t="shared" ca="1" si="25"/>
        <v>156521.55146662192</v>
      </c>
      <c r="E71" s="109">
        <f t="shared" ca="1" si="25"/>
        <v>144769.96802086639</v>
      </c>
      <c r="F71" s="109">
        <f t="shared" ca="1" si="25"/>
        <v>133929.02388271556</v>
      </c>
      <c r="G71" s="109">
        <f t="shared" ca="1" si="25"/>
        <v>123868.62772251156</v>
      </c>
      <c r="H71" s="109">
        <f t="shared" ca="1" si="25"/>
        <v>114588.77954025444</v>
      </c>
      <c r="I71" s="109">
        <f t="shared" ca="1" si="25"/>
        <v>105981.06989456266</v>
      </c>
      <c r="J71" s="109">
        <f t="shared" ca="1" si="25"/>
        <v>98045.498785436255</v>
      </c>
      <c r="K71" s="109">
        <f t="shared" ca="1" si="25"/>
        <v>96744.585488858153</v>
      </c>
      <c r="L71" s="109">
        <f t="shared" ca="1" si="25"/>
        <v>96722.903600581849</v>
      </c>
      <c r="M71" s="109">
        <f t="shared" ca="1" si="25"/>
        <v>96744.585488858153</v>
      </c>
      <c r="N71" s="109">
        <f t="shared" ca="1" si="25"/>
        <v>96722.903600581849</v>
      </c>
      <c r="O71" s="109">
        <f t="shared" ca="1" si="25"/>
        <v>96744.585488858153</v>
      </c>
      <c r="P71" s="109">
        <f t="shared" ca="1" si="25"/>
        <v>96722.903600581849</v>
      </c>
      <c r="Q71" s="109">
        <f t="shared" ca="1" si="25"/>
        <v>96744.585488858153</v>
      </c>
      <c r="R71" s="109">
        <f t="shared" ca="1" si="25"/>
        <v>96722.903600581849</v>
      </c>
      <c r="S71" s="109">
        <f t="shared" ca="1" si="25"/>
        <v>96744.585488858153</v>
      </c>
      <c r="T71" s="109">
        <f t="shared" ca="1" si="25"/>
        <v>96722.903600581849</v>
      </c>
      <c r="U71" s="109">
        <f t="shared" ca="1" si="25"/>
        <v>96744.585488858153</v>
      </c>
      <c r="V71" s="109">
        <f t="shared" ca="1" si="25"/>
        <v>96722.903600581849</v>
      </c>
      <c r="W71" s="110">
        <f t="shared" ca="1" si="25"/>
        <v>48372.292744429076</v>
      </c>
      <c r="X71" s="107">
        <f t="shared" ca="1" si="3"/>
        <v>2168188.8276301692</v>
      </c>
    </row>
    <row r="72" spans="1:24" ht="15" customHeight="1" x14ac:dyDescent="0.25">
      <c r="A72" s="75">
        <f>IF('Cash Flow Analysis'!C88="","",'Cash Flow Analysis'!C88)</f>
        <v>21</v>
      </c>
      <c r="B72" s="1088">
        <f ca="1">IF(A72="","",IF(A72&lt;1,0,IF(A72=1,$B$44-'Cash Flow Analysis'!I88,-'Cash Flow Analysis'!I88)))</f>
        <v>2209384.4153551422</v>
      </c>
      <c r="C72" s="108">
        <f t="shared" ref="C72:W72" ca="1" si="26">IF($B$72="","",IF(AND($B$42="Straight Line",C48&lt;=depr_length),$B$72/depr_length,IF(AND($B$42="MACRS",C48&lt;=depr_length+1),$B$72*INDEX(MACRS_Table,MATCH(C48,recovery_year,0),MATCH($B$43,recovery_period,0)),"")))</f>
        <v>82851.915575817824</v>
      </c>
      <c r="D72" s="109">
        <f t="shared" ca="1" si="26"/>
        <v>159495.46094448771</v>
      </c>
      <c r="E72" s="109">
        <f t="shared" ca="1" si="26"/>
        <v>147520.59741326285</v>
      </c>
      <c r="F72" s="109">
        <f t="shared" ca="1" si="26"/>
        <v>136473.67533648713</v>
      </c>
      <c r="G72" s="109">
        <f t="shared" ca="1" si="26"/>
        <v>126222.13164923928</v>
      </c>
      <c r="H72" s="109">
        <f t="shared" ca="1" si="26"/>
        <v>116765.96635151927</v>
      </c>
      <c r="I72" s="109">
        <f t="shared" ca="1" si="26"/>
        <v>107994.71022255936</v>
      </c>
      <c r="J72" s="109">
        <f t="shared" ca="1" si="26"/>
        <v>99908.363262359533</v>
      </c>
      <c r="K72" s="109">
        <f t="shared" ca="1" si="26"/>
        <v>98582.732613146451</v>
      </c>
      <c r="L72" s="109">
        <f t="shared" ca="1" si="26"/>
        <v>98560.638768992882</v>
      </c>
      <c r="M72" s="109">
        <f t="shared" ca="1" si="26"/>
        <v>98582.732613146451</v>
      </c>
      <c r="N72" s="109">
        <f t="shared" ca="1" si="26"/>
        <v>98560.638768992882</v>
      </c>
      <c r="O72" s="109">
        <f t="shared" ca="1" si="26"/>
        <v>98582.732613146451</v>
      </c>
      <c r="P72" s="109">
        <f t="shared" ca="1" si="26"/>
        <v>98560.638768992882</v>
      </c>
      <c r="Q72" s="109">
        <f t="shared" ca="1" si="26"/>
        <v>98582.732613146451</v>
      </c>
      <c r="R72" s="109">
        <f t="shared" ca="1" si="26"/>
        <v>98560.638768992882</v>
      </c>
      <c r="S72" s="109">
        <f t="shared" ca="1" si="26"/>
        <v>98582.732613146451</v>
      </c>
      <c r="T72" s="109">
        <f t="shared" ca="1" si="26"/>
        <v>98560.638768992882</v>
      </c>
      <c r="U72" s="109">
        <f t="shared" ca="1" si="26"/>
        <v>98582.732613146451</v>
      </c>
      <c r="V72" s="109">
        <f t="shared" ca="1" si="26"/>
        <v>98560.638768992882</v>
      </c>
      <c r="W72" s="110">
        <f t="shared" ca="1" si="26"/>
        <v>49291.366306573225</v>
      </c>
      <c r="X72" s="107">
        <f t="shared" ca="1" si="3"/>
        <v>2209384.4153551427</v>
      </c>
    </row>
    <row r="73" spans="1:24" ht="15" customHeight="1" x14ac:dyDescent="0.25">
      <c r="A73" s="75">
        <f>IF('Cash Flow Analysis'!C89="","",'Cash Flow Analysis'!C89)</f>
        <v>22</v>
      </c>
      <c r="B73" s="1088">
        <f ca="1">IF(A73="","",IF(A73&lt;1,0,IF(A73=1,$B$44-'Cash Flow Analysis'!I89,-'Cash Flow Analysis'!I89)))</f>
        <v>2251362.7192468895</v>
      </c>
      <c r="C73" s="108">
        <f t="shared" ref="C73:W73" ca="1" si="27">IF($B$73="","",IF(AND($B$42="Straight Line",C48&lt;=depr_length),$B$73/depr_length,IF(AND($B$42="MACRS",C48&lt;=depr_length+1),$B$73*INDEX(MACRS_Table,MATCH(C48,recovery_year,0),MATCH($B$43,recovery_period,0)),"")))</f>
        <v>84426.101971758355</v>
      </c>
      <c r="D73" s="109">
        <f t="shared" ca="1" si="27"/>
        <v>162525.87470243295</v>
      </c>
      <c r="E73" s="109">
        <f t="shared" ca="1" si="27"/>
        <v>150323.48876411479</v>
      </c>
      <c r="F73" s="109">
        <f t="shared" ca="1" si="27"/>
        <v>139066.67516788037</v>
      </c>
      <c r="G73" s="109">
        <f t="shared" ca="1" si="27"/>
        <v>128620.35215057479</v>
      </c>
      <c r="H73" s="109">
        <f t="shared" ca="1" si="27"/>
        <v>118984.5197121981</v>
      </c>
      <c r="I73" s="109">
        <f t="shared" ca="1" si="27"/>
        <v>110046.60971678796</v>
      </c>
      <c r="J73" s="109">
        <f t="shared" ca="1" si="27"/>
        <v>101806.62216434434</v>
      </c>
      <c r="K73" s="109">
        <f t="shared" ca="1" si="27"/>
        <v>100455.8045327962</v>
      </c>
      <c r="L73" s="109">
        <f t="shared" ca="1" si="27"/>
        <v>100433.29090560373</v>
      </c>
      <c r="M73" s="109">
        <f t="shared" ca="1" si="27"/>
        <v>100455.8045327962</v>
      </c>
      <c r="N73" s="109">
        <f t="shared" ca="1" si="27"/>
        <v>100433.29090560373</v>
      </c>
      <c r="O73" s="109">
        <f t="shared" ca="1" si="27"/>
        <v>100455.8045327962</v>
      </c>
      <c r="P73" s="109">
        <f t="shared" ca="1" si="27"/>
        <v>100433.29090560373</v>
      </c>
      <c r="Q73" s="109">
        <f t="shared" ca="1" si="27"/>
        <v>100455.8045327962</v>
      </c>
      <c r="R73" s="109">
        <f t="shared" ca="1" si="27"/>
        <v>100433.29090560373</v>
      </c>
      <c r="S73" s="109">
        <f t="shared" ca="1" si="27"/>
        <v>100455.8045327962</v>
      </c>
      <c r="T73" s="109">
        <f t="shared" ca="1" si="27"/>
        <v>100433.29090560373</v>
      </c>
      <c r="U73" s="109">
        <f t="shared" ca="1" si="27"/>
        <v>100455.8045327962</v>
      </c>
      <c r="V73" s="109">
        <f t="shared" ca="1" si="27"/>
        <v>100433.29090560373</v>
      </c>
      <c r="W73" s="110">
        <f t="shared" ca="1" si="27"/>
        <v>50227.902266398101</v>
      </c>
      <c r="X73" s="107">
        <f t="shared" ca="1" si="3"/>
        <v>2251362.7192468885</v>
      </c>
    </row>
    <row r="74" spans="1:24" ht="15" customHeight="1" x14ac:dyDescent="0.25">
      <c r="A74" s="75">
        <f>IF('Cash Flow Analysis'!C90="","",'Cash Flow Analysis'!C90)</f>
        <v>23</v>
      </c>
      <c r="B74" s="1088">
        <f ca="1">IF(A74="","",IF(A74&lt;1,0,IF(A74=1,$B$44-'Cash Flow Analysis'!I90,-'Cash Flow Analysis'!I90)))</f>
        <v>2294138.610912581</v>
      </c>
      <c r="C74" s="108">
        <f t="shared" ref="C74:W74" ca="1" si="28">IF($B$74="","",IF(AND($B$42="Straight Line",C48&lt;=depr_length),$B$74/depr_length,IF(AND($B$42="MACRS",C48&lt;=depr_length+1),$B$74*INDEX(MACRS_Table,MATCH(C48,recovery_year,0),MATCH($B$43,recovery_period,0)),"")))</f>
        <v>86030.197909221781</v>
      </c>
      <c r="D74" s="109">
        <f t="shared" ca="1" si="28"/>
        <v>165613.86632177923</v>
      </c>
      <c r="E74" s="109">
        <f t="shared" ca="1" si="28"/>
        <v>153179.63505063302</v>
      </c>
      <c r="F74" s="109">
        <f t="shared" ca="1" si="28"/>
        <v>141708.94199607012</v>
      </c>
      <c r="G74" s="109">
        <f t="shared" ca="1" si="28"/>
        <v>131064.13884143575</v>
      </c>
      <c r="H74" s="109">
        <f t="shared" ca="1" si="28"/>
        <v>121245.22558672991</v>
      </c>
      <c r="I74" s="109">
        <f t="shared" ca="1" si="28"/>
        <v>112137.49530140696</v>
      </c>
      <c r="J74" s="109">
        <f t="shared" ca="1" si="28"/>
        <v>103740.94798546692</v>
      </c>
      <c r="K74" s="109">
        <f t="shared" ca="1" si="28"/>
        <v>102364.46481891937</v>
      </c>
      <c r="L74" s="109">
        <f t="shared" ca="1" si="28"/>
        <v>102341.52343281022</v>
      </c>
      <c r="M74" s="109">
        <f t="shared" ca="1" si="28"/>
        <v>102364.46481891937</v>
      </c>
      <c r="N74" s="109">
        <f t="shared" ca="1" si="28"/>
        <v>102341.52343281022</v>
      </c>
      <c r="O74" s="109">
        <f t="shared" ca="1" si="28"/>
        <v>102364.46481891937</v>
      </c>
      <c r="P74" s="109">
        <f t="shared" ca="1" si="28"/>
        <v>102341.52343281022</v>
      </c>
      <c r="Q74" s="109">
        <f t="shared" ca="1" si="28"/>
        <v>102364.46481891937</v>
      </c>
      <c r="R74" s="109">
        <f t="shared" ca="1" si="28"/>
        <v>102341.52343281022</v>
      </c>
      <c r="S74" s="109">
        <f t="shared" ca="1" si="28"/>
        <v>102364.46481891937</v>
      </c>
      <c r="T74" s="109">
        <f t="shared" ca="1" si="28"/>
        <v>102341.52343281022</v>
      </c>
      <c r="U74" s="109">
        <f t="shared" ca="1" si="28"/>
        <v>102364.46481891937</v>
      </c>
      <c r="V74" s="109">
        <f t="shared" ca="1" si="28"/>
        <v>102341.52343281022</v>
      </c>
      <c r="W74" s="110">
        <f t="shared" ca="1" si="28"/>
        <v>51182.232409459684</v>
      </c>
      <c r="X74" s="107">
        <f t="shared" ca="1" si="3"/>
        <v>2294138.6109125814</v>
      </c>
    </row>
    <row r="75" spans="1:24" ht="15" customHeight="1" x14ac:dyDescent="0.25">
      <c r="A75" s="75">
        <f>IF('Cash Flow Analysis'!C91="","",'Cash Flow Analysis'!C91)</f>
        <v>24</v>
      </c>
      <c r="B75" s="1088">
        <f ca="1">IF(A75="","",IF(A75&lt;1,0,IF(A75=1,$B$44-'Cash Flow Analysis'!I91,-'Cash Flow Analysis'!I91)))</f>
        <v>2337727.2445199196</v>
      </c>
      <c r="C75" s="108">
        <f t="shared" ref="C75:W75" ca="1" si="29">IF($B$75="","",IF(AND($B$42="Straight Line",C48&lt;=depr_length),$B$75/depr_length,IF(AND($B$42="MACRS",C48&lt;=depr_length+1),$B$75*INDEX(MACRS_Table,MATCH(C48,recovery_year,0),MATCH($B$43,recovery_period,0)),"")))</f>
        <v>87664.771669496986</v>
      </c>
      <c r="D75" s="109">
        <f t="shared" ca="1" si="29"/>
        <v>168760.52978189301</v>
      </c>
      <c r="E75" s="109">
        <f t="shared" ca="1" si="29"/>
        <v>156090.04811659502</v>
      </c>
      <c r="F75" s="109">
        <f t="shared" ca="1" si="29"/>
        <v>144401.41189399542</v>
      </c>
      <c r="G75" s="109">
        <f t="shared" ca="1" si="29"/>
        <v>133554.35747942302</v>
      </c>
      <c r="H75" s="109">
        <f t="shared" ca="1" si="29"/>
        <v>123548.88487287775</v>
      </c>
      <c r="I75" s="109">
        <f t="shared" ca="1" si="29"/>
        <v>114268.10771213367</v>
      </c>
      <c r="J75" s="109">
        <f t="shared" ca="1" si="29"/>
        <v>105712.02599719078</v>
      </c>
      <c r="K75" s="109">
        <f t="shared" ca="1" si="29"/>
        <v>104309.38965047881</v>
      </c>
      <c r="L75" s="109">
        <f t="shared" ca="1" si="29"/>
        <v>104286.0123780336</v>
      </c>
      <c r="M75" s="109">
        <f t="shared" ca="1" si="29"/>
        <v>104309.38965047881</v>
      </c>
      <c r="N75" s="109">
        <f t="shared" ca="1" si="29"/>
        <v>104286.0123780336</v>
      </c>
      <c r="O75" s="109">
        <f t="shared" ca="1" si="29"/>
        <v>104309.38965047881</v>
      </c>
      <c r="P75" s="109">
        <f t="shared" ca="1" si="29"/>
        <v>104286.0123780336</v>
      </c>
      <c r="Q75" s="109">
        <f t="shared" ca="1" si="29"/>
        <v>104309.38965047881</v>
      </c>
      <c r="R75" s="109">
        <f t="shared" ca="1" si="29"/>
        <v>104286.0123780336</v>
      </c>
      <c r="S75" s="109">
        <f t="shared" ca="1" si="29"/>
        <v>104309.38965047881</v>
      </c>
      <c r="T75" s="109">
        <f t="shared" ca="1" si="29"/>
        <v>104286.0123780336</v>
      </c>
      <c r="U75" s="109">
        <f t="shared" ca="1" si="29"/>
        <v>104309.38965047881</v>
      </c>
      <c r="V75" s="109">
        <f t="shared" ca="1" si="29"/>
        <v>104286.0123780336</v>
      </c>
      <c r="W75" s="110">
        <f t="shared" ca="1" si="29"/>
        <v>52154.694825239407</v>
      </c>
      <c r="X75" s="107">
        <f t="shared" ca="1" si="3"/>
        <v>2337727.2445199192</v>
      </c>
    </row>
    <row r="76" spans="1:24" ht="15" customHeight="1" x14ac:dyDescent="0.25">
      <c r="A76" s="75">
        <f>IF('Cash Flow Analysis'!C92="","",'Cash Flow Analysis'!C92)</f>
        <v>25</v>
      </c>
      <c r="B76" s="1088">
        <f ca="1">IF(A76="","",IF(A76&lt;1,0,IF(A76=1,$B$44-'Cash Flow Analysis'!I92,-'Cash Flow Analysis'!I92)))</f>
        <v>2382144.0621657982</v>
      </c>
      <c r="C76" s="108">
        <f t="shared" ref="C76:W76" ca="1" si="30">IF($B$76="","",IF(AND($B$42="Straight Line",C48&lt;=depr_length),$B$76/depr_length,IF(AND($B$42="MACRS",C48&lt;=depr_length+1),$B$76*INDEX(MACRS_Table,MATCH(C48,recovery_year,0),MATCH($B$43,recovery_period,0)),"")))</f>
        <v>89330.402331217425</v>
      </c>
      <c r="D76" s="109">
        <f t="shared" ca="1" si="30"/>
        <v>171966.97984774897</v>
      </c>
      <c r="E76" s="109">
        <f t="shared" ca="1" si="30"/>
        <v>159055.75903081032</v>
      </c>
      <c r="F76" s="109">
        <f t="shared" ca="1" si="30"/>
        <v>147145.03871998136</v>
      </c>
      <c r="G76" s="109">
        <f t="shared" ca="1" si="30"/>
        <v>136091.89027153206</v>
      </c>
      <c r="H76" s="109">
        <f t="shared" ca="1" si="30"/>
        <v>125896.31368546243</v>
      </c>
      <c r="I76" s="109">
        <f t="shared" ca="1" si="30"/>
        <v>116439.20175866422</v>
      </c>
      <c r="J76" s="109">
        <f t="shared" ca="1" si="30"/>
        <v>107720.5544911374</v>
      </c>
      <c r="K76" s="109">
        <f t="shared" ca="1" si="30"/>
        <v>106291.26805383791</v>
      </c>
      <c r="L76" s="109">
        <f t="shared" ca="1" si="30"/>
        <v>106267.44661321625</v>
      </c>
      <c r="M76" s="109">
        <f t="shared" ca="1" si="30"/>
        <v>106291.26805383791</v>
      </c>
      <c r="N76" s="109">
        <f t="shared" ca="1" si="30"/>
        <v>106267.44661321625</v>
      </c>
      <c r="O76" s="109">
        <f t="shared" ca="1" si="30"/>
        <v>106291.26805383791</v>
      </c>
      <c r="P76" s="109">
        <f t="shared" ca="1" si="30"/>
        <v>106267.44661321625</v>
      </c>
      <c r="Q76" s="109">
        <f t="shared" ca="1" si="30"/>
        <v>106291.26805383791</v>
      </c>
      <c r="R76" s="109">
        <f t="shared" ca="1" si="30"/>
        <v>106267.44661321625</v>
      </c>
      <c r="S76" s="109">
        <f t="shared" ca="1" si="30"/>
        <v>106291.26805383791</v>
      </c>
      <c r="T76" s="109">
        <f t="shared" ca="1" si="30"/>
        <v>106267.44661321625</v>
      </c>
      <c r="U76" s="109">
        <f t="shared" ca="1" si="30"/>
        <v>106291.26805383791</v>
      </c>
      <c r="V76" s="109">
        <f t="shared" ca="1" si="30"/>
        <v>106267.44661321625</v>
      </c>
      <c r="W76" s="110">
        <f t="shared" ca="1" si="30"/>
        <v>53145.634026918953</v>
      </c>
      <c r="X76" s="107">
        <f t="shared" ca="1" si="3"/>
        <v>2382144.0621657982</v>
      </c>
    </row>
    <row r="77" spans="1:24" ht="15" customHeight="1" x14ac:dyDescent="0.25">
      <c r="A77" s="75">
        <f>IF('Cash Flow Analysis'!C93="","",'Cash Flow Analysis'!C93)</f>
        <v>26</v>
      </c>
      <c r="B77" s="1088">
        <f ca="1">IF(A77="","",IF(A77&lt;1,0,IF(A77=1,$B$44-'Cash Flow Analysis'!I93,-'Cash Flow Analysis'!I93)))</f>
        <v>2427404.799346948</v>
      </c>
      <c r="C77" s="108">
        <f t="shared" ref="C77:W77" ca="1" si="31">IF($B$77="","",IF(AND($B$42="Straight Line",C48&lt;=depr_length),$B$77/depr_length,IF(AND($B$42="MACRS",C48&lt;=depr_length+1),$B$77*INDEX(MACRS_Table,MATCH(C48,recovery_year,0),MATCH($B$43,recovery_period,0)),"")))</f>
        <v>91027.679975510546</v>
      </c>
      <c r="D77" s="109">
        <f t="shared" ca="1" si="31"/>
        <v>175234.3524648562</v>
      </c>
      <c r="E77" s="109">
        <f t="shared" ca="1" si="31"/>
        <v>162077.8184523957</v>
      </c>
      <c r="F77" s="109">
        <f t="shared" ca="1" si="31"/>
        <v>149940.79445566097</v>
      </c>
      <c r="G77" s="109">
        <f t="shared" ca="1" si="31"/>
        <v>138677.63618669115</v>
      </c>
      <c r="H77" s="109">
        <f t="shared" ca="1" si="31"/>
        <v>128288.34364548621</v>
      </c>
      <c r="I77" s="109">
        <f t="shared" ca="1" si="31"/>
        <v>118651.54659207883</v>
      </c>
      <c r="J77" s="109">
        <f t="shared" ca="1" si="31"/>
        <v>109767.245026469</v>
      </c>
      <c r="K77" s="109">
        <f t="shared" ca="1" si="31"/>
        <v>108310.80214686082</v>
      </c>
      <c r="L77" s="109">
        <f t="shared" ca="1" si="31"/>
        <v>108286.52809886735</v>
      </c>
      <c r="M77" s="109">
        <f t="shared" ca="1" si="31"/>
        <v>108310.80214686082</v>
      </c>
      <c r="N77" s="109">
        <f t="shared" ca="1" si="31"/>
        <v>108286.52809886735</v>
      </c>
      <c r="O77" s="109">
        <f t="shared" ca="1" si="31"/>
        <v>108310.80214686082</v>
      </c>
      <c r="P77" s="109">
        <f t="shared" ca="1" si="31"/>
        <v>108286.52809886735</v>
      </c>
      <c r="Q77" s="109">
        <f t="shared" ca="1" si="31"/>
        <v>108310.80214686082</v>
      </c>
      <c r="R77" s="109">
        <f t="shared" ca="1" si="31"/>
        <v>108286.52809886735</v>
      </c>
      <c r="S77" s="109">
        <f t="shared" ca="1" si="31"/>
        <v>108310.80214686082</v>
      </c>
      <c r="T77" s="109">
        <f t="shared" ca="1" si="31"/>
        <v>108286.52809886735</v>
      </c>
      <c r="U77" s="109">
        <f t="shared" ca="1" si="31"/>
        <v>108310.80214686082</v>
      </c>
      <c r="V77" s="109">
        <f t="shared" ca="1" si="31"/>
        <v>108286.52809886735</v>
      </c>
      <c r="W77" s="110">
        <f t="shared" ca="1" si="31"/>
        <v>54155.40107343041</v>
      </c>
      <c r="X77" s="107">
        <f t="shared" ca="1" si="3"/>
        <v>2427404.7993469476</v>
      </c>
    </row>
    <row r="78" spans="1:24" ht="15" customHeight="1" x14ac:dyDescent="0.25">
      <c r="A78" s="75">
        <f>IF('Cash Flow Analysis'!C94="","",'Cash Flow Analysis'!C94)</f>
        <v>27</v>
      </c>
      <c r="B78" s="1088">
        <f ca="1">IF(A78="","",IF(A78&lt;1,0,IF(A78=1,$B$44-'Cash Flow Analysis'!I94,-'Cash Flow Analysis'!I94)))</f>
        <v>2473525.4905345398</v>
      </c>
      <c r="C78" s="108">
        <f t="shared" ref="C78:W78" ca="1" si="32">IF($B$78="","",IF(AND($B$42="Straight Line",C48&lt;=depr_length),$B$78/depr_length,IF(AND($B$42="MACRS",C48&lt;=depr_length+1),$B$78*INDEX(MACRS_Table,MATCH(C48,recovery_year,0),MATCH($B$43,recovery_period,0)),"")))</f>
        <v>92757.205895045234</v>
      </c>
      <c r="D78" s="109">
        <f t="shared" ca="1" si="32"/>
        <v>178563.80516168845</v>
      </c>
      <c r="E78" s="109">
        <f t="shared" ca="1" si="32"/>
        <v>165157.29700299122</v>
      </c>
      <c r="F78" s="109">
        <f t="shared" ca="1" si="32"/>
        <v>152789.66955031853</v>
      </c>
      <c r="G78" s="109">
        <f t="shared" ca="1" si="32"/>
        <v>141312.51127423826</v>
      </c>
      <c r="H78" s="109">
        <f t="shared" ca="1" si="32"/>
        <v>130725.82217475043</v>
      </c>
      <c r="I78" s="109">
        <f t="shared" ca="1" si="32"/>
        <v>120905.92597732831</v>
      </c>
      <c r="J78" s="109">
        <f t="shared" ca="1" si="32"/>
        <v>111852.8226819719</v>
      </c>
      <c r="K78" s="109">
        <f t="shared" ca="1" si="32"/>
        <v>110368.70738765117</v>
      </c>
      <c r="L78" s="109">
        <f t="shared" ca="1" si="32"/>
        <v>110343.97213274581</v>
      </c>
      <c r="M78" s="109">
        <f t="shared" ca="1" si="32"/>
        <v>110368.70738765117</v>
      </c>
      <c r="N78" s="109">
        <f t="shared" ca="1" si="32"/>
        <v>110343.97213274581</v>
      </c>
      <c r="O78" s="109">
        <f t="shared" ca="1" si="32"/>
        <v>110368.70738765117</v>
      </c>
      <c r="P78" s="109">
        <f t="shared" ca="1" si="32"/>
        <v>110343.97213274581</v>
      </c>
      <c r="Q78" s="109">
        <f t="shared" ca="1" si="32"/>
        <v>110368.70738765117</v>
      </c>
      <c r="R78" s="109">
        <f t="shared" ca="1" si="32"/>
        <v>110343.97213274581</v>
      </c>
      <c r="S78" s="109">
        <f t="shared" ca="1" si="32"/>
        <v>110368.70738765117</v>
      </c>
      <c r="T78" s="109">
        <f t="shared" ca="1" si="32"/>
        <v>110343.97213274581</v>
      </c>
      <c r="U78" s="109">
        <f t="shared" ca="1" si="32"/>
        <v>110368.70738765117</v>
      </c>
      <c r="V78" s="109">
        <f t="shared" ca="1" si="32"/>
        <v>110343.97213274581</v>
      </c>
      <c r="W78" s="110">
        <f t="shared" ca="1" si="32"/>
        <v>55184.353693825586</v>
      </c>
      <c r="X78" s="107">
        <f t="shared" ca="1" si="3"/>
        <v>2473525.4905345398</v>
      </c>
    </row>
    <row r="79" spans="1:24" ht="15" customHeight="1" x14ac:dyDescent="0.25">
      <c r="A79" s="75">
        <f>IF('Cash Flow Analysis'!C95="","",'Cash Flow Analysis'!C95)</f>
        <v>28</v>
      </c>
      <c r="B79" s="1088">
        <f ca="1">IF(A79="","",IF(A79&lt;1,0,IF(A79=1,$B$44-'Cash Flow Analysis'!I95,-'Cash Flow Analysis'!I95)))</f>
        <v>2520522.4748546961</v>
      </c>
      <c r="C79" s="108">
        <f t="shared" ref="C79:W79" ca="1" si="33">IF($B$79="","",IF(AND($B$42="Straight Line",C48&lt;=depr_length),$B$79/depr_length,IF(AND($B$42="MACRS",C48&lt;=depr_length+1),$B$79*INDEX(MACRS_Table,MATCH(C48,recovery_year,0),MATCH($B$43,recovery_period,0)),"")))</f>
        <v>94519.5928070511</v>
      </c>
      <c r="D79" s="109">
        <f t="shared" ca="1" si="33"/>
        <v>181956.51745976051</v>
      </c>
      <c r="E79" s="109">
        <f t="shared" ca="1" si="33"/>
        <v>168295.28564604805</v>
      </c>
      <c r="F79" s="109">
        <f t="shared" ca="1" si="33"/>
        <v>155692.67327177458</v>
      </c>
      <c r="G79" s="109">
        <f t="shared" ca="1" si="33"/>
        <v>143997.4489884488</v>
      </c>
      <c r="H79" s="109">
        <f t="shared" ca="1" si="33"/>
        <v>133209.61279607069</v>
      </c>
      <c r="I79" s="109">
        <f t="shared" ca="1" si="33"/>
        <v>123203.13857089754</v>
      </c>
      <c r="J79" s="109">
        <f t="shared" ca="1" si="33"/>
        <v>113978.02631292936</v>
      </c>
      <c r="K79" s="109">
        <f t="shared" ca="1" si="33"/>
        <v>112465.71282801653</v>
      </c>
      <c r="L79" s="109">
        <f t="shared" ca="1" si="33"/>
        <v>112440.50760326798</v>
      </c>
      <c r="M79" s="109">
        <f t="shared" ca="1" si="33"/>
        <v>112465.71282801653</v>
      </c>
      <c r="N79" s="109">
        <f t="shared" ca="1" si="33"/>
        <v>112440.50760326798</v>
      </c>
      <c r="O79" s="109">
        <f t="shared" ca="1" si="33"/>
        <v>112465.71282801653</v>
      </c>
      <c r="P79" s="109">
        <f t="shared" ca="1" si="33"/>
        <v>112440.50760326798</v>
      </c>
      <c r="Q79" s="109">
        <f t="shared" ca="1" si="33"/>
        <v>112465.71282801653</v>
      </c>
      <c r="R79" s="109">
        <f t="shared" ca="1" si="33"/>
        <v>112440.50760326798</v>
      </c>
      <c r="S79" s="109">
        <f t="shared" ca="1" si="33"/>
        <v>112465.71282801653</v>
      </c>
      <c r="T79" s="109">
        <f t="shared" ca="1" si="33"/>
        <v>112440.50760326798</v>
      </c>
      <c r="U79" s="109">
        <f t="shared" ca="1" si="33"/>
        <v>112465.71282801653</v>
      </c>
      <c r="V79" s="109">
        <f t="shared" ca="1" si="33"/>
        <v>112440.50760326798</v>
      </c>
      <c r="W79" s="110">
        <f t="shared" ca="1" si="33"/>
        <v>56232.856414008267</v>
      </c>
      <c r="X79" s="107">
        <f t="shared" ca="1" si="3"/>
        <v>2520522.4748546961</v>
      </c>
    </row>
    <row r="80" spans="1:24" ht="15" customHeight="1" x14ac:dyDescent="0.25">
      <c r="A80" s="75">
        <f>IF('Cash Flow Analysis'!C96="","",'Cash Flow Analysis'!C96)</f>
        <v>29</v>
      </c>
      <c r="B80" s="1088">
        <f ca="1">IF(A80="","",IF(A80&lt;1,0,IF(A80=1,$B$44-'Cash Flow Analysis'!I96,-'Cash Flow Analysis'!I96)))</f>
        <v>2568412.4018769348</v>
      </c>
      <c r="C80" s="108">
        <f t="shared" ref="C80:W80" ca="1" si="34">IF($B$80="","",IF(AND($B$42="Straight Line",C48&lt;=depr_length),$B$80/depr_length,IF(AND($B$42="MACRS",C48&lt;=depr_length+1),$B$80*INDEX(MACRS_Table,MATCH(C48,recovery_year,0),MATCH($B$43,recovery_period,0)),"")))</f>
        <v>96315.465070385049</v>
      </c>
      <c r="D80" s="109">
        <f t="shared" ca="1" si="34"/>
        <v>185413.69129149592</v>
      </c>
      <c r="E80" s="109">
        <f t="shared" ca="1" si="34"/>
        <v>171492.89607332292</v>
      </c>
      <c r="F80" s="109">
        <f t="shared" ca="1" si="34"/>
        <v>158650.83406393827</v>
      </c>
      <c r="G80" s="109">
        <f t="shared" ca="1" si="34"/>
        <v>146733.4005192293</v>
      </c>
      <c r="H80" s="109">
        <f t="shared" ca="1" si="34"/>
        <v>135740.59543919601</v>
      </c>
      <c r="I80" s="109">
        <f t="shared" ca="1" si="34"/>
        <v>125543.99820374457</v>
      </c>
      <c r="J80" s="109">
        <f t="shared" ca="1" si="34"/>
        <v>116143.608812875</v>
      </c>
      <c r="K80" s="109">
        <f t="shared" ca="1" si="34"/>
        <v>114602.56137174883</v>
      </c>
      <c r="L80" s="109">
        <f t="shared" ca="1" si="34"/>
        <v>114576.87724773005</v>
      </c>
      <c r="M80" s="109">
        <f t="shared" ca="1" si="34"/>
        <v>114602.56137174883</v>
      </c>
      <c r="N80" s="109">
        <f t="shared" ca="1" si="34"/>
        <v>114576.87724773005</v>
      </c>
      <c r="O80" s="109">
        <f t="shared" ca="1" si="34"/>
        <v>114602.56137174883</v>
      </c>
      <c r="P80" s="109">
        <f t="shared" ca="1" si="34"/>
        <v>114576.87724773005</v>
      </c>
      <c r="Q80" s="109">
        <f t="shared" ca="1" si="34"/>
        <v>114602.56137174883</v>
      </c>
      <c r="R80" s="109">
        <f t="shared" ca="1" si="34"/>
        <v>114576.87724773005</v>
      </c>
      <c r="S80" s="109">
        <f t="shared" ca="1" si="34"/>
        <v>114602.56137174883</v>
      </c>
      <c r="T80" s="109">
        <f t="shared" ca="1" si="34"/>
        <v>114576.87724773005</v>
      </c>
      <c r="U80" s="109">
        <f t="shared" ca="1" si="34"/>
        <v>114602.56137174883</v>
      </c>
      <c r="V80" s="109">
        <f t="shared" ca="1" si="34"/>
        <v>114576.87724773005</v>
      </c>
      <c r="W80" s="110">
        <f t="shared" ca="1" si="34"/>
        <v>57301.280685874415</v>
      </c>
      <c r="X80" s="107">
        <f t="shared" ca="1" si="3"/>
        <v>2568412.4018769353</v>
      </c>
    </row>
    <row r="81" spans="1:24" ht="15" customHeight="1" x14ac:dyDescent="0.25">
      <c r="A81" s="75">
        <f>IF('Cash Flow Analysis'!C97="","",'Cash Flow Analysis'!C97)</f>
        <v>30</v>
      </c>
      <c r="B81" s="1088">
        <f ca="1">IF(A81="","",IF(A81&lt;1,0,IF(A81=1,$B$44-'Cash Flow Analysis'!I97,-'Cash Flow Analysis'!I97)))</f>
        <v>2617212.2375125964</v>
      </c>
      <c r="C81" s="108">
        <f t="shared" ref="C81:W81" ca="1" si="35">IF($B$81="","",IF(AND($B$42="Straight Line",C48&lt;=depr_length),$B$81/depr_length,IF(AND($B$42="MACRS",C48&lt;=depr_length+1),$B$81*INDEX(MACRS_Table,MATCH(C48,recovery_year,0),MATCH($B$43,recovery_period,0)),"")))</f>
        <v>98145.458906722357</v>
      </c>
      <c r="D81" s="109">
        <f t="shared" ca="1" si="35"/>
        <v>188936.55142603433</v>
      </c>
      <c r="E81" s="109">
        <f t="shared" ca="1" si="35"/>
        <v>174751.26109871606</v>
      </c>
      <c r="F81" s="109">
        <f t="shared" ca="1" si="35"/>
        <v>161665.19991115309</v>
      </c>
      <c r="G81" s="109">
        <f t="shared" ca="1" si="35"/>
        <v>149521.33512909463</v>
      </c>
      <c r="H81" s="109">
        <f t="shared" ca="1" si="35"/>
        <v>138319.66675254071</v>
      </c>
      <c r="I81" s="109">
        <f t="shared" ca="1" si="35"/>
        <v>127929.33416961571</v>
      </c>
      <c r="J81" s="109">
        <f t="shared" ca="1" si="35"/>
        <v>118350.33738031962</v>
      </c>
      <c r="K81" s="109">
        <f t="shared" ca="1" si="35"/>
        <v>116780.01003781206</v>
      </c>
      <c r="L81" s="109">
        <f t="shared" ca="1" si="35"/>
        <v>116753.83791543692</v>
      </c>
      <c r="M81" s="109">
        <f t="shared" ca="1" si="35"/>
        <v>116780.01003781206</v>
      </c>
      <c r="N81" s="109">
        <f t="shared" ca="1" si="35"/>
        <v>116753.83791543692</v>
      </c>
      <c r="O81" s="109">
        <f t="shared" ca="1" si="35"/>
        <v>116780.01003781206</v>
      </c>
      <c r="P81" s="109">
        <f t="shared" ca="1" si="35"/>
        <v>116753.83791543692</v>
      </c>
      <c r="Q81" s="109">
        <f t="shared" ca="1" si="35"/>
        <v>116780.01003781206</v>
      </c>
      <c r="R81" s="109">
        <f t="shared" ca="1" si="35"/>
        <v>116753.83791543692</v>
      </c>
      <c r="S81" s="109">
        <f t="shared" ca="1" si="35"/>
        <v>116780.01003781206</v>
      </c>
      <c r="T81" s="109">
        <f t="shared" ca="1" si="35"/>
        <v>116753.83791543692</v>
      </c>
      <c r="U81" s="109">
        <f t="shared" ca="1" si="35"/>
        <v>116780.01003781206</v>
      </c>
      <c r="V81" s="109">
        <f t="shared" ca="1" si="35"/>
        <v>116753.83791543692</v>
      </c>
      <c r="W81" s="110">
        <f t="shared" ca="1" si="35"/>
        <v>58390.005018906028</v>
      </c>
      <c r="X81" s="107">
        <f t="shared" ca="1" si="3"/>
        <v>2617212.2375125955</v>
      </c>
    </row>
    <row r="82" spans="1:24" ht="15" customHeight="1" x14ac:dyDescent="0.25">
      <c r="A82" s="75">
        <f>IF('Cash Flow Analysis'!C98="","",'Cash Flow Analysis'!C98)</f>
        <v>31</v>
      </c>
      <c r="B82" s="1088">
        <f ca="1">IF(A82="","",IF(A82&lt;1,0,IF(A82=1,$B$44-'Cash Flow Analysis'!I98,-'Cash Flow Analysis'!I98)))</f>
        <v>2666939.2700253362</v>
      </c>
      <c r="C82" s="108">
        <f t="shared" ref="C82:W82" ca="1" si="36">IF($B$82="","",IF(AND($B$42="Straight Line",C48&lt;=depr_length),$B$82/depr_length,IF(AND($B$42="MACRS",C48&lt;=depr_length+1),$B$82*INDEX(MACRS_Table,MATCH(C48,recovery_year,0),MATCH($B$43,recovery_period,0)),"")))</f>
        <v>100010.2226259501</v>
      </c>
      <c r="D82" s="109">
        <f t="shared" ca="1" si="36"/>
        <v>192526.34590312903</v>
      </c>
      <c r="E82" s="109">
        <f t="shared" ca="1" si="36"/>
        <v>178071.5350595917</v>
      </c>
      <c r="F82" s="109">
        <f t="shared" ca="1" si="36"/>
        <v>164736.83870946502</v>
      </c>
      <c r="G82" s="109">
        <f t="shared" ca="1" si="36"/>
        <v>152362.24049654746</v>
      </c>
      <c r="H82" s="109">
        <f t="shared" ca="1" si="36"/>
        <v>140947.74042083902</v>
      </c>
      <c r="I82" s="109">
        <f t="shared" ca="1" si="36"/>
        <v>130359.99151883843</v>
      </c>
      <c r="J82" s="109">
        <f t="shared" ca="1" si="36"/>
        <v>120598.9937905457</v>
      </c>
      <c r="K82" s="109">
        <f t="shared" ca="1" si="36"/>
        <v>118998.8302285305</v>
      </c>
      <c r="L82" s="109">
        <f t="shared" ca="1" si="36"/>
        <v>118972.16083583023</v>
      </c>
      <c r="M82" s="109">
        <f t="shared" ca="1" si="36"/>
        <v>118998.8302285305</v>
      </c>
      <c r="N82" s="109">
        <f t="shared" ca="1" si="36"/>
        <v>118972.16083583023</v>
      </c>
      <c r="O82" s="109">
        <f t="shared" ca="1" si="36"/>
        <v>118998.8302285305</v>
      </c>
      <c r="P82" s="109">
        <f t="shared" ca="1" si="36"/>
        <v>118972.16083583023</v>
      </c>
      <c r="Q82" s="109">
        <f t="shared" ca="1" si="36"/>
        <v>118998.8302285305</v>
      </c>
      <c r="R82" s="109">
        <f t="shared" ca="1" si="36"/>
        <v>118972.16083583023</v>
      </c>
      <c r="S82" s="109">
        <f t="shared" ca="1" si="36"/>
        <v>118998.8302285305</v>
      </c>
      <c r="T82" s="109">
        <f t="shared" ca="1" si="36"/>
        <v>118972.16083583023</v>
      </c>
      <c r="U82" s="109">
        <f t="shared" ca="1" si="36"/>
        <v>118998.8302285305</v>
      </c>
      <c r="V82" s="109">
        <f t="shared" ca="1" si="36"/>
        <v>118972.16083583023</v>
      </c>
      <c r="W82" s="110">
        <f t="shared" ca="1" si="36"/>
        <v>59499.415114265248</v>
      </c>
      <c r="X82" s="107">
        <f t="shared" ca="1" si="3"/>
        <v>2666939.2700253357</v>
      </c>
    </row>
    <row r="83" spans="1:24" ht="15" customHeight="1" x14ac:dyDescent="0.25">
      <c r="A83" s="75">
        <f>IF('Cash Flow Analysis'!C99="","",'Cash Flow Analysis'!C99)</f>
        <v>32</v>
      </c>
      <c r="B83" s="1088">
        <f ca="1">IF(A83="","",IF(A83&lt;1,0,IF(A83=1,$B$44-'Cash Flow Analysis'!I99,-'Cash Flow Analysis'!I99)))</f>
        <v>2717611.1161558176</v>
      </c>
      <c r="C83" s="108">
        <f t="shared" ref="C83:W83" ca="1" si="37">IF($B$83="","",IF(AND($B$42="Straight Line",C48&lt;=depr_length),$B$83/depr_length,IF(AND($B$42="MACRS",C48&lt;=depr_length+1),$B$83*INDEX(MACRS_Table,MATCH(C48,recovery_year,0),MATCH($B$43,recovery_period,0)),"")))</f>
        <v>101910.41685584316</v>
      </c>
      <c r="D83" s="109">
        <f t="shared" ca="1" si="37"/>
        <v>196184.34647528848</v>
      </c>
      <c r="E83" s="109">
        <f t="shared" ca="1" si="37"/>
        <v>181454.89422572393</v>
      </c>
      <c r="F83" s="109">
        <f t="shared" ca="1" si="37"/>
        <v>167866.83864494486</v>
      </c>
      <c r="G83" s="109">
        <f t="shared" ca="1" si="37"/>
        <v>155257.12306598187</v>
      </c>
      <c r="H83" s="109">
        <f t="shared" ca="1" si="37"/>
        <v>143625.74748883495</v>
      </c>
      <c r="I83" s="109">
        <f t="shared" ca="1" si="37"/>
        <v>132836.83135769636</v>
      </c>
      <c r="J83" s="109">
        <f t="shared" ca="1" si="37"/>
        <v>122890.37467256609</v>
      </c>
      <c r="K83" s="109">
        <f t="shared" ca="1" si="37"/>
        <v>121259.80800287258</v>
      </c>
      <c r="L83" s="109">
        <f t="shared" ca="1" si="37"/>
        <v>121232.63189171102</v>
      </c>
      <c r="M83" s="109">
        <f t="shared" ca="1" si="37"/>
        <v>121259.80800287258</v>
      </c>
      <c r="N83" s="109">
        <f t="shared" ca="1" si="37"/>
        <v>121232.63189171102</v>
      </c>
      <c r="O83" s="109">
        <f t="shared" ca="1" si="37"/>
        <v>121259.80800287258</v>
      </c>
      <c r="P83" s="109">
        <f t="shared" ca="1" si="37"/>
        <v>121232.63189171102</v>
      </c>
      <c r="Q83" s="109">
        <f t="shared" ca="1" si="37"/>
        <v>121259.80800287258</v>
      </c>
      <c r="R83" s="109">
        <f t="shared" ca="1" si="37"/>
        <v>121232.63189171102</v>
      </c>
      <c r="S83" s="109">
        <f t="shared" ca="1" si="37"/>
        <v>121259.80800287258</v>
      </c>
      <c r="T83" s="109">
        <f t="shared" ca="1" si="37"/>
        <v>121232.63189171102</v>
      </c>
      <c r="U83" s="109">
        <f t="shared" ca="1" si="37"/>
        <v>121259.80800287258</v>
      </c>
      <c r="V83" s="109">
        <f t="shared" ca="1" si="37"/>
        <v>121232.63189171102</v>
      </c>
      <c r="W83" s="110">
        <f t="shared" ca="1" si="37"/>
        <v>60629.904001436291</v>
      </c>
      <c r="X83" s="107">
        <f t="shared" ca="1" si="3"/>
        <v>2717611.1161558172</v>
      </c>
    </row>
    <row r="84" spans="1:24" ht="15" customHeight="1" x14ac:dyDescent="0.25">
      <c r="A84" s="75">
        <f>IF('Cash Flow Analysis'!C100="","",'Cash Flow Analysis'!C100)</f>
        <v>33</v>
      </c>
      <c r="B84" s="1088">
        <f ca="1">IF(A84="","",IF(A84&lt;1,0,IF(A84=1,$B$44-'Cash Flow Analysis'!I100,-'Cash Flow Analysis'!I100)))</f>
        <v>2769245.727362778</v>
      </c>
      <c r="C84" s="108">
        <f t="shared" ref="C84:W84" ca="1" si="38">IF($B$84="","",IF(AND($B$42="Straight Line",C48&lt;=depr_length),$B$84/depr_length,IF(AND($B$42="MACRS",C48&lt;=depr_length+1),$B$84*INDEX(MACRS_Table,MATCH(C48,recovery_year,0),MATCH($B$43,recovery_period,0)),"")))</f>
        <v>103846.71477610417</v>
      </c>
      <c r="D84" s="109">
        <f t="shared" ca="1" si="38"/>
        <v>199911.84905831897</v>
      </c>
      <c r="E84" s="109">
        <f t="shared" ca="1" si="38"/>
        <v>184902.53721601269</v>
      </c>
      <c r="F84" s="109">
        <f t="shared" ca="1" si="38"/>
        <v>171056.30857919878</v>
      </c>
      <c r="G84" s="109">
        <f t="shared" ca="1" si="38"/>
        <v>158207.0084042355</v>
      </c>
      <c r="H84" s="109">
        <f t="shared" ca="1" si="38"/>
        <v>146354.63669112281</v>
      </c>
      <c r="I84" s="109">
        <f t="shared" ca="1" si="38"/>
        <v>135360.73115349258</v>
      </c>
      <c r="J84" s="109">
        <f t="shared" ca="1" si="38"/>
        <v>125225.29179134483</v>
      </c>
      <c r="K84" s="109">
        <f t="shared" ca="1" si="38"/>
        <v>123563.74435492716</v>
      </c>
      <c r="L84" s="109">
        <f t="shared" ca="1" si="38"/>
        <v>123536.05189765352</v>
      </c>
      <c r="M84" s="109">
        <f t="shared" ca="1" si="38"/>
        <v>123563.74435492716</v>
      </c>
      <c r="N84" s="109">
        <f t="shared" ca="1" si="38"/>
        <v>123536.05189765352</v>
      </c>
      <c r="O84" s="109">
        <f t="shared" ca="1" si="38"/>
        <v>123563.74435492716</v>
      </c>
      <c r="P84" s="109">
        <f t="shared" ca="1" si="38"/>
        <v>123536.05189765352</v>
      </c>
      <c r="Q84" s="109">
        <f t="shared" ca="1" si="38"/>
        <v>123563.74435492716</v>
      </c>
      <c r="R84" s="109">
        <f t="shared" ca="1" si="38"/>
        <v>123536.05189765352</v>
      </c>
      <c r="S84" s="109">
        <f t="shared" ca="1" si="38"/>
        <v>123563.74435492716</v>
      </c>
      <c r="T84" s="109">
        <f t="shared" ca="1" si="38"/>
        <v>123536.05189765352</v>
      </c>
      <c r="U84" s="109">
        <f t="shared" ca="1" si="38"/>
        <v>123563.74435492716</v>
      </c>
      <c r="V84" s="109">
        <f t="shared" ca="1" si="38"/>
        <v>123536.05189765352</v>
      </c>
      <c r="W84" s="110">
        <f t="shared" ca="1" si="38"/>
        <v>61781.872177463578</v>
      </c>
      <c r="X84" s="107">
        <f t="shared" ca="1" si="3"/>
        <v>2769245.7273627776</v>
      </c>
    </row>
    <row r="85" spans="1:24" ht="15" customHeight="1" x14ac:dyDescent="0.25">
      <c r="A85" s="75">
        <f>IF('Cash Flow Analysis'!C101="","",'Cash Flow Analysis'!C101)</f>
        <v>34</v>
      </c>
      <c r="B85" s="1088">
        <f ca="1">IF(A85="","",IF(A85&lt;1,0,IF(A85=1,$B$44-'Cash Flow Analysis'!I101,-'Cash Flow Analysis'!I101)))</f>
        <v>2821861.3961826703</v>
      </c>
      <c r="C85" s="108">
        <f t="shared" ref="C85:W85" ca="1" si="39">IF($B$85="","",IF(AND($B$42="Straight Line",C48&lt;=depr_length),$B$85/depr_length,IF(AND($B$42="MACRS",C48&lt;=depr_length+1),$B$85*INDEX(MACRS_Table,MATCH(C48,recovery_year,0),MATCH($B$43,recovery_period,0)),"")))</f>
        <v>105819.80235685014</v>
      </c>
      <c r="D85" s="109">
        <f t="shared" ca="1" si="39"/>
        <v>203710.17419042697</v>
      </c>
      <c r="E85" s="109">
        <f t="shared" ca="1" si="39"/>
        <v>188415.68542311687</v>
      </c>
      <c r="F85" s="109">
        <f t="shared" ca="1" si="39"/>
        <v>174306.37844220354</v>
      </c>
      <c r="G85" s="109">
        <f t="shared" ca="1" si="39"/>
        <v>161212.94156391596</v>
      </c>
      <c r="H85" s="109">
        <f t="shared" ca="1" si="39"/>
        <v>149135.37478825412</v>
      </c>
      <c r="I85" s="109">
        <f t="shared" ca="1" si="39"/>
        <v>137932.58504540892</v>
      </c>
      <c r="J85" s="109">
        <f t="shared" ca="1" si="39"/>
        <v>127604.57233538036</v>
      </c>
      <c r="K85" s="109">
        <f t="shared" ca="1" si="39"/>
        <v>125911.45549767074</v>
      </c>
      <c r="L85" s="109">
        <f t="shared" ca="1" si="39"/>
        <v>125883.23688370892</v>
      </c>
      <c r="M85" s="109">
        <f t="shared" ca="1" si="39"/>
        <v>125911.45549767074</v>
      </c>
      <c r="N85" s="109">
        <f t="shared" ca="1" si="39"/>
        <v>125883.23688370892</v>
      </c>
      <c r="O85" s="109">
        <f t="shared" ca="1" si="39"/>
        <v>125911.45549767074</v>
      </c>
      <c r="P85" s="109">
        <f t="shared" ca="1" si="39"/>
        <v>125883.23688370892</v>
      </c>
      <c r="Q85" s="109">
        <f t="shared" ca="1" si="39"/>
        <v>125911.45549767074</v>
      </c>
      <c r="R85" s="109">
        <f t="shared" ca="1" si="39"/>
        <v>125883.23688370892</v>
      </c>
      <c r="S85" s="109">
        <f t="shared" ca="1" si="39"/>
        <v>125911.45549767074</v>
      </c>
      <c r="T85" s="109">
        <f t="shared" ca="1" si="39"/>
        <v>125883.23688370892</v>
      </c>
      <c r="U85" s="109">
        <f t="shared" ca="1" si="39"/>
        <v>125911.45549767074</v>
      </c>
      <c r="V85" s="109">
        <f t="shared" ca="1" si="39"/>
        <v>125883.23688370892</v>
      </c>
      <c r="W85" s="110">
        <f t="shared" ca="1" si="39"/>
        <v>62955.727748835372</v>
      </c>
      <c r="X85" s="107">
        <f t="shared" ca="1" si="3"/>
        <v>2821861.3961826703</v>
      </c>
    </row>
    <row r="86" spans="1:24" ht="15" customHeight="1" x14ac:dyDescent="0.25">
      <c r="A86" s="75">
        <f>IF('Cash Flow Analysis'!C102="","",'Cash Flow Analysis'!C102)</f>
        <v>35</v>
      </c>
      <c r="B86" s="1088">
        <f ca="1">IF(A86="","",IF(A86&lt;1,0,IF(A86=1,$B$44-'Cash Flow Analysis'!I102,-'Cash Flow Analysis'!I102)))</f>
        <v>2875476.762710141</v>
      </c>
      <c r="C86" s="108">
        <f t="shared" ref="C86:W86" ca="1" si="40">IF($B$86="","",IF(AND($B$42="Straight Line",C48&lt;=depr_length),$B$86/depr_length,IF(AND($B$42="MACRS",C48&lt;=depr_length+1),$B$86*INDEX(MACRS_Table,MATCH(C48,recovery_year,0),MATCH($B$43,recovery_period,0)),"")))</f>
        <v>107830.37860163029</v>
      </c>
      <c r="D86" s="109">
        <f t="shared" ca="1" si="40"/>
        <v>207580.66750004509</v>
      </c>
      <c r="E86" s="109">
        <f t="shared" ca="1" si="40"/>
        <v>191995.58344615612</v>
      </c>
      <c r="F86" s="109">
        <f t="shared" ca="1" si="40"/>
        <v>177618.19963260539</v>
      </c>
      <c r="G86" s="109">
        <f t="shared" ca="1" si="40"/>
        <v>164275.98745363037</v>
      </c>
      <c r="H86" s="109">
        <f t="shared" ca="1" si="40"/>
        <v>151968.94690923096</v>
      </c>
      <c r="I86" s="109">
        <f t="shared" ca="1" si="40"/>
        <v>140553.30416127169</v>
      </c>
      <c r="J86" s="109">
        <f t="shared" ca="1" si="40"/>
        <v>130029.05920975258</v>
      </c>
      <c r="K86" s="109">
        <f t="shared" ca="1" si="40"/>
        <v>128303.77315212649</v>
      </c>
      <c r="L86" s="109">
        <f t="shared" ca="1" si="40"/>
        <v>128275.01838449939</v>
      </c>
      <c r="M86" s="109">
        <f t="shared" ca="1" si="40"/>
        <v>128303.77315212649</v>
      </c>
      <c r="N86" s="109">
        <f t="shared" ca="1" si="40"/>
        <v>128275.01838449939</v>
      </c>
      <c r="O86" s="109">
        <f t="shared" ca="1" si="40"/>
        <v>128303.77315212649</v>
      </c>
      <c r="P86" s="109">
        <f t="shared" ca="1" si="40"/>
        <v>128275.01838449939</v>
      </c>
      <c r="Q86" s="109">
        <f t="shared" ca="1" si="40"/>
        <v>128303.77315212649</v>
      </c>
      <c r="R86" s="109">
        <f t="shared" ca="1" si="40"/>
        <v>128275.01838449939</v>
      </c>
      <c r="S86" s="109">
        <f t="shared" ca="1" si="40"/>
        <v>128303.77315212649</v>
      </c>
      <c r="T86" s="109">
        <f t="shared" ca="1" si="40"/>
        <v>128275.01838449939</v>
      </c>
      <c r="U86" s="109">
        <f t="shared" ca="1" si="40"/>
        <v>128303.77315212649</v>
      </c>
      <c r="V86" s="109">
        <f t="shared" ca="1" si="40"/>
        <v>128275.01838449939</v>
      </c>
      <c r="W86" s="110">
        <f t="shared" ca="1" si="40"/>
        <v>64151.886576063247</v>
      </c>
      <c r="X86" s="107">
        <f t="shared" ca="1" si="3"/>
        <v>2875476.7627101419</v>
      </c>
    </row>
    <row r="87" spans="1:24" ht="15" customHeight="1" x14ac:dyDescent="0.25">
      <c r="A87" s="75">
        <f>IF('Cash Flow Analysis'!C103="","",'Cash Flow Analysis'!C103)</f>
        <v>36</v>
      </c>
      <c r="B87" s="1088">
        <f ca="1">IF(A87="","",IF(A87&lt;1,0,IF(A87=1,$B$44-'Cash Flow Analysis'!I103,-'Cash Flow Analysis'!I103)))</f>
        <v>2930110.8212016337</v>
      </c>
      <c r="C87" s="108">
        <f t="shared" ref="C87:W87" ca="1" si="41">IF($B$87="","",IF(AND($B$42="Straight Line",C48&lt;=depr_length),$B$87/depr_length,IF(AND($B$42="MACRS",C48&lt;=depr_length+1),$B$87*INDEX(MACRS_Table,MATCH(C48,recovery_year,0),MATCH($B$43,recovery_period,0)),"")))</f>
        <v>109879.15579506126</v>
      </c>
      <c r="D87" s="109">
        <f t="shared" ca="1" si="41"/>
        <v>211524.70018254596</v>
      </c>
      <c r="E87" s="109">
        <f t="shared" ca="1" si="41"/>
        <v>195643.49953163308</v>
      </c>
      <c r="F87" s="109">
        <f t="shared" ca="1" si="41"/>
        <v>180992.9454256249</v>
      </c>
      <c r="G87" s="109">
        <f t="shared" ca="1" si="41"/>
        <v>167397.23121524934</v>
      </c>
      <c r="H87" s="109">
        <f t="shared" ca="1" si="41"/>
        <v>154856.35690050633</v>
      </c>
      <c r="I87" s="109">
        <f t="shared" ca="1" si="41"/>
        <v>143223.81694033585</v>
      </c>
      <c r="J87" s="109">
        <f t="shared" ca="1" si="41"/>
        <v>132499.61133473789</v>
      </c>
      <c r="K87" s="109">
        <f t="shared" ca="1" si="41"/>
        <v>130741.5448420169</v>
      </c>
      <c r="L87" s="109">
        <f t="shared" ca="1" si="41"/>
        <v>130712.24373380486</v>
      </c>
      <c r="M87" s="109">
        <f t="shared" ca="1" si="41"/>
        <v>130741.5448420169</v>
      </c>
      <c r="N87" s="109">
        <f t="shared" ca="1" si="41"/>
        <v>130712.24373380486</v>
      </c>
      <c r="O87" s="109">
        <f t="shared" ca="1" si="41"/>
        <v>130741.5448420169</v>
      </c>
      <c r="P87" s="109">
        <f t="shared" ca="1" si="41"/>
        <v>130712.24373380486</v>
      </c>
      <c r="Q87" s="109">
        <f t="shared" ca="1" si="41"/>
        <v>130741.5448420169</v>
      </c>
      <c r="R87" s="109">
        <f t="shared" ca="1" si="41"/>
        <v>130712.24373380486</v>
      </c>
      <c r="S87" s="109">
        <f t="shared" ca="1" si="41"/>
        <v>130741.5448420169</v>
      </c>
      <c r="T87" s="109">
        <f t="shared" ca="1" si="41"/>
        <v>130712.24373380486</v>
      </c>
      <c r="U87" s="109">
        <f t="shared" ca="1" si="41"/>
        <v>130741.5448420169</v>
      </c>
      <c r="V87" s="109">
        <f t="shared" ca="1" si="41"/>
        <v>130712.24373380486</v>
      </c>
      <c r="W87" s="110">
        <f t="shared" ca="1" si="41"/>
        <v>65370.772421008449</v>
      </c>
      <c r="X87" s="107">
        <f t="shared" ca="1" si="3"/>
        <v>2930110.8212016332</v>
      </c>
    </row>
    <row r="88" spans="1:24" ht="15" customHeight="1" x14ac:dyDescent="0.25">
      <c r="A88" s="75">
        <f>IF('Cash Flow Analysis'!C104="","",'Cash Flow Analysis'!C104)</f>
        <v>37</v>
      </c>
      <c r="B88" s="1088">
        <f ca="1">IF(A88="","",IF(A88&lt;1,0,IF(A88=1,$B$44-'Cash Flow Analysis'!I104,-'Cash Flow Analysis'!I104)))</f>
        <v>2985782.9268044648</v>
      </c>
      <c r="C88" s="108">
        <f t="shared" ref="C88:W88" ca="1" si="42">IF($B$88="","",IF(AND($B$42="Straight Line",C48&lt;=depr_length),$B$88/depr_length,IF(AND($B$42="MACRS",C48&lt;=depr_length+1),$B$88*INDEX(MACRS_Table,MATCH(C48,recovery_year,0),MATCH($B$43,recovery_period,0)),"")))</f>
        <v>111966.85975516743</v>
      </c>
      <c r="D88" s="109">
        <f t="shared" ca="1" si="42"/>
        <v>215543.66948601432</v>
      </c>
      <c r="E88" s="109">
        <f t="shared" ca="1" si="42"/>
        <v>199360.7260227341</v>
      </c>
      <c r="F88" s="109">
        <f t="shared" ca="1" si="42"/>
        <v>184431.81138871179</v>
      </c>
      <c r="G88" s="109">
        <f t="shared" ca="1" si="42"/>
        <v>170577.77860833908</v>
      </c>
      <c r="H88" s="109">
        <f t="shared" ca="1" si="42"/>
        <v>157798.62768161597</v>
      </c>
      <c r="I88" s="109">
        <f t="shared" ca="1" si="42"/>
        <v>145945.06946220223</v>
      </c>
      <c r="J88" s="109">
        <f t="shared" ca="1" si="42"/>
        <v>135017.10395009789</v>
      </c>
      <c r="K88" s="109">
        <f t="shared" ca="1" si="42"/>
        <v>133225.63419401521</v>
      </c>
      <c r="L88" s="109">
        <f t="shared" ca="1" si="42"/>
        <v>133195.77636474717</v>
      </c>
      <c r="M88" s="109">
        <f t="shared" ca="1" si="42"/>
        <v>133225.63419401521</v>
      </c>
      <c r="N88" s="109">
        <f t="shared" ca="1" si="42"/>
        <v>133195.77636474717</v>
      </c>
      <c r="O88" s="109">
        <f t="shared" ca="1" si="42"/>
        <v>133225.63419401521</v>
      </c>
      <c r="P88" s="109">
        <f t="shared" ca="1" si="42"/>
        <v>133195.77636474717</v>
      </c>
      <c r="Q88" s="109">
        <f t="shared" ca="1" si="42"/>
        <v>133225.63419401521</v>
      </c>
      <c r="R88" s="109">
        <f t="shared" ca="1" si="42"/>
        <v>133195.77636474717</v>
      </c>
      <c r="S88" s="109">
        <f t="shared" ca="1" si="42"/>
        <v>133225.63419401521</v>
      </c>
      <c r="T88" s="109">
        <f t="shared" ca="1" si="42"/>
        <v>133195.77636474717</v>
      </c>
      <c r="U88" s="109">
        <f t="shared" ca="1" si="42"/>
        <v>133225.63419401521</v>
      </c>
      <c r="V88" s="109">
        <f t="shared" ca="1" si="42"/>
        <v>133195.77636474717</v>
      </c>
      <c r="W88" s="110">
        <f t="shared" ca="1" si="42"/>
        <v>66612.817097007603</v>
      </c>
      <c r="X88" s="107">
        <f t="shared" ca="1" si="3"/>
        <v>2985782.9268044643</v>
      </c>
    </row>
    <row r="89" spans="1:24" ht="15" customHeight="1" x14ac:dyDescent="0.25">
      <c r="A89" s="75">
        <f>IF('Cash Flow Analysis'!C105="","",'Cash Flow Analysis'!C105)</f>
        <v>38</v>
      </c>
      <c r="B89" s="1088">
        <f ca="1">IF(A89="","",IF(A89&lt;1,0,IF(A89=1,$B$44-'Cash Flow Analysis'!I105,-'Cash Flow Analysis'!I105)))</f>
        <v>3042512.8024137486</v>
      </c>
      <c r="C89" s="108">
        <f t="shared" ref="C89:W89" ca="1" si="43">IF($B$89="","",IF(AND($B$42="Straight Line",C48&lt;=depr_length),$B$89/depr_length,IF(AND($B$42="MACRS",C48&lt;=depr_length+1),$B$89*INDEX(MACRS_Table,MATCH(C48,recovery_year,0),MATCH($B$43,recovery_period,0)),"")))</f>
        <v>114094.23009051557</v>
      </c>
      <c r="D89" s="109">
        <f t="shared" ca="1" si="43"/>
        <v>219638.99920624853</v>
      </c>
      <c r="E89" s="109">
        <f t="shared" ca="1" si="43"/>
        <v>203148.57981716597</v>
      </c>
      <c r="F89" s="109">
        <f t="shared" ca="1" si="43"/>
        <v>187936.01580509724</v>
      </c>
      <c r="G89" s="109">
        <f t="shared" ca="1" si="43"/>
        <v>173818.75640189747</v>
      </c>
      <c r="H89" s="109">
        <f t="shared" ca="1" si="43"/>
        <v>160796.80160756662</v>
      </c>
      <c r="I89" s="109">
        <f t="shared" ca="1" si="43"/>
        <v>148718.02578198403</v>
      </c>
      <c r="J89" s="109">
        <f t="shared" ca="1" si="43"/>
        <v>137582.42892514972</v>
      </c>
      <c r="K89" s="109">
        <f t="shared" ca="1" si="43"/>
        <v>135756.92124370145</v>
      </c>
      <c r="L89" s="109">
        <f t="shared" ca="1" si="43"/>
        <v>135726.49611567732</v>
      </c>
      <c r="M89" s="109">
        <f t="shared" ca="1" si="43"/>
        <v>135756.92124370145</v>
      </c>
      <c r="N89" s="109">
        <f t="shared" ca="1" si="43"/>
        <v>135726.49611567732</v>
      </c>
      <c r="O89" s="109">
        <f t="shared" ca="1" si="43"/>
        <v>135756.92124370145</v>
      </c>
      <c r="P89" s="109">
        <f t="shared" ca="1" si="43"/>
        <v>135726.49611567732</v>
      </c>
      <c r="Q89" s="109">
        <f t="shared" ca="1" si="43"/>
        <v>135756.92124370145</v>
      </c>
      <c r="R89" s="109">
        <f t="shared" ca="1" si="43"/>
        <v>135726.49611567732</v>
      </c>
      <c r="S89" s="109">
        <f t="shared" ca="1" si="43"/>
        <v>135756.92124370145</v>
      </c>
      <c r="T89" s="109">
        <f t="shared" ca="1" si="43"/>
        <v>135726.49611567732</v>
      </c>
      <c r="U89" s="109">
        <f t="shared" ca="1" si="43"/>
        <v>135756.92124370145</v>
      </c>
      <c r="V89" s="109">
        <f t="shared" ca="1" si="43"/>
        <v>135726.49611567732</v>
      </c>
      <c r="W89" s="110">
        <f t="shared" ca="1" si="43"/>
        <v>67878.460621850725</v>
      </c>
      <c r="X89" s="107">
        <f t="shared" ca="1" si="3"/>
        <v>3042512.802413749</v>
      </c>
    </row>
    <row r="90" spans="1:24" ht="15" customHeight="1" x14ac:dyDescent="0.25">
      <c r="A90" s="75">
        <f>IF('Cash Flow Analysis'!C106="","",'Cash Flow Analysis'!C106)</f>
        <v>39</v>
      </c>
      <c r="B90" s="1088">
        <f ca="1">IF(A90="","",IF(A90&lt;1,0,IF(A90=1,$B$44-'Cash Flow Analysis'!I106,-'Cash Flow Analysis'!I106)))</f>
        <v>3100320.5456596105</v>
      </c>
      <c r="C90" s="108">
        <f t="shared" ref="C90:W90" ca="1" si="44">IF($B$90="","",IF(AND($B$42="Straight Line",C48&lt;=depr_length),$B$90/depr_length,IF(AND($B$42="MACRS",C48&lt;=depr_length+1),$B$90*INDEX(MACRS_Table,MATCH(C48,recovery_year,0),MATCH($B$43,recovery_period,0)),"")))</f>
        <v>116262.02046223539</v>
      </c>
      <c r="D90" s="109">
        <f t="shared" ca="1" si="44"/>
        <v>223812.1401911673</v>
      </c>
      <c r="E90" s="109">
        <f t="shared" ca="1" si="44"/>
        <v>207008.40283369218</v>
      </c>
      <c r="F90" s="109">
        <f t="shared" ca="1" si="44"/>
        <v>191506.80010539413</v>
      </c>
      <c r="G90" s="109">
        <f t="shared" ca="1" si="44"/>
        <v>177121.31277353354</v>
      </c>
      <c r="H90" s="109">
        <f t="shared" ca="1" si="44"/>
        <v>163851.94083811043</v>
      </c>
      <c r="I90" s="109">
        <f t="shared" ca="1" si="44"/>
        <v>151543.66827184177</v>
      </c>
      <c r="J90" s="109">
        <f t="shared" ca="1" si="44"/>
        <v>140196.4950747276</v>
      </c>
      <c r="K90" s="109">
        <f t="shared" ca="1" si="44"/>
        <v>138336.30274733182</v>
      </c>
      <c r="L90" s="109">
        <f t="shared" ca="1" si="44"/>
        <v>138305.29954187523</v>
      </c>
      <c r="M90" s="109">
        <f t="shared" ca="1" si="44"/>
        <v>138336.30274733182</v>
      </c>
      <c r="N90" s="109">
        <f t="shared" ca="1" si="44"/>
        <v>138305.29954187523</v>
      </c>
      <c r="O90" s="109">
        <f t="shared" ca="1" si="44"/>
        <v>138336.30274733182</v>
      </c>
      <c r="P90" s="109">
        <f t="shared" ca="1" si="44"/>
        <v>138305.29954187523</v>
      </c>
      <c r="Q90" s="109">
        <f t="shared" ca="1" si="44"/>
        <v>138336.30274733182</v>
      </c>
      <c r="R90" s="109">
        <f t="shared" ca="1" si="44"/>
        <v>138305.29954187523</v>
      </c>
      <c r="S90" s="109">
        <f t="shared" ca="1" si="44"/>
        <v>138336.30274733182</v>
      </c>
      <c r="T90" s="109">
        <f t="shared" ca="1" si="44"/>
        <v>138305.29954187523</v>
      </c>
      <c r="U90" s="109">
        <f t="shared" ca="1" si="44"/>
        <v>138336.30274733182</v>
      </c>
      <c r="V90" s="109">
        <f t="shared" ca="1" si="44"/>
        <v>138305.29954187523</v>
      </c>
      <c r="W90" s="110">
        <f t="shared" ca="1" si="44"/>
        <v>69168.151373665911</v>
      </c>
      <c r="X90" s="107">
        <f t="shared" ca="1" si="3"/>
        <v>3100320.545659611</v>
      </c>
    </row>
    <row r="91" spans="1:24" ht="15" customHeight="1" x14ac:dyDescent="0.25">
      <c r="A91" s="75">
        <f>IF('Cash Flow Analysis'!C107="","",'Cash Flow Analysis'!C107)</f>
        <v>40</v>
      </c>
      <c r="B91" s="1088">
        <f ca="1">IF(A91="","",IF(A91&lt;1,0,IF(A91=1,$B$44-'Cash Flow Analysis'!I107,-'Cash Flow Analysis'!I107)))</f>
        <v>3159226.6360271433</v>
      </c>
      <c r="C91" s="108">
        <f t="shared" ref="C91:W91" ca="1" si="45">IF($B$91="","",IF(AND($B$42="Straight Line",C48&lt;=depr_length),$B$91/depr_length,IF(AND($B$42="MACRS",C48&lt;=depr_length+1),$B$91*INDEX(MACRS_Table,MATCH(C48,recovery_year,0),MATCH($B$43,recovery_period,0)),"")))</f>
        <v>118470.99885101787</v>
      </c>
      <c r="D91" s="109">
        <f t="shared" ca="1" si="45"/>
        <v>228064.5708547995</v>
      </c>
      <c r="E91" s="109">
        <f t="shared" ca="1" si="45"/>
        <v>210941.56248753236</v>
      </c>
      <c r="F91" s="109">
        <f t="shared" ca="1" si="45"/>
        <v>195145.42930739664</v>
      </c>
      <c r="G91" s="109">
        <f t="shared" ca="1" si="45"/>
        <v>180486.61771623071</v>
      </c>
      <c r="H91" s="109">
        <f t="shared" ca="1" si="45"/>
        <v>166965.12771403452</v>
      </c>
      <c r="I91" s="109">
        <f t="shared" ca="1" si="45"/>
        <v>154422.99796900677</v>
      </c>
      <c r="J91" s="109">
        <f t="shared" ca="1" si="45"/>
        <v>142860.22848114744</v>
      </c>
      <c r="K91" s="109">
        <f t="shared" ca="1" si="45"/>
        <v>140964.69249953114</v>
      </c>
      <c r="L91" s="109">
        <f t="shared" ca="1" si="45"/>
        <v>140933.10023317084</v>
      </c>
      <c r="M91" s="109">
        <f t="shared" ca="1" si="45"/>
        <v>140964.69249953114</v>
      </c>
      <c r="N91" s="109">
        <f t="shared" ca="1" si="45"/>
        <v>140933.10023317084</v>
      </c>
      <c r="O91" s="109">
        <f t="shared" ca="1" si="45"/>
        <v>140964.69249953114</v>
      </c>
      <c r="P91" s="109">
        <f t="shared" ca="1" si="45"/>
        <v>140933.10023317084</v>
      </c>
      <c r="Q91" s="109">
        <f t="shared" ca="1" si="45"/>
        <v>140964.69249953114</v>
      </c>
      <c r="R91" s="109">
        <f t="shared" ca="1" si="45"/>
        <v>140933.10023317084</v>
      </c>
      <c r="S91" s="109">
        <f t="shared" ca="1" si="45"/>
        <v>140964.69249953114</v>
      </c>
      <c r="T91" s="109">
        <f t="shared" ca="1" si="45"/>
        <v>140933.10023317084</v>
      </c>
      <c r="U91" s="109">
        <f t="shared" ca="1" si="45"/>
        <v>140964.69249953114</v>
      </c>
      <c r="V91" s="109">
        <f t="shared" ca="1" si="45"/>
        <v>140933.10023317084</v>
      </c>
      <c r="W91" s="110">
        <f t="shared" ca="1" si="45"/>
        <v>70482.346249765571</v>
      </c>
      <c r="X91" s="107">
        <f t="shared" ca="1" si="3"/>
        <v>3159226.6360271424</v>
      </c>
    </row>
    <row r="92" spans="1:24" ht="15" customHeight="1" thickBot="1" x14ac:dyDescent="0.3">
      <c r="A92" s="79" t="str">
        <f>IF('Cash Flow Analysis'!C108="","",'Cash Flow Analysis'!C108)</f>
        <v/>
      </c>
      <c r="B92" s="1088" t="str">
        <f>IF(A92="","",IF(A92&lt;1,0,IF(A92=1,$B$44-'Cash Flow Analysis'!I108,-'Cash Flow Analysis'!I108)))</f>
        <v/>
      </c>
      <c r="C92" s="111" t="str">
        <f t="shared" ref="C92:W92" si="46">IF($B$92="","",IF(AND($B$42="Straight Line",C48&lt;=depr_length),$B$92/depr_length,IF(AND($B$42="MACRS",C48&lt;=depr_length+1),$B$92*INDEX(MACRS_Table,MATCH(C48,recovery_year,0),MATCH($B$43,recovery_period,0)),"")))</f>
        <v/>
      </c>
      <c r="D92" s="112" t="str">
        <f t="shared" si="46"/>
        <v/>
      </c>
      <c r="E92" s="112" t="str">
        <f t="shared" si="46"/>
        <v/>
      </c>
      <c r="F92" s="112" t="str">
        <f t="shared" si="46"/>
        <v/>
      </c>
      <c r="G92" s="112" t="str">
        <f t="shared" si="46"/>
        <v/>
      </c>
      <c r="H92" s="112" t="str">
        <f t="shared" si="46"/>
        <v/>
      </c>
      <c r="I92" s="112" t="str">
        <f t="shared" si="46"/>
        <v/>
      </c>
      <c r="J92" s="112" t="str">
        <f t="shared" si="46"/>
        <v/>
      </c>
      <c r="K92" s="112" t="str">
        <f t="shared" si="46"/>
        <v/>
      </c>
      <c r="L92" s="112" t="str">
        <f t="shared" si="46"/>
        <v/>
      </c>
      <c r="M92" s="112" t="str">
        <f t="shared" si="46"/>
        <v/>
      </c>
      <c r="N92" s="112" t="str">
        <f t="shared" si="46"/>
        <v/>
      </c>
      <c r="O92" s="112" t="str">
        <f t="shared" si="46"/>
        <v/>
      </c>
      <c r="P92" s="112" t="str">
        <f t="shared" si="46"/>
        <v/>
      </c>
      <c r="Q92" s="112" t="str">
        <f t="shared" si="46"/>
        <v/>
      </c>
      <c r="R92" s="112" t="str">
        <f t="shared" si="46"/>
        <v/>
      </c>
      <c r="S92" s="112" t="str">
        <f t="shared" si="46"/>
        <v/>
      </c>
      <c r="T92" s="112" t="str">
        <f t="shared" si="46"/>
        <v/>
      </c>
      <c r="U92" s="112" t="str">
        <f t="shared" si="46"/>
        <v/>
      </c>
      <c r="V92" s="112" t="str">
        <f t="shared" si="46"/>
        <v/>
      </c>
      <c r="W92" s="97" t="str">
        <f t="shared" si="46"/>
        <v/>
      </c>
      <c r="X92" s="113">
        <f t="shared" si="3"/>
        <v>0</v>
      </c>
    </row>
    <row r="93" spans="1:24" s="39" customFormat="1" ht="15" customHeight="1" thickTop="1" x14ac:dyDescent="0.25">
      <c r="A93" s="45"/>
      <c r="B93" s="114"/>
      <c r="C93" s="114"/>
      <c r="D93" s="114"/>
      <c r="E93" s="114"/>
      <c r="F93" s="114"/>
      <c r="G93" s="114"/>
      <c r="H93" s="114"/>
      <c r="I93" s="114"/>
      <c r="J93" s="114"/>
      <c r="K93" s="114"/>
      <c r="L93" s="114"/>
      <c r="M93" s="114"/>
      <c r="N93" s="114"/>
      <c r="O93" s="114"/>
      <c r="P93" s="114"/>
      <c r="Q93" s="114"/>
      <c r="R93" s="114"/>
      <c r="S93" s="114"/>
      <c r="T93" s="114"/>
      <c r="U93" s="114"/>
      <c r="V93" s="114"/>
      <c r="W93" s="114"/>
      <c r="X93" s="114"/>
    </row>
    <row r="94" spans="1:24" ht="15" customHeight="1" thickBot="1" x14ac:dyDescent="0.3">
      <c r="B94" s="115"/>
      <c r="C94" s="115"/>
      <c r="D94" s="115"/>
      <c r="E94" s="115"/>
      <c r="F94" s="115"/>
      <c r="G94" s="115"/>
      <c r="H94" s="115"/>
      <c r="I94" s="115"/>
      <c r="J94" s="115"/>
      <c r="K94" s="115"/>
      <c r="L94" s="115"/>
      <c r="M94" s="115"/>
      <c r="N94" s="115"/>
      <c r="O94" s="115"/>
      <c r="P94" s="115"/>
      <c r="Q94" s="115"/>
      <c r="R94" s="115"/>
      <c r="S94" s="115"/>
      <c r="T94" s="115"/>
      <c r="U94" s="115"/>
      <c r="V94" s="115"/>
      <c r="W94" s="115"/>
      <c r="X94" s="115"/>
    </row>
    <row r="95" spans="1:24" ht="30.75" customHeight="1" thickTop="1" thickBot="1" x14ac:dyDescent="0.4">
      <c r="A95" s="98" t="s">
        <v>59</v>
      </c>
      <c r="B95" s="64"/>
      <c r="C95" s="65"/>
    </row>
    <row r="96" spans="1:24" ht="31.15" customHeight="1" thickTop="1" x14ac:dyDescent="0.3">
      <c r="A96" s="116" t="s">
        <v>56</v>
      </c>
      <c r="B96" s="117" t="s">
        <v>60</v>
      </c>
      <c r="C96" s="118" t="s">
        <v>61</v>
      </c>
    </row>
    <row r="97" spans="1:3" ht="15" customHeight="1" x14ac:dyDescent="0.25">
      <c r="A97" s="94">
        <f>IF('Cash Flow Analysis'!C65="","",'Cash Flow Analysis'!C65)</f>
        <v>-3</v>
      </c>
      <c r="B97" s="109">
        <f>C49</f>
        <v>0</v>
      </c>
      <c r="C97" s="119">
        <f t="shared" ref="C97:C140" si="47">IF(A97="",B97,0)</f>
        <v>0</v>
      </c>
    </row>
    <row r="98" spans="1:3" ht="15" customHeight="1" x14ac:dyDescent="0.25">
      <c r="A98" s="94">
        <f>IF('Cash Flow Analysis'!C66="","",'Cash Flow Analysis'!C66)</f>
        <v>-2</v>
      </c>
      <c r="B98" s="109">
        <f>SUM(D49,C50)</f>
        <v>0</v>
      </c>
      <c r="C98" s="119">
        <f t="shared" si="47"/>
        <v>0</v>
      </c>
    </row>
    <row r="99" spans="1:3" ht="15" customHeight="1" x14ac:dyDescent="0.25">
      <c r="A99" s="94">
        <f>IF('Cash Flow Analysis'!C67="","",'Cash Flow Analysis'!C67)</f>
        <v>-1</v>
      </c>
      <c r="B99" s="109">
        <f>SUM(E49,D50,C51)</f>
        <v>0</v>
      </c>
      <c r="C99" s="119">
        <f t="shared" si="47"/>
        <v>0</v>
      </c>
    </row>
    <row r="100" spans="1:3" ht="15" customHeight="1" x14ac:dyDescent="0.25">
      <c r="A100" s="94">
        <f>IF('Cash Flow Analysis'!C68="","",'Cash Flow Analysis'!C68)</f>
        <v>1</v>
      </c>
      <c r="B100" s="109">
        <f ca="1">SUM(F49,E50,D51,C52)</f>
        <v>10906613.885611122</v>
      </c>
      <c r="C100" s="119">
        <f t="shared" si="47"/>
        <v>0</v>
      </c>
    </row>
    <row r="101" spans="1:3" ht="15" customHeight="1" x14ac:dyDescent="0.25">
      <c r="A101" s="94">
        <f>IF('Cash Flow Analysis'!C69="","",'Cash Flow Analysis'!C69)</f>
        <v>2</v>
      </c>
      <c r="B101" s="109">
        <f ca="1">SUM(G49,F50,E51,D52,C53)</f>
        <v>21053900.780832745</v>
      </c>
      <c r="C101" s="119">
        <f t="shared" si="47"/>
        <v>0</v>
      </c>
    </row>
    <row r="102" spans="1:3" ht="15" customHeight="1" x14ac:dyDescent="0.25">
      <c r="A102" s="94">
        <f>IF('Cash Flow Analysis'!C70="","",'Cash Flow Analysis'!C70)</f>
        <v>3</v>
      </c>
      <c r="B102" s="109">
        <f ca="1">SUM(H49,G50,F51,E52,D53,C54)</f>
        <v>19590174.521407306</v>
      </c>
      <c r="C102" s="119">
        <f t="shared" si="47"/>
        <v>0</v>
      </c>
    </row>
    <row r="103" spans="1:3" ht="15" customHeight="1" x14ac:dyDescent="0.25">
      <c r="A103" s="94">
        <f>IF('Cash Flow Analysis'!C71="","",'Cash Flow Analysis'!C71)</f>
        <v>4</v>
      </c>
      <c r="B103" s="109">
        <f ca="1">SUM(I49,H50,G51,F52,E53,D54,C55)</f>
        <v>18242368.01229167</v>
      </c>
      <c r="C103" s="119">
        <f t="shared" si="47"/>
        <v>0</v>
      </c>
    </row>
    <row r="104" spans="1:3" ht="15" customHeight="1" x14ac:dyDescent="0.25">
      <c r="A104" s="94">
        <f>IF('Cash Flow Analysis'!C72="","",'Cash Flow Analysis'!C72)</f>
        <v>5</v>
      </c>
      <c r="B104" s="109">
        <f ca="1">SUM(J49,I50,H51,G52,F53,E54,D55,C56)</f>
        <v>16993561.168856382</v>
      </c>
      <c r="C104" s="119">
        <f t="shared" si="47"/>
        <v>0</v>
      </c>
    </row>
    <row r="105" spans="1:3" ht="15" customHeight="1" x14ac:dyDescent="0.25">
      <c r="A105" s="94">
        <f>IF('Cash Flow Analysis'!C73="","",'Cash Flow Analysis'!C73)</f>
        <v>6</v>
      </c>
      <c r="B105" s="109">
        <f ca="1">SUM(K49,J50,I51,H52,G53,F54,E55,D56,C57)</f>
        <v>15844201.861033663</v>
      </c>
      <c r="C105" s="119">
        <f t="shared" si="47"/>
        <v>0</v>
      </c>
    </row>
    <row r="106" spans="1:3" ht="15" customHeight="1" x14ac:dyDescent="0.25">
      <c r="A106" s="94">
        <f>IF('Cash Flow Analysis'!C74="","",'Cash Flow Analysis'!C74)</f>
        <v>7</v>
      </c>
      <c r="B106" s="109">
        <f ca="1">SUM(L49,K50,J51,I52,H53,G54,F55,E56,D57,C58)</f>
        <v>14780204.316436937</v>
      </c>
      <c r="C106" s="119">
        <f t="shared" si="47"/>
        <v>0</v>
      </c>
    </row>
    <row r="107" spans="1:3" ht="15" customHeight="1" x14ac:dyDescent="0.25">
      <c r="A107" s="94">
        <f>IF('Cash Flow Analysis'!C75="","",'Cash Flow Analysis'!C75)</f>
        <v>8</v>
      </c>
      <c r="B107" s="109">
        <f ca="1">SUM(M49,L50,K51,J52,I53,H54,G55,F56,E57,D58,C59)</f>
        <v>13801956.329812299</v>
      </c>
      <c r="C107" s="119">
        <f t="shared" si="47"/>
        <v>0</v>
      </c>
    </row>
    <row r="108" spans="1:3" ht="15" customHeight="1" x14ac:dyDescent="0.25">
      <c r="A108" s="94">
        <f>IF('Cash Flow Analysis'!C76="","",'Cash Flow Analysis'!C76)</f>
        <v>9</v>
      </c>
      <c r="B108" s="109">
        <f ca="1">SUM(N49,M50,L51,K52,J53,I54,H55,G56,F57,E58,D59,C60)</f>
        <v>13709671.415617496</v>
      </c>
      <c r="C108" s="119">
        <f t="shared" si="47"/>
        <v>0</v>
      </c>
    </row>
    <row r="109" spans="1:3" ht="15" customHeight="1" x14ac:dyDescent="0.25">
      <c r="A109" s="94">
        <f>IF('Cash Flow Analysis'!C77="","",'Cash Flow Analysis'!C77)</f>
        <v>10</v>
      </c>
      <c r="B109" s="109">
        <f ca="1">SUM(O49,N50,M51,L52,K53,J54,I55,H56,G57,F58,E59,D60,C61)</f>
        <v>13789619.019379474</v>
      </c>
      <c r="C109" s="119">
        <f t="shared" si="47"/>
        <v>0</v>
      </c>
    </row>
    <row r="110" spans="1:3" ht="15" customHeight="1" x14ac:dyDescent="0.25">
      <c r="A110" s="94">
        <f>IF('Cash Flow Analysis'!C78="","",'Cash Flow Analysis'!C78)</f>
        <v>11</v>
      </c>
      <c r="B110" s="109">
        <f ca="1">SUM(P49,O50,N51,M52,L53,K54,J55,I56,H57,G58,F59,E60,D61,C62)</f>
        <v>13876942.297344029</v>
      </c>
      <c r="C110" s="119">
        <f t="shared" si="47"/>
        <v>0</v>
      </c>
    </row>
    <row r="111" spans="1:3" ht="15" customHeight="1" x14ac:dyDescent="0.25">
      <c r="A111" s="94">
        <f>IF('Cash Flow Analysis'!C79="","",'Cash Flow Analysis'!C79)</f>
        <v>12</v>
      </c>
      <c r="B111" s="109">
        <f ca="1">SUM(Q49,P50,O51,N52,M53,L54,K55,J56,I57,H58,G59,F60,E61,D62,C63)</f>
        <v>13960068.047858812</v>
      </c>
      <c r="C111" s="119">
        <f t="shared" si="47"/>
        <v>0</v>
      </c>
    </row>
    <row r="112" spans="1:3" ht="15" customHeight="1" x14ac:dyDescent="0.25">
      <c r="A112" s="94">
        <f>IF('Cash Flow Analysis'!C80="","",'Cash Flow Analysis'!C80)</f>
        <v>13</v>
      </c>
      <c r="B112" s="109">
        <f ca="1">SUM(R49,Q50,P51,O52,N53,M54,L55,K56,J57,I58,H59,G60,F61,E62,D63,C64)</f>
        <v>14050629.857364472</v>
      </c>
      <c r="C112" s="119">
        <f t="shared" si="47"/>
        <v>0</v>
      </c>
    </row>
    <row r="113" spans="1:3" ht="15" customHeight="1" x14ac:dyDescent="0.25">
      <c r="A113" s="94">
        <f>IF('Cash Flow Analysis'!C81="","",'Cash Flow Analysis'!C81)</f>
        <v>14</v>
      </c>
      <c r="B113" s="109">
        <f ca="1">SUM(S49,R50,Q51,P52,O53,N54,M55,L56,K57,J58,I59,H60,G61,F62,E63,D64,C65)</f>
        <v>14137055.671519641</v>
      </c>
      <c r="C113" s="119">
        <f t="shared" si="47"/>
        <v>0</v>
      </c>
    </row>
    <row r="114" spans="1:3" ht="15" customHeight="1" x14ac:dyDescent="0.25">
      <c r="A114" s="94">
        <f>IF('Cash Flow Analysis'!C82="","",'Cash Flow Analysis'!C82)</f>
        <v>15</v>
      </c>
      <c r="B114" s="109">
        <f ca="1">SUM(T49,S50,R51,Q52,P53,O54,N55,M56,L57,K58,J59,I60,H61,G62,F63,E64,D65,C66)</f>
        <v>14230980.245874861</v>
      </c>
      <c r="C114" s="119">
        <f t="shared" si="47"/>
        <v>0</v>
      </c>
    </row>
    <row r="115" spans="1:3" ht="15" customHeight="1" x14ac:dyDescent="0.25">
      <c r="A115" s="94">
        <f>IF('Cash Flow Analysis'!C83="","",'Cash Flow Analysis'!C83)</f>
        <v>16</v>
      </c>
      <c r="B115" s="109">
        <f ca="1">SUM(U49,T50,S51,R52,Q53,P54,O55,N56,M57,L58,K59,J60,I61,H62,G63,F64,E65,D66,C67)</f>
        <v>14320832.71741173</v>
      </c>
      <c r="C115" s="119">
        <f t="shared" si="47"/>
        <v>0</v>
      </c>
    </row>
    <row r="116" spans="1:3" ht="15" customHeight="1" x14ac:dyDescent="0.25">
      <c r="A116" s="94">
        <f>IF('Cash Flow Analysis'!C84="","",'Cash Flow Analysis'!C84)</f>
        <v>17</v>
      </c>
      <c r="B116" s="109">
        <f ca="1">SUM(V49,U50,T51,S52,R53,Q54,P55,O56,N57,M58,L59,K60,J61,I62,H63,G64,F65,E66,D67,C68)</f>
        <v>14418249.055638898</v>
      </c>
      <c r="C116" s="119">
        <f t="shared" si="47"/>
        <v>0</v>
      </c>
    </row>
    <row r="117" spans="1:3" ht="15" customHeight="1" x14ac:dyDescent="0.25">
      <c r="A117" s="94">
        <f>IF('Cash Flow Analysis'!C85="","",'Cash Flow Analysis'!C85)</f>
        <v>18</v>
      </c>
      <c r="B117" s="109">
        <f t="shared" ref="B117:B140" ca="1" si="48">SUM(W49,V50,U51,T52,S53,R54,Q55,P56,O57,N58,M59,L60,K61,J62,I63,H64,G65,F66,E67,D68,C69)</f>
        <v>14511659.63456128</v>
      </c>
      <c r="C117" s="119">
        <f t="shared" si="47"/>
        <v>0</v>
      </c>
    </row>
    <row r="118" spans="1:3" ht="15" customHeight="1" x14ac:dyDescent="0.25">
      <c r="A118" s="94">
        <f>IF('Cash Flow Analysis'!C86="","",'Cash Flow Analysis'!C86)</f>
        <v>19</v>
      </c>
      <c r="B118" s="109">
        <f t="shared" ca="1" si="48"/>
        <v>14612701.684214287</v>
      </c>
      <c r="C118" s="119">
        <f t="shared" si="47"/>
        <v>0</v>
      </c>
    </row>
    <row r="119" spans="1:3" ht="15" customHeight="1" x14ac:dyDescent="0.25">
      <c r="A119" s="94">
        <f>IF('Cash Flow Analysis'!C87="","",'Cash Flow Analysis'!C87)</f>
        <v>20</v>
      </c>
      <c r="B119" s="109">
        <f t="shared" ca="1" si="48"/>
        <v>14709806.863079607</v>
      </c>
      <c r="C119" s="119">
        <f t="shared" si="47"/>
        <v>0</v>
      </c>
    </row>
    <row r="120" spans="1:3" ht="15" customHeight="1" x14ac:dyDescent="0.25">
      <c r="A120" s="94">
        <f>IF('Cash Flow Analysis'!C88="","",'Cash Flow Analysis'!C88)</f>
        <v>21</v>
      </c>
      <c r="B120" s="109">
        <f t="shared" ca="1" si="48"/>
        <v>8325905.5557282185</v>
      </c>
      <c r="C120" s="119">
        <f t="shared" si="47"/>
        <v>0</v>
      </c>
    </row>
    <row r="121" spans="1:3" ht="15" customHeight="1" x14ac:dyDescent="0.25">
      <c r="A121" s="94">
        <f>IF('Cash Flow Analysis'!C89="","",'Cash Flow Analysis'!C89)</f>
        <v>22</v>
      </c>
      <c r="B121" s="109">
        <f t="shared" ca="1" si="48"/>
        <v>1906575.7455581799</v>
      </c>
      <c r="C121" s="119">
        <f t="shared" si="47"/>
        <v>0</v>
      </c>
    </row>
    <row r="122" spans="1:3" ht="15" customHeight="1" x14ac:dyDescent="0.25">
      <c r="A122" s="94">
        <f>IF('Cash Flow Analysis'!C90="","",'Cash Flow Analysis'!C90)</f>
        <v>23</v>
      </c>
      <c r="B122" s="109">
        <f t="shared" ca="1" si="48"/>
        <v>1942800.6847237854</v>
      </c>
      <c r="C122" s="119">
        <f t="shared" si="47"/>
        <v>0</v>
      </c>
    </row>
    <row r="123" spans="1:3" ht="15" customHeight="1" x14ac:dyDescent="0.25">
      <c r="A123" s="94">
        <f>IF('Cash Flow Analysis'!C91="","",'Cash Flow Analysis'!C91)</f>
        <v>24</v>
      </c>
      <c r="B123" s="109">
        <f t="shared" ca="1" si="48"/>
        <v>1979713.8977335372</v>
      </c>
      <c r="C123" s="119">
        <f t="shared" si="47"/>
        <v>0</v>
      </c>
    </row>
    <row r="124" spans="1:3" ht="15" customHeight="1" x14ac:dyDescent="0.25">
      <c r="A124" s="94">
        <f>IF('Cash Flow Analysis'!C92="","",'Cash Flow Analysis'!C92)</f>
        <v>25</v>
      </c>
      <c r="B124" s="109">
        <f t="shared" ca="1" si="48"/>
        <v>2017328.4617904744</v>
      </c>
      <c r="C124" s="119">
        <f t="shared" si="47"/>
        <v>0</v>
      </c>
    </row>
    <row r="125" spans="1:3" ht="15" customHeight="1" x14ac:dyDescent="0.25">
      <c r="A125" s="94">
        <f>IF('Cash Flow Analysis'!C93="","",'Cash Flow Analysis'!C93)</f>
        <v>26</v>
      </c>
      <c r="B125" s="109">
        <f t="shared" ca="1" si="48"/>
        <v>2055657.7025644935</v>
      </c>
      <c r="C125" s="119">
        <f t="shared" si="47"/>
        <v>0</v>
      </c>
    </row>
    <row r="126" spans="1:3" ht="15" customHeight="1" x14ac:dyDescent="0.25">
      <c r="A126" s="94">
        <f>IF('Cash Flow Analysis'!C94="","",'Cash Flow Analysis'!C94)</f>
        <v>27</v>
      </c>
      <c r="B126" s="109">
        <f t="shared" ca="1" si="48"/>
        <v>2094715.1989132185</v>
      </c>
      <c r="C126" s="119">
        <f t="shared" si="47"/>
        <v>0</v>
      </c>
    </row>
    <row r="127" spans="1:3" ht="15" customHeight="1" x14ac:dyDescent="0.25">
      <c r="A127" s="94">
        <f>IF('Cash Flow Analysis'!C95="","",'Cash Flow Analysis'!C95)</f>
        <v>28</v>
      </c>
      <c r="B127" s="109">
        <f t="shared" ca="1" si="48"/>
        <v>2134514.7876925697</v>
      </c>
      <c r="C127" s="119">
        <f t="shared" si="47"/>
        <v>0</v>
      </c>
    </row>
    <row r="128" spans="1:3" ht="15" customHeight="1" x14ac:dyDescent="0.25">
      <c r="A128" s="94">
        <f>IF('Cash Flow Analysis'!C96="","",'Cash Flow Analysis'!C96)</f>
        <v>29</v>
      </c>
      <c r="B128" s="109">
        <f t="shared" ca="1" si="48"/>
        <v>2175070.5686587286</v>
      </c>
      <c r="C128" s="119">
        <f t="shared" si="47"/>
        <v>0</v>
      </c>
    </row>
    <row r="129" spans="1:3" ht="15" customHeight="1" x14ac:dyDescent="0.25">
      <c r="A129" s="94">
        <f>IF('Cash Flow Analysis'!C97="","",'Cash Flow Analysis'!C97)</f>
        <v>30</v>
      </c>
      <c r="B129" s="109">
        <f t="shared" ca="1" si="48"/>
        <v>2216396.909463244</v>
      </c>
      <c r="C129" s="119">
        <f t="shared" si="47"/>
        <v>0</v>
      </c>
    </row>
    <row r="130" spans="1:3" ht="15" customHeight="1" x14ac:dyDescent="0.25">
      <c r="A130" s="94">
        <f>IF('Cash Flow Analysis'!C98="","",'Cash Flow Analysis'!C98)</f>
        <v>31</v>
      </c>
      <c r="B130" s="109">
        <f t="shared" ca="1" si="48"/>
        <v>2258508.4507430457</v>
      </c>
      <c r="C130" s="119">
        <f t="shared" si="47"/>
        <v>0</v>
      </c>
    </row>
    <row r="131" spans="1:3" ht="15" customHeight="1" x14ac:dyDescent="0.25">
      <c r="A131" s="94">
        <f>IF('Cash Flow Analysis'!C99="","",'Cash Flow Analysis'!C99)</f>
        <v>32</v>
      </c>
      <c r="B131" s="109">
        <f t="shared" ca="1" si="48"/>
        <v>2301420.1113071637</v>
      </c>
      <c r="C131" s="119">
        <f t="shared" si="47"/>
        <v>0</v>
      </c>
    </row>
    <row r="132" spans="1:3" ht="15" customHeight="1" x14ac:dyDescent="0.25">
      <c r="A132" s="94">
        <f>IF('Cash Flow Analysis'!C100="","",'Cash Flow Analysis'!C100)</f>
        <v>33</v>
      </c>
      <c r="B132" s="109">
        <f t="shared" ca="1" si="48"/>
        <v>2345147.0934219998</v>
      </c>
      <c r="C132" s="119">
        <f t="shared" si="47"/>
        <v>0</v>
      </c>
    </row>
    <row r="133" spans="1:3" ht="15" customHeight="1" x14ac:dyDescent="0.25">
      <c r="A133" s="94">
        <f>IF('Cash Flow Analysis'!C101="","",'Cash Flow Analysis'!C101)</f>
        <v>34</v>
      </c>
      <c r="B133" s="109">
        <f t="shared" ca="1" si="48"/>
        <v>2389704.8881970174</v>
      </c>
      <c r="C133" s="119">
        <f t="shared" si="47"/>
        <v>0</v>
      </c>
    </row>
    <row r="134" spans="1:3" ht="15" customHeight="1" x14ac:dyDescent="0.25">
      <c r="A134" s="94">
        <f>IF('Cash Flow Analysis'!C102="","",'Cash Flow Analysis'!C102)</f>
        <v>35</v>
      </c>
      <c r="B134" s="109">
        <f t="shared" ca="1" si="48"/>
        <v>2435109.2810727605</v>
      </c>
      <c r="C134" s="119">
        <f t="shared" si="47"/>
        <v>0</v>
      </c>
    </row>
    <row r="135" spans="1:3" ht="15" customHeight="1" x14ac:dyDescent="0.25">
      <c r="A135" s="94">
        <f>IF('Cash Flow Analysis'!C103="","",'Cash Flow Analysis'!C103)</f>
        <v>36</v>
      </c>
      <c r="B135" s="109">
        <f t="shared" ca="1" si="48"/>
        <v>2481376.3574131429</v>
      </c>
      <c r="C135" s="119">
        <f t="shared" si="47"/>
        <v>0</v>
      </c>
    </row>
    <row r="136" spans="1:3" ht="15" customHeight="1" x14ac:dyDescent="0.25">
      <c r="A136" s="94">
        <f>IF('Cash Flow Analysis'!C104="","",'Cash Flow Analysis'!C104)</f>
        <v>37</v>
      </c>
      <c r="B136" s="109">
        <f t="shared" ca="1" si="48"/>
        <v>2528522.5082039922</v>
      </c>
      <c r="C136" s="119">
        <f t="shared" si="47"/>
        <v>0</v>
      </c>
    </row>
    <row r="137" spans="1:3" ht="15" customHeight="1" x14ac:dyDescent="0.25">
      <c r="A137" s="94">
        <f>IF('Cash Flow Analysis'!C105="","",'Cash Flow Analysis'!C105)</f>
        <v>38</v>
      </c>
      <c r="B137" s="109">
        <f t="shared" ca="1" si="48"/>
        <v>2576564.4358598678</v>
      </c>
      <c r="C137" s="119">
        <f t="shared" si="47"/>
        <v>0</v>
      </c>
    </row>
    <row r="138" spans="1:3" ht="15" customHeight="1" x14ac:dyDescent="0.25">
      <c r="A138" s="94">
        <f>IF('Cash Flow Analysis'!C106="","",'Cash Flow Analysis'!C106)</f>
        <v>39</v>
      </c>
      <c r="B138" s="109">
        <f t="shared" ca="1" si="48"/>
        <v>2625519.1601412063</v>
      </c>
      <c r="C138" s="119">
        <f t="shared" si="47"/>
        <v>0</v>
      </c>
    </row>
    <row r="139" spans="1:3" ht="15" customHeight="1" x14ac:dyDescent="0.25">
      <c r="A139" s="94">
        <f>IF('Cash Flow Analysis'!C107="","",'Cash Flow Analysis'!C107)</f>
        <v>40</v>
      </c>
      <c r="B139" s="109">
        <f t="shared" ca="1" si="48"/>
        <v>2675404.0241838885</v>
      </c>
      <c r="C139" s="119">
        <f t="shared" si="47"/>
        <v>0</v>
      </c>
    </row>
    <row r="140" spans="1:3" ht="15" customHeight="1" thickBot="1" x14ac:dyDescent="0.3">
      <c r="A140" s="120" t="str">
        <f>IF('Cash Flow Analysis'!C108="","",'Cash Flow Analysis'!C108)</f>
        <v/>
      </c>
      <c r="B140" s="121">
        <f t="shared" ca="1" si="48"/>
        <v>2605514.7528141951</v>
      </c>
      <c r="C140" s="122">
        <f t="shared" ca="1" si="47"/>
        <v>2605514.7528141951</v>
      </c>
    </row>
    <row r="141" spans="1:3" ht="15" customHeight="1" thickTop="1" thickBot="1" x14ac:dyDescent="0.35">
      <c r="A141" s="123" t="s">
        <v>62</v>
      </c>
      <c r="B141" s="124">
        <f ca="1">SUM(B97:B140)</f>
        <v>355612667.96233124</v>
      </c>
      <c r="C141" s="125">
        <f ca="1">SUM(C97:C140)</f>
        <v>2605514.7528141951</v>
      </c>
    </row>
    <row r="142" spans="1:3" ht="15" customHeight="1" thickTop="1" x14ac:dyDescent="0.3">
      <c r="A142" s="126"/>
      <c r="B142" s="127"/>
      <c r="C142" s="128"/>
    </row>
    <row r="143" spans="1:3" ht="15" customHeight="1" thickBot="1" x14ac:dyDescent="0.3">
      <c r="A143" s="38" t="str">
        <f>IF('Cash Flow Analysis'!C109="","",'Cash Flow Analysis'!C109)</f>
        <v/>
      </c>
      <c r="B143" s="115"/>
    </row>
    <row r="144" spans="1:3" ht="31.5" customHeight="1" thickTop="1" x14ac:dyDescent="0.35">
      <c r="A144" s="1695" t="s">
        <v>63</v>
      </c>
      <c r="B144" s="1696"/>
    </row>
    <row r="145" spans="1:2" ht="16.5" customHeight="1" thickBot="1" x14ac:dyDescent="0.35">
      <c r="A145" s="129" t="s">
        <v>64</v>
      </c>
      <c r="B145" s="130" t="s">
        <v>60</v>
      </c>
    </row>
    <row r="146" spans="1:2" ht="15" customHeight="1" thickTop="1" x14ac:dyDescent="0.25">
      <c r="A146" s="131">
        <v>1</v>
      </c>
      <c r="B146" s="105">
        <f ca="1">SUM(D92,E91,F90,G89,H88,I87,J86,K85,L84,M83,N82,O81,P80,Q79,R78,S77,T76,U75,V74,W73)</f>
        <v>2422621.7354166242</v>
      </c>
    </row>
    <row r="147" spans="1:2" ht="15" customHeight="1" x14ac:dyDescent="0.25">
      <c r="A147" s="94">
        <v>2</v>
      </c>
      <c r="B147" s="110">
        <f ca="1">SUM(E92,F91,G90,H89,I88,J87,K86,L85,M84,N83,O82,P81,Q80,R79,S78,T77,U76,V75,W74)</f>
        <v>2253702.0962147443</v>
      </c>
    </row>
    <row r="148" spans="1:2" ht="15" customHeight="1" x14ac:dyDescent="0.25">
      <c r="A148" s="94">
        <v>3</v>
      </c>
      <c r="B148" s="110">
        <f ca="1">SUM(F92,G91,H90,I89,J88,K87,L86,M85,N84,O83,P82,Q81,R80,S79,T78,U77,V76,W75)</f>
        <v>2097669.2435785877</v>
      </c>
    </row>
    <row r="149" spans="1:2" ht="15" customHeight="1" x14ac:dyDescent="0.25">
      <c r="A149" s="94">
        <v>4</v>
      </c>
      <c r="B149" s="110">
        <f ca="1">SUM(G92,H91,I90,J89,K88,L87,M86,N85,O84,P83,Q82,R81,S80,T79,U78,V77,W76)</f>
        <v>1953609.0957537412</v>
      </c>
    </row>
    <row r="150" spans="1:2" ht="15" customHeight="1" x14ac:dyDescent="0.25">
      <c r="A150" s="94">
        <v>5</v>
      </c>
      <c r="B150" s="110">
        <f ca="1">SUM(H92,I91,J90,K89,L88,M87,N86,O85,P84,Q83,R82,S81,T80,U79,V78,W77)</f>
        <v>1820590.2034324617</v>
      </c>
    </row>
    <row r="151" spans="1:2" ht="15" customHeight="1" x14ac:dyDescent="0.25">
      <c r="A151" s="94">
        <v>6</v>
      </c>
      <c r="B151" s="110">
        <f ca="1">SUM(I92,J91,K90,L89,M88,N87,O86,P85,Q84,R83,S82,T81,U80,V79,W78)</f>
        <v>1697824.3823672598</v>
      </c>
    </row>
    <row r="152" spans="1:2" ht="15" customHeight="1" x14ac:dyDescent="0.25">
      <c r="A152" s="94">
        <v>7</v>
      </c>
      <c r="B152" s="110">
        <f ca="1">SUM(J92,K91,L90,M89,N88,O87,P86,Q85,R84,S83,T82,U81,V80,W79)</f>
        <v>1584508.472809949</v>
      </c>
    </row>
    <row r="153" spans="1:2" ht="15" customHeight="1" x14ac:dyDescent="0.25">
      <c r="A153" s="94">
        <v>8</v>
      </c>
      <c r="B153" s="110">
        <f ca="1">SUM(K92,L91,M90,N89,O88,P87,Q86,R85,S84,T83,U82,V81,W80)</f>
        <v>1470971.1121363153</v>
      </c>
    </row>
    <row r="154" spans="1:2" ht="15" customHeight="1" x14ac:dyDescent="0.25">
      <c r="A154" s="94">
        <v>9</v>
      </c>
      <c r="B154" s="110">
        <f ca="1">SUM(L92,M91,N90,O89,P88,Q87,R86,S85,T84,U83,V82,W81)</f>
        <v>1355308.7341293045</v>
      </c>
    </row>
    <row r="155" spans="1:2" ht="15" customHeight="1" x14ac:dyDescent="0.25">
      <c r="A155" s="94">
        <v>10</v>
      </c>
      <c r="B155" s="110">
        <f ca="1">SUM(M92,N91,O90,P89,Q88,R87,S86,T85,U84,V83,W82)</f>
        <v>1237416.5784207387</v>
      </c>
    </row>
    <row r="156" spans="1:2" ht="15" customHeight="1" x14ac:dyDescent="0.25">
      <c r="A156" s="94">
        <v>11</v>
      </c>
      <c r="B156" s="110">
        <f ca="1">SUM(N92,O91,P90,Q89,R88,S87,T86,U85,V84,W83)</f>
        <v>1117316.6642731319</v>
      </c>
    </row>
    <row r="157" spans="1:2" ht="15" customHeight="1" x14ac:dyDescent="0.25">
      <c r="A157" s="94">
        <v>12</v>
      </c>
      <c r="B157" s="110">
        <f ca="1">SUM(O92,P91,Q90,R89,S88,T87,U86,V85,W84)</f>
        <v>994902.659237299</v>
      </c>
    </row>
    <row r="158" spans="1:2" ht="15" customHeight="1" x14ac:dyDescent="0.25">
      <c r="A158" s="94">
        <v>13</v>
      </c>
      <c r="B158" s="110">
        <f ca="1">SUM(P92,Q91,R90,S89,T88,U87,V86,W85)</f>
        <v>870194.9806252066</v>
      </c>
    </row>
    <row r="159" spans="1:2" ht="15" customHeight="1" x14ac:dyDescent="0.25">
      <c r="A159" s="94">
        <v>14</v>
      </c>
      <c r="B159" s="110">
        <f ca="1">SUM(Q92,R91,S90,T89,U88,V87,W86)</f>
        <v>743085.6636000633</v>
      </c>
    </row>
    <row r="160" spans="1:2" ht="15" customHeight="1" x14ac:dyDescent="0.25">
      <c r="A160" s="94">
        <v>15</v>
      </c>
      <c r="B160" s="110">
        <f ca="1">SUM(R92,S91,T90,U89,V88,W87)</f>
        <v>613593.46207086346</v>
      </c>
    </row>
    <row r="161" spans="1:2" ht="15" customHeight="1" x14ac:dyDescent="0.25">
      <c r="A161" s="94">
        <v>16</v>
      </c>
      <c r="B161" s="110">
        <f ca="1">SUM(S92,T91,U90,V89,W88)</f>
        <v>481608.71619318757</v>
      </c>
    </row>
    <row r="162" spans="1:2" ht="15" customHeight="1" x14ac:dyDescent="0.25">
      <c r="A162" s="94">
        <v>17</v>
      </c>
      <c r="B162" s="110">
        <f ca="1">SUM(T92,U91,V90,W89)</f>
        <v>347148.45266325708</v>
      </c>
    </row>
    <row r="163" spans="1:2" ht="15" customHeight="1" x14ac:dyDescent="0.25">
      <c r="A163" s="94">
        <v>18</v>
      </c>
      <c r="B163" s="110">
        <f ca="1">SUM(U92,V91,W90)</f>
        <v>210101.25160683674</v>
      </c>
    </row>
    <row r="164" spans="1:2" ht="15" customHeight="1" x14ac:dyDescent="0.25">
      <c r="A164" s="94">
        <v>19</v>
      </c>
      <c r="B164" s="110">
        <f ca="1">SUM(V92,W91)</f>
        <v>70482.346249765571</v>
      </c>
    </row>
    <row r="165" spans="1:2" ht="15" customHeight="1" thickBot="1" x14ac:dyDescent="0.3">
      <c r="A165" s="96">
        <v>20</v>
      </c>
      <c r="B165" s="97">
        <f>SUM(W92)</f>
        <v>0</v>
      </c>
    </row>
    <row r="166" spans="1:2" ht="14" thickTop="1" thickBot="1" x14ac:dyDescent="0.35">
      <c r="A166" s="123" t="s">
        <v>62</v>
      </c>
      <c r="B166" s="132">
        <f ca="1">SUM(B146:B165)</f>
        <v>23342655.85077934</v>
      </c>
    </row>
    <row r="167" spans="1:2" ht="13"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2.5" x14ac:dyDescent="0.25"/>
  <cols>
    <col min="1" max="1" width="33" customWidth="1"/>
    <col min="2" max="2" width="10" customWidth="1"/>
    <col min="3" max="3" width="14" customWidth="1"/>
    <col min="4" max="4" width="11.1796875" customWidth="1"/>
    <col min="5" max="5" width="60.81640625" customWidth="1"/>
    <col min="7" max="8" width="14" customWidth="1"/>
    <col min="11" max="11" width="14.1796875" customWidth="1"/>
    <col min="12" max="12" width="18.26953125" customWidth="1"/>
    <col min="15" max="15" width="12.453125" bestFit="1" customWidth="1"/>
    <col min="16" max="16" width="14.26953125" customWidth="1"/>
  </cols>
  <sheetData>
    <row r="1" spans="1:5" s="2" customFormat="1" ht="14" x14ac:dyDescent="0.3">
      <c r="A1" s="2" t="s">
        <v>284</v>
      </c>
      <c r="B1" s="2" t="s">
        <v>285</v>
      </c>
      <c r="C1" s="2" t="s">
        <v>286</v>
      </c>
    </row>
    <row r="2" spans="1:5" ht="14" x14ac:dyDescent="0.3">
      <c r="A2" s="2" t="s">
        <v>287</v>
      </c>
    </row>
    <row r="3" spans="1:5" x14ac:dyDescent="0.25">
      <c r="A3" t="s">
        <v>288</v>
      </c>
      <c r="B3" t="s">
        <v>289</v>
      </c>
      <c r="C3">
        <v>1.6093</v>
      </c>
      <c r="D3" t="s">
        <v>642</v>
      </c>
    </row>
    <row r="4" spans="1:5" x14ac:dyDescent="0.25">
      <c r="A4" t="s">
        <v>290</v>
      </c>
      <c r="B4" t="s">
        <v>291</v>
      </c>
      <c r="C4">
        <v>3.7850000000000001</v>
      </c>
      <c r="D4" t="s">
        <v>643</v>
      </c>
    </row>
    <row r="5" spans="1:5" x14ac:dyDescent="0.25">
      <c r="A5" t="s">
        <v>292</v>
      </c>
      <c r="B5" t="s">
        <v>293</v>
      </c>
      <c r="C5">
        <v>1.8263969224024776E-2</v>
      </c>
      <c r="D5" t="s">
        <v>644</v>
      </c>
    </row>
    <row r="6" spans="1:5" x14ac:dyDescent="0.25">
      <c r="A6" t="s">
        <v>850</v>
      </c>
      <c r="B6" t="s">
        <v>1008</v>
      </c>
      <c r="C6">
        <v>2.6852999999999998E-2</v>
      </c>
      <c r="D6" t="s">
        <v>645</v>
      </c>
      <c r="E6" t="s">
        <v>709</v>
      </c>
    </row>
    <row r="7" spans="1:5" x14ac:dyDescent="0.25">
      <c r="A7" t="s">
        <v>858</v>
      </c>
      <c r="B7" t="s">
        <v>268</v>
      </c>
      <c r="C7">
        <f>1/2.205</f>
        <v>0.45351473922902491</v>
      </c>
      <c r="D7" t="s">
        <v>646</v>
      </c>
    </row>
    <row r="8" spans="1:5" x14ac:dyDescent="0.25">
      <c r="A8" t="s">
        <v>915</v>
      </c>
      <c r="B8" t="s">
        <v>1008</v>
      </c>
      <c r="C8">
        <v>2.8316999999999998E-2</v>
      </c>
      <c r="D8" t="s">
        <v>647</v>
      </c>
      <c r="E8" t="s">
        <v>710</v>
      </c>
    </row>
    <row r="9" spans="1:5" x14ac:dyDescent="0.25">
      <c r="A9" t="s">
        <v>377</v>
      </c>
      <c r="B9" t="s">
        <v>415</v>
      </c>
      <c r="C9">
        <v>145.03800000000001</v>
      </c>
      <c r="D9" t="s">
        <v>551</v>
      </c>
    </row>
    <row r="11" spans="1:5" ht="14" x14ac:dyDescent="0.3">
      <c r="A11" s="2" t="s">
        <v>294</v>
      </c>
    </row>
    <row r="12" spans="1:5" x14ac:dyDescent="0.25">
      <c r="A12" t="s">
        <v>295</v>
      </c>
      <c r="B12" t="s">
        <v>296</v>
      </c>
      <c r="C12">
        <v>0.27777777777777779</v>
      </c>
    </row>
    <row r="13" spans="1:5" x14ac:dyDescent="0.25">
      <c r="A13" t="s">
        <v>297</v>
      </c>
      <c r="B13" t="s">
        <v>296</v>
      </c>
      <c r="C13">
        <v>34.022625288888882</v>
      </c>
    </row>
    <row r="14" spans="1:5" x14ac:dyDescent="0.25">
      <c r="A14" t="s">
        <v>298</v>
      </c>
      <c r="B14" t="s">
        <v>299</v>
      </c>
      <c r="C14">
        <v>0.97933196399532141</v>
      </c>
    </row>
    <row r="15" spans="1:5" x14ac:dyDescent="0.25">
      <c r="A15" t="s">
        <v>298</v>
      </c>
      <c r="B15" t="s">
        <v>296</v>
      </c>
      <c r="C15">
        <f>kgH2_to_GJ*MJ_to_kWh*1000</f>
        <v>33.392121748655818</v>
      </c>
    </row>
    <row r="16" spans="1:5" x14ac:dyDescent="0.25">
      <c r="A16" t="s">
        <v>298</v>
      </c>
      <c r="B16" t="s">
        <v>1074</v>
      </c>
      <c r="C16">
        <f>H2_LHV_MJ_p_kg/1000</f>
        <v>0.12021163829516093</v>
      </c>
    </row>
    <row r="17" spans="1:3" x14ac:dyDescent="0.25">
      <c r="A17" t="s">
        <v>300</v>
      </c>
      <c r="B17" t="s">
        <v>296</v>
      </c>
      <c r="C17">
        <v>2.9308323563892143E-4</v>
      </c>
    </row>
    <row r="18" spans="1:3" x14ac:dyDescent="0.25">
      <c r="A18" t="s">
        <v>1073</v>
      </c>
      <c r="B18" t="s">
        <v>1074</v>
      </c>
      <c r="C18">
        <v>1.0549999999999999</v>
      </c>
    </row>
    <row r="21" spans="1:3" ht="14" x14ac:dyDescent="0.3">
      <c r="A21" s="2" t="s">
        <v>537</v>
      </c>
      <c r="C21" s="463" t="s">
        <v>840</v>
      </c>
    </row>
    <row r="22" spans="1:3" x14ac:dyDescent="0.25">
      <c r="A22" t="s">
        <v>403</v>
      </c>
      <c r="B22">
        <v>1</v>
      </c>
    </row>
    <row r="23" spans="1:3" x14ac:dyDescent="0.25">
      <c r="A23" t="s">
        <v>404</v>
      </c>
      <c r="B23">
        <v>25</v>
      </c>
    </row>
    <row r="24" spans="1:3" x14ac:dyDescent="0.25">
      <c r="A24" t="s">
        <v>405</v>
      </c>
      <c r="B24">
        <v>298</v>
      </c>
    </row>
    <row r="27" spans="1:3" ht="14" x14ac:dyDescent="0.3">
      <c r="A27" s="2" t="s">
        <v>704</v>
      </c>
    </row>
    <row r="28" spans="1:3" x14ac:dyDescent="0.25">
      <c r="A28" t="s">
        <v>705</v>
      </c>
      <c r="B28" t="s">
        <v>706</v>
      </c>
    </row>
    <row r="29" spans="1:3" x14ac:dyDescent="0.25">
      <c r="A29" t="s">
        <v>864</v>
      </c>
      <c r="B29">
        <f>mmBTU_to_GJ</f>
        <v>1.0549999999999999</v>
      </c>
    </row>
    <row r="30" spans="1:3" x14ac:dyDescent="0.25">
      <c r="A30" t="s">
        <v>296</v>
      </c>
      <c r="B30">
        <f>1/MJ_to_kWh/1000</f>
        <v>3.5999999999999995E-3</v>
      </c>
    </row>
    <row r="31" spans="1:3" x14ac:dyDescent="0.25">
      <c r="A31" t="s">
        <v>1074</v>
      </c>
      <c r="B31">
        <v>1</v>
      </c>
    </row>
  </sheetData>
  <phoneticPr fontId="2"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topLeftCell="D1" workbookViewId="0">
      <selection activeCell="P4" sqref="P4:P20"/>
    </sheetView>
  </sheetViews>
  <sheetFormatPr defaultRowHeight="12.5" x14ac:dyDescent="0.25"/>
  <cols>
    <col min="1" max="1" width="17" customWidth="1"/>
    <col min="3" max="3" width="13.7265625" customWidth="1"/>
    <col min="5" max="5" width="16" customWidth="1"/>
    <col min="7" max="7" width="56.453125" customWidth="1"/>
    <col min="8" max="8" width="18.81640625" customWidth="1"/>
    <col min="10" max="10" width="22.26953125" customWidth="1"/>
    <col min="11" max="11" width="33.81640625" customWidth="1"/>
    <col min="13" max="13" width="21" customWidth="1"/>
    <col min="15" max="15" width="20.7265625" customWidth="1"/>
    <col min="16" max="16" width="17.1796875" customWidth="1"/>
    <col min="18" max="18" width="21" customWidth="1"/>
    <col min="20" max="20" width="14.54296875" customWidth="1"/>
    <col min="22" max="22" width="18.54296875" customWidth="1"/>
    <col min="25" max="25" width="22.54296875" customWidth="1"/>
    <col min="26" max="26" width="15.1796875" customWidth="1"/>
    <col min="28" max="28" width="18.7265625" customWidth="1"/>
    <col min="29" max="29" width="18.54296875" customWidth="1"/>
  </cols>
  <sheetData>
    <row r="1" spans="1:29" ht="13" x14ac:dyDescent="0.3">
      <c r="A1" s="1" t="s">
        <v>1091</v>
      </c>
    </row>
    <row r="2" spans="1:29" ht="13" x14ac:dyDescent="0.3">
      <c r="J2" s="1" t="s">
        <v>814</v>
      </c>
    </row>
    <row r="3" spans="1:29" ht="13" x14ac:dyDescent="0.3">
      <c r="A3" s="1" t="s">
        <v>1005</v>
      </c>
      <c r="C3" s="1" t="s">
        <v>22</v>
      </c>
      <c r="E3" s="1" t="s">
        <v>166</v>
      </c>
      <c r="G3" s="1" t="s">
        <v>11</v>
      </c>
      <c r="J3" s="977" t="s">
        <v>1117</v>
      </c>
      <c r="M3" s="1" t="s">
        <v>75</v>
      </c>
      <c r="O3" s="1" t="s">
        <v>439</v>
      </c>
      <c r="R3" s="1" t="s">
        <v>666</v>
      </c>
      <c r="T3" s="1" t="s">
        <v>434</v>
      </c>
      <c r="V3" s="1" t="s">
        <v>436</v>
      </c>
      <c r="Y3" s="1" t="s">
        <v>346</v>
      </c>
      <c r="AB3" s="1" t="s">
        <v>1066</v>
      </c>
    </row>
    <row r="4" spans="1:29" ht="13" x14ac:dyDescent="0.3">
      <c r="A4" t="s">
        <v>1006</v>
      </c>
      <c r="C4" t="s">
        <v>23</v>
      </c>
      <c r="E4" s="1">
        <v>100000</v>
      </c>
      <c r="G4" t="s">
        <v>324</v>
      </c>
      <c r="H4" t="s">
        <v>8</v>
      </c>
      <c r="J4" s="977" t="s">
        <v>1105</v>
      </c>
      <c r="M4" t="s">
        <v>1042</v>
      </c>
      <c r="O4" t="str">
        <f>M7</f>
        <v>ref_year</v>
      </c>
      <c r="P4">
        <v>2016</v>
      </c>
      <c r="R4" s="463" t="s">
        <v>1042</v>
      </c>
      <c r="T4">
        <v>1</v>
      </c>
      <c r="U4" t="s">
        <v>435</v>
      </c>
      <c r="V4" t="s">
        <v>417</v>
      </c>
      <c r="W4">
        <v>1.1000000000000001</v>
      </c>
      <c r="Y4" t="s">
        <v>339</v>
      </c>
      <c r="Z4">
        <v>0.9</v>
      </c>
      <c r="AB4" t="s">
        <v>27</v>
      </c>
      <c r="AC4" s="463" t="s">
        <v>825</v>
      </c>
    </row>
    <row r="5" spans="1:29" x14ac:dyDescent="0.25">
      <c r="A5" t="s">
        <v>1007</v>
      </c>
      <c r="C5" t="s">
        <v>282</v>
      </c>
      <c r="G5" t="s">
        <v>335</v>
      </c>
      <c r="H5" t="s">
        <v>26</v>
      </c>
      <c r="J5" s="977" t="s">
        <v>1106</v>
      </c>
      <c r="M5" t="s">
        <v>8</v>
      </c>
      <c r="O5" t="str">
        <f>M18</f>
        <v>depr_type</v>
      </c>
      <c r="P5" t="s">
        <v>438</v>
      </c>
      <c r="R5" s="463" t="s">
        <v>936</v>
      </c>
      <c r="T5">
        <v>1.2</v>
      </c>
      <c r="U5" t="s">
        <v>424</v>
      </c>
      <c r="V5" t="s">
        <v>418</v>
      </c>
      <c r="W5">
        <v>1</v>
      </c>
      <c r="Y5" t="s">
        <v>340</v>
      </c>
      <c r="Z5">
        <v>0.04</v>
      </c>
      <c r="AB5" t="s">
        <v>179</v>
      </c>
      <c r="AC5" s="463" t="s">
        <v>825</v>
      </c>
    </row>
    <row r="6" spans="1:29" x14ac:dyDescent="0.25">
      <c r="G6" t="s">
        <v>373</v>
      </c>
      <c r="H6" t="s">
        <v>182</v>
      </c>
      <c r="J6" s="977" t="s">
        <v>1107</v>
      </c>
      <c r="M6" t="s">
        <v>26</v>
      </c>
      <c r="O6" t="str">
        <f>M19</f>
        <v>equity</v>
      </c>
      <c r="P6" s="1494">
        <v>0.4</v>
      </c>
      <c r="R6" s="463" t="s">
        <v>937</v>
      </c>
      <c r="V6" t="s">
        <v>419</v>
      </c>
      <c r="W6">
        <v>1.05</v>
      </c>
      <c r="Y6" t="s">
        <v>550</v>
      </c>
      <c r="Z6">
        <v>14.7</v>
      </c>
      <c r="AB6" t="s">
        <v>171</v>
      </c>
      <c r="AC6" s="463" t="s">
        <v>825</v>
      </c>
    </row>
    <row r="7" spans="1:29" ht="13" x14ac:dyDescent="0.3">
      <c r="A7" s="1" t="s">
        <v>270</v>
      </c>
      <c r="C7" s="1" t="s">
        <v>1057</v>
      </c>
      <c r="G7" t="s">
        <v>374</v>
      </c>
      <c r="H7" t="s">
        <v>10</v>
      </c>
      <c r="J7" s="1397" t="s">
        <v>1290</v>
      </c>
      <c r="M7" t="s">
        <v>1025</v>
      </c>
      <c r="O7" t="str">
        <f t="shared" ref="O7:O13" si="0">M25</f>
        <v>decom_percent</v>
      </c>
      <c r="P7">
        <v>0.1</v>
      </c>
      <c r="R7" s="463" t="s">
        <v>938</v>
      </c>
      <c r="V7" t="s">
        <v>420</v>
      </c>
      <c r="W7">
        <v>1.1000000000000001</v>
      </c>
      <c r="Y7" t="s">
        <v>962</v>
      </c>
      <c r="Z7">
        <v>0</v>
      </c>
      <c r="AB7" t="s">
        <v>173</v>
      </c>
      <c r="AC7" s="463" t="s">
        <v>825</v>
      </c>
    </row>
    <row r="8" spans="1:29" x14ac:dyDescent="0.25">
      <c r="A8" t="s">
        <v>248</v>
      </c>
      <c r="C8" t="s">
        <v>1052</v>
      </c>
      <c r="G8" t="s">
        <v>378</v>
      </c>
      <c r="H8" t="s">
        <v>181</v>
      </c>
      <c r="M8" t="s">
        <v>182</v>
      </c>
      <c r="O8" t="str">
        <f t="shared" si="0"/>
        <v>salvage_perct</v>
      </c>
      <c r="P8">
        <v>0.1</v>
      </c>
      <c r="R8" s="463" t="s">
        <v>939</v>
      </c>
      <c r="V8" t="s">
        <v>422</v>
      </c>
      <c r="W8">
        <v>1.1000000000000001</v>
      </c>
      <c r="Y8" s="305" t="s">
        <v>1270</v>
      </c>
      <c r="Z8" s="305">
        <v>1</v>
      </c>
      <c r="AB8" t="s">
        <v>29</v>
      </c>
      <c r="AC8" s="463" t="s">
        <v>825</v>
      </c>
    </row>
    <row r="9" spans="1:29" x14ac:dyDescent="0.25">
      <c r="A9" t="s">
        <v>271</v>
      </c>
      <c r="C9" t="s">
        <v>271</v>
      </c>
      <c r="G9" t="s">
        <v>379</v>
      </c>
      <c r="H9" t="s">
        <v>170</v>
      </c>
      <c r="M9" t="s">
        <v>10</v>
      </c>
      <c r="O9" t="str">
        <f t="shared" si="0"/>
        <v>inflation_rate</v>
      </c>
      <c r="P9">
        <v>1.9E-2</v>
      </c>
      <c r="R9" s="463" t="s">
        <v>940</v>
      </c>
      <c r="V9" t="s">
        <v>421</v>
      </c>
      <c r="W9">
        <v>1.3</v>
      </c>
      <c r="Y9" s="305" t="s">
        <v>345</v>
      </c>
      <c r="Z9" s="305">
        <v>100</v>
      </c>
      <c r="AB9" t="s">
        <v>159</v>
      </c>
      <c r="AC9" s="463" t="s">
        <v>825</v>
      </c>
    </row>
    <row r="10" spans="1:29" x14ac:dyDescent="0.25">
      <c r="A10" t="s">
        <v>272</v>
      </c>
      <c r="C10" t="s">
        <v>1058</v>
      </c>
      <c r="G10" t="s">
        <v>325</v>
      </c>
      <c r="H10" t="s">
        <v>18</v>
      </c>
      <c r="M10" t="s">
        <v>161</v>
      </c>
      <c r="O10" t="str">
        <f t="shared" si="0"/>
        <v>real_irr</v>
      </c>
      <c r="P10" s="1494">
        <v>0.08</v>
      </c>
      <c r="R10" s="463" t="s">
        <v>941</v>
      </c>
      <c r="V10" t="s">
        <v>423</v>
      </c>
      <c r="W10">
        <v>1.5</v>
      </c>
      <c r="Y10" s="305" t="s">
        <v>1252</v>
      </c>
      <c r="Z10" s="305">
        <v>0.75</v>
      </c>
      <c r="AB10" t="s">
        <v>169</v>
      </c>
      <c r="AC10" s="463" t="s">
        <v>825</v>
      </c>
    </row>
    <row r="11" spans="1:29" ht="13" x14ac:dyDescent="0.3">
      <c r="C11" t="s">
        <v>1071</v>
      </c>
      <c r="G11" t="s">
        <v>326</v>
      </c>
      <c r="H11" t="s">
        <v>178</v>
      </c>
      <c r="J11" s="1" t="s">
        <v>693</v>
      </c>
      <c r="K11" s="1" t="s">
        <v>694</v>
      </c>
      <c r="M11" t="s">
        <v>162</v>
      </c>
      <c r="O11" t="str">
        <f t="shared" si="0"/>
        <v>state_tax_rate</v>
      </c>
      <c r="P11">
        <v>0.06</v>
      </c>
      <c r="R11" s="463" t="s">
        <v>942</v>
      </c>
      <c r="Y11" s="305" t="s">
        <v>1253</v>
      </c>
      <c r="Z11" s="1337" t="s">
        <v>23</v>
      </c>
      <c r="AB11" t="s">
        <v>1093</v>
      </c>
      <c r="AC11" t="s">
        <v>839</v>
      </c>
    </row>
    <row r="12" spans="1:29" x14ac:dyDescent="0.25">
      <c r="C12" t="s">
        <v>272</v>
      </c>
      <c r="G12" t="s">
        <v>327</v>
      </c>
      <c r="H12" t="s">
        <v>30</v>
      </c>
      <c r="J12" s="891" t="str">
        <f>TMP_PriceTable</f>
        <v>AEO_2017_Reference_Case</v>
      </c>
      <c r="K12" t="str">
        <f>J12&amp;"_Feeds"</f>
        <v>AEO_2017_Reference_Case_Feeds</v>
      </c>
      <c r="M12" t="s">
        <v>163</v>
      </c>
      <c r="O12" t="str">
        <f t="shared" si="0"/>
        <v>fed_tax_rate</v>
      </c>
      <c r="P12" s="1494">
        <v>0.21</v>
      </c>
      <c r="R12" s="463" t="s">
        <v>943</v>
      </c>
      <c r="Y12" s="305" t="s">
        <v>1254</v>
      </c>
      <c r="Z12" s="1337" t="s">
        <v>23</v>
      </c>
      <c r="AB12" t="s">
        <v>1094</v>
      </c>
      <c r="AC12" t="s">
        <v>1062</v>
      </c>
    </row>
    <row r="13" spans="1:29" ht="13" x14ac:dyDescent="0.3">
      <c r="G13" t="s">
        <v>328</v>
      </c>
      <c r="H13" t="s">
        <v>174</v>
      </c>
      <c r="K13" s="1" t="s">
        <v>695</v>
      </c>
      <c r="M13" t="s">
        <v>164</v>
      </c>
      <c r="O13" t="str">
        <f t="shared" si="0"/>
        <v>WorkingCap</v>
      </c>
      <c r="P13">
        <v>0.15</v>
      </c>
      <c r="R13" s="463" t="s">
        <v>944</v>
      </c>
      <c r="Y13" s="305" t="s">
        <v>1255</v>
      </c>
      <c r="Z13" s="305">
        <v>0</v>
      </c>
      <c r="AB13" t="s">
        <v>1022</v>
      </c>
      <c r="AC13">
        <v>0.25</v>
      </c>
    </row>
    <row r="14" spans="1:29" ht="13" x14ac:dyDescent="0.3">
      <c r="A14" s="1" t="s">
        <v>16</v>
      </c>
      <c r="C14" s="1" t="s">
        <v>199</v>
      </c>
      <c r="G14" t="s">
        <v>329</v>
      </c>
      <c r="H14" t="s">
        <v>184</v>
      </c>
      <c r="K14" t="str">
        <f>J12&amp;"_Years"</f>
        <v>AEO_2017_Reference_Case_Years</v>
      </c>
      <c r="M14" t="s">
        <v>181</v>
      </c>
      <c r="O14" t="s">
        <v>160</v>
      </c>
      <c r="P14">
        <v>0.2</v>
      </c>
      <c r="R14" t="s">
        <v>8</v>
      </c>
      <c r="Y14" s="305" t="s">
        <v>1256</v>
      </c>
      <c r="Z14" s="305">
        <v>53</v>
      </c>
      <c r="AB14" t="s">
        <v>1023</v>
      </c>
      <c r="AC14" t="s">
        <v>839</v>
      </c>
    </row>
    <row r="15" spans="1:29" x14ac:dyDescent="0.25">
      <c r="A15" t="s">
        <v>191</v>
      </c>
      <c r="C15" s="779" t="s">
        <v>200</v>
      </c>
      <c r="G15" t="s">
        <v>330</v>
      </c>
      <c r="H15" t="s">
        <v>28</v>
      </c>
      <c r="M15" t="s">
        <v>170</v>
      </c>
      <c r="O15" t="s">
        <v>186</v>
      </c>
      <c r="P15">
        <v>0.02</v>
      </c>
      <c r="R15" t="s">
        <v>26</v>
      </c>
      <c r="Y15" s="1333"/>
      <c r="Z15" s="1333"/>
      <c r="AB15" t="s">
        <v>31</v>
      </c>
      <c r="AC15" t="s">
        <v>1062</v>
      </c>
    </row>
    <row r="16" spans="1:29" ht="14" x14ac:dyDescent="0.25">
      <c r="A16" t="s">
        <v>192</v>
      </c>
      <c r="C16" s="780" t="s">
        <v>201</v>
      </c>
      <c r="G16" t="s">
        <v>331</v>
      </c>
      <c r="H16" t="s">
        <v>189</v>
      </c>
      <c r="M16" t="s">
        <v>7</v>
      </c>
      <c r="O16" t="s">
        <v>177</v>
      </c>
      <c r="P16">
        <v>0</v>
      </c>
      <c r="R16" t="s">
        <v>1025</v>
      </c>
      <c r="Y16" s="1333"/>
      <c r="Z16" s="1334"/>
      <c r="AB16" t="s">
        <v>175</v>
      </c>
      <c r="AC16" t="s">
        <v>1062</v>
      </c>
    </row>
    <row r="17" spans="1:29" x14ac:dyDescent="0.25">
      <c r="A17" t="s">
        <v>243</v>
      </c>
      <c r="C17" s="836" t="s">
        <v>501</v>
      </c>
      <c r="G17" t="s">
        <v>12</v>
      </c>
      <c r="H17" t="s">
        <v>246</v>
      </c>
      <c r="M17" t="s">
        <v>24</v>
      </c>
      <c r="O17" t="s">
        <v>156</v>
      </c>
      <c r="P17">
        <v>0</v>
      </c>
      <c r="R17" t="s">
        <v>182</v>
      </c>
      <c r="AB17" t="s">
        <v>1024</v>
      </c>
      <c r="AC17" t="s">
        <v>1062</v>
      </c>
    </row>
    <row r="18" spans="1:29" x14ac:dyDescent="0.25">
      <c r="A18" t="s">
        <v>244</v>
      </c>
      <c r="C18" s="781" t="s">
        <v>1032</v>
      </c>
      <c r="G18" t="s">
        <v>117</v>
      </c>
      <c r="H18" t="s">
        <v>974</v>
      </c>
      <c r="M18" t="s">
        <v>25</v>
      </c>
      <c r="O18" t="s">
        <v>185</v>
      </c>
      <c r="P18">
        <v>0</v>
      </c>
      <c r="R18" t="s">
        <v>10</v>
      </c>
      <c r="Y18" s="1333"/>
      <c r="Z18" s="1333"/>
      <c r="AB18" t="s">
        <v>172</v>
      </c>
      <c r="AC18" t="s">
        <v>1062</v>
      </c>
    </row>
    <row r="19" spans="1:29" x14ac:dyDescent="0.25">
      <c r="A19" t="s">
        <v>245</v>
      </c>
      <c r="C19" s="480" t="s">
        <v>202</v>
      </c>
      <c r="G19" t="s">
        <v>634</v>
      </c>
      <c r="H19" t="s">
        <v>635</v>
      </c>
      <c r="M19" t="s">
        <v>247</v>
      </c>
      <c r="O19" t="s">
        <v>964</v>
      </c>
      <c r="P19">
        <v>0</v>
      </c>
      <c r="R19" t="s">
        <v>161</v>
      </c>
      <c r="Y19" s="1333"/>
      <c r="Z19" s="1333"/>
      <c r="AB19" t="s">
        <v>157</v>
      </c>
      <c r="AC19" t="s">
        <v>1061</v>
      </c>
    </row>
    <row r="20" spans="1:29" x14ac:dyDescent="0.25">
      <c r="A20" t="s">
        <v>17</v>
      </c>
      <c r="G20" t="s">
        <v>352</v>
      </c>
      <c r="H20" t="s">
        <v>1093</v>
      </c>
      <c r="M20" t="s">
        <v>13</v>
      </c>
      <c r="O20" t="s">
        <v>965</v>
      </c>
      <c r="P20">
        <v>0</v>
      </c>
      <c r="R20" t="s">
        <v>162</v>
      </c>
      <c r="Y20" s="1333"/>
      <c r="Z20" s="1333"/>
      <c r="AB20" t="s">
        <v>158</v>
      </c>
      <c r="AC20" t="s">
        <v>1062</v>
      </c>
    </row>
    <row r="21" spans="1:29" x14ac:dyDescent="0.25">
      <c r="G21" t="s">
        <v>662</v>
      </c>
      <c r="H21" t="s">
        <v>1022</v>
      </c>
      <c r="M21" t="s">
        <v>14</v>
      </c>
      <c r="R21" t="s">
        <v>163</v>
      </c>
      <c r="AB21" t="s">
        <v>187</v>
      </c>
      <c r="AC21" t="s">
        <v>1061</v>
      </c>
    </row>
    <row r="22" spans="1:29" x14ac:dyDescent="0.25">
      <c r="G22" t="s">
        <v>332</v>
      </c>
      <c r="H22" t="s">
        <v>160</v>
      </c>
      <c r="M22" t="s">
        <v>165</v>
      </c>
      <c r="R22" t="s">
        <v>164</v>
      </c>
      <c r="AB22" t="s">
        <v>280</v>
      </c>
      <c r="AC22" t="s">
        <v>1061</v>
      </c>
    </row>
    <row r="23" spans="1:29" ht="13" x14ac:dyDescent="0.3">
      <c r="A23" s="1" t="s">
        <v>838</v>
      </c>
      <c r="G23" t="s">
        <v>333</v>
      </c>
      <c r="H23" t="s">
        <v>186</v>
      </c>
      <c r="M23" t="s">
        <v>167</v>
      </c>
      <c r="R23" t="s">
        <v>181</v>
      </c>
      <c r="AB23" t="s">
        <v>188</v>
      </c>
      <c r="AC23" t="s">
        <v>1061</v>
      </c>
    </row>
    <row r="24" spans="1:29" x14ac:dyDescent="0.25">
      <c r="A24" s="463" t="s">
        <v>1061</v>
      </c>
      <c r="G24" t="s">
        <v>359</v>
      </c>
      <c r="H24" t="s">
        <v>175</v>
      </c>
      <c r="M24" t="s">
        <v>168</v>
      </c>
      <c r="R24" t="s">
        <v>170</v>
      </c>
      <c r="AB24" t="s">
        <v>180</v>
      </c>
      <c r="AC24" t="s">
        <v>1061</v>
      </c>
    </row>
    <row r="25" spans="1:29" x14ac:dyDescent="0.25">
      <c r="A25" s="463" t="s">
        <v>1062</v>
      </c>
      <c r="G25" t="s">
        <v>360</v>
      </c>
      <c r="H25" t="s">
        <v>1024</v>
      </c>
      <c r="M25" t="s">
        <v>18</v>
      </c>
      <c r="R25" t="s">
        <v>7</v>
      </c>
      <c r="AB25" t="s">
        <v>177</v>
      </c>
      <c r="AC25" t="s">
        <v>1061</v>
      </c>
    </row>
    <row r="26" spans="1:29" x14ac:dyDescent="0.25">
      <c r="A26" s="463" t="s">
        <v>839</v>
      </c>
      <c r="G26" t="s">
        <v>361</v>
      </c>
      <c r="H26" t="s">
        <v>172</v>
      </c>
      <c r="M26" t="s">
        <v>178</v>
      </c>
      <c r="R26" t="s">
        <v>24</v>
      </c>
      <c r="AB26" t="s">
        <v>156</v>
      </c>
      <c r="AC26" t="s">
        <v>1061</v>
      </c>
    </row>
    <row r="27" spans="1:29" x14ac:dyDescent="0.25">
      <c r="A27" s="463" t="s">
        <v>825</v>
      </c>
      <c r="G27" t="s">
        <v>365</v>
      </c>
      <c r="H27" t="s">
        <v>188</v>
      </c>
      <c r="M27" t="s">
        <v>30</v>
      </c>
      <c r="R27" t="s">
        <v>25</v>
      </c>
      <c r="AB27" t="s">
        <v>185</v>
      </c>
      <c r="AC27" t="s">
        <v>1061</v>
      </c>
    </row>
    <row r="28" spans="1:29" x14ac:dyDescent="0.25">
      <c r="A28">
        <v>0.1</v>
      </c>
      <c r="G28" t="s">
        <v>366</v>
      </c>
      <c r="H28" t="s">
        <v>180</v>
      </c>
      <c r="M28" t="s">
        <v>174</v>
      </c>
      <c r="R28" t="s">
        <v>247</v>
      </c>
      <c r="AB28" t="s">
        <v>1065</v>
      </c>
      <c r="AC28" t="s">
        <v>825</v>
      </c>
    </row>
    <row r="29" spans="1:29" x14ac:dyDescent="0.25">
      <c r="A29">
        <v>0.2</v>
      </c>
      <c r="G29" t="s">
        <v>1000</v>
      </c>
      <c r="H29" t="s">
        <v>9</v>
      </c>
      <c r="M29" t="s">
        <v>184</v>
      </c>
      <c r="R29" t="s">
        <v>13</v>
      </c>
    </row>
    <row r="30" spans="1:29" x14ac:dyDescent="0.25">
      <c r="A30">
        <v>0.25</v>
      </c>
      <c r="G30" t="s">
        <v>835</v>
      </c>
      <c r="H30" t="s">
        <v>836</v>
      </c>
      <c r="M30" t="s">
        <v>28</v>
      </c>
      <c r="R30" t="s">
        <v>14</v>
      </c>
    </row>
    <row r="31" spans="1:29" x14ac:dyDescent="0.25">
      <c r="A31">
        <v>0.3</v>
      </c>
      <c r="G31" t="s">
        <v>1367</v>
      </c>
      <c r="H31" t="s">
        <v>1368</v>
      </c>
      <c r="M31" t="s">
        <v>189</v>
      </c>
      <c r="R31" t="s">
        <v>165</v>
      </c>
    </row>
    <row r="32" spans="1:29" x14ac:dyDescent="0.25">
      <c r="A32">
        <v>0.4</v>
      </c>
      <c r="G32" t="s">
        <v>1398</v>
      </c>
      <c r="H32" t="s">
        <v>1399</v>
      </c>
      <c r="M32" t="s">
        <v>1093</v>
      </c>
      <c r="R32" t="s">
        <v>167</v>
      </c>
    </row>
    <row r="33" spans="1:18" x14ac:dyDescent="0.25">
      <c r="A33">
        <v>0.5</v>
      </c>
      <c r="G33" t="s">
        <v>1373</v>
      </c>
      <c r="H33" t="s">
        <v>1374</v>
      </c>
      <c r="M33" t="s">
        <v>1094</v>
      </c>
      <c r="R33" t="s">
        <v>168</v>
      </c>
    </row>
    <row r="34" spans="1:18" x14ac:dyDescent="0.25">
      <c r="A34">
        <v>0.6</v>
      </c>
      <c r="M34" t="s">
        <v>1022</v>
      </c>
      <c r="R34" t="s">
        <v>18</v>
      </c>
    </row>
    <row r="35" spans="1:18" x14ac:dyDescent="0.25">
      <c r="A35">
        <v>0.7</v>
      </c>
      <c r="M35" t="s">
        <v>1023</v>
      </c>
      <c r="R35" t="s">
        <v>178</v>
      </c>
    </row>
    <row r="36" spans="1:18" x14ac:dyDescent="0.25">
      <c r="A36">
        <v>0.8</v>
      </c>
      <c r="M36" t="s">
        <v>160</v>
      </c>
      <c r="R36" t="s">
        <v>30</v>
      </c>
    </row>
    <row r="37" spans="1:18" x14ac:dyDescent="0.25">
      <c r="A37">
        <v>0.9</v>
      </c>
      <c r="M37" t="s">
        <v>186</v>
      </c>
      <c r="R37" t="s">
        <v>174</v>
      </c>
    </row>
    <row r="38" spans="1:18" x14ac:dyDescent="0.25">
      <c r="M38" t="s">
        <v>175</v>
      </c>
      <c r="R38" t="s">
        <v>184</v>
      </c>
    </row>
    <row r="39" spans="1:18" x14ac:dyDescent="0.25">
      <c r="M39" t="s">
        <v>1024</v>
      </c>
      <c r="R39" t="s">
        <v>28</v>
      </c>
    </row>
    <row r="40" spans="1:18" x14ac:dyDescent="0.25">
      <c r="M40" t="s">
        <v>172</v>
      </c>
      <c r="R40" t="s">
        <v>189</v>
      </c>
    </row>
    <row r="41" spans="1:18" x14ac:dyDescent="0.25">
      <c r="M41" t="s">
        <v>157</v>
      </c>
      <c r="R41" t="s">
        <v>246</v>
      </c>
    </row>
    <row r="42" spans="1:18" x14ac:dyDescent="0.25">
      <c r="M42" t="s">
        <v>158</v>
      </c>
      <c r="R42" t="s">
        <v>27</v>
      </c>
    </row>
    <row r="43" spans="1:18" x14ac:dyDescent="0.25">
      <c r="M43" t="s">
        <v>280</v>
      </c>
      <c r="R43" t="s">
        <v>179</v>
      </c>
    </row>
    <row r="44" spans="1:18" x14ac:dyDescent="0.25">
      <c r="M44" t="s">
        <v>187</v>
      </c>
      <c r="R44" t="s">
        <v>171</v>
      </c>
    </row>
    <row r="45" spans="1:18" x14ac:dyDescent="0.25">
      <c r="M45" t="s">
        <v>188</v>
      </c>
      <c r="R45" t="s">
        <v>173</v>
      </c>
    </row>
    <row r="46" spans="1:18" x14ac:dyDescent="0.25">
      <c r="M46" t="s">
        <v>180</v>
      </c>
      <c r="R46" t="s">
        <v>29</v>
      </c>
    </row>
    <row r="47" spans="1:18" x14ac:dyDescent="0.25">
      <c r="M47" t="s">
        <v>176</v>
      </c>
      <c r="R47" t="s">
        <v>159</v>
      </c>
    </row>
    <row r="48" spans="1:18" x14ac:dyDescent="0.25">
      <c r="M48" t="s">
        <v>177</v>
      </c>
      <c r="R48" t="s">
        <v>169</v>
      </c>
    </row>
    <row r="49" spans="13:18" x14ac:dyDescent="0.25">
      <c r="M49" t="s">
        <v>156</v>
      </c>
      <c r="R49" t="s">
        <v>1093</v>
      </c>
    </row>
    <row r="50" spans="13:18" x14ac:dyDescent="0.25">
      <c r="M50" t="s">
        <v>185</v>
      </c>
      <c r="R50" t="s">
        <v>1094</v>
      </c>
    </row>
    <row r="51" spans="13:18" x14ac:dyDescent="0.25">
      <c r="M51" t="s">
        <v>9</v>
      </c>
      <c r="R51" t="s">
        <v>1022</v>
      </c>
    </row>
    <row r="52" spans="13:18" x14ac:dyDescent="0.25">
      <c r="M52" t="s">
        <v>1065</v>
      </c>
      <c r="R52" t="s">
        <v>1023</v>
      </c>
    </row>
    <row r="53" spans="13:18" x14ac:dyDescent="0.25">
      <c r="M53" t="s">
        <v>587</v>
      </c>
      <c r="R53" t="s">
        <v>160</v>
      </c>
    </row>
    <row r="54" spans="13:18" x14ac:dyDescent="0.25">
      <c r="M54" t="s">
        <v>340</v>
      </c>
      <c r="R54" t="s">
        <v>186</v>
      </c>
    </row>
    <row r="55" spans="13:18" x14ac:dyDescent="0.25">
      <c r="M55" t="s">
        <v>341</v>
      </c>
      <c r="R55" t="s">
        <v>175</v>
      </c>
    </row>
    <row r="56" spans="13:18" x14ac:dyDescent="0.25">
      <c r="M56" t="s">
        <v>342</v>
      </c>
      <c r="R56" t="s">
        <v>1024</v>
      </c>
    </row>
    <row r="57" spans="13:18" x14ac:dyDescent="0.25">
      <c r="M57" t="s">
        <v>588</v>
      </c>
      <c r="R57" t="s">
        <v>172</v>
      </c>
    </row>
    <row r="58" spans="13:18" x14ac:dyDescent="0.25">
      <c r="M58" t="s">
        <v>343</v>
      </c>
      <c r="R58" t="s">
        <v>157</v>
      </c>
    </row>
    <row r="59" spans="13:18" x14ac:dyDescent="0.25">
      <c r="M59" t="s">
        <v>589</v>
      </c>
      <c r="R59" t="s">
        <v>158</v>
      </c>
    </row>
    <row r="60" spans="13:18" x14ac:dyDescent="0.25">
      <c r="M60" t="s">
        <v>344</v>
      </c>
      <c r="R60" t="s">
        <v>280</v>
      </c>
    </row>
    <row r="61" spans="13:18" x14ac:dyDescent="0.25">
      <c r="M61" t="s">
        <v>345</v>
      </c>
      <c r="R61" t="s">
        <v>281</v>
      </c>
    </row>
    <row r="62" spans="13:18" x14ac:dyDescent="0.25">
      <c r="R62" t="s">
        <v>259</v>
      </c>
    </row>
    <row r="63" spans="13:18" x14ac:dyDescent="0.25">
      <c r="R63" t="s">
        <v>187</v>
      </c>
    </row>
    <row r="64" spans="13:18" x14ac:dyDescent="0.25">
      <c r="R64" t="s">
        <v>188</v>
      </c>
    </row>
    <row r="65" spans="18:18" x14ac:dyDescent="0.25">
      <c r="R65" t="s">
        <v>180</v>
      </c>
    </row>
    <row r="66" spans="18:18" x14ac:dyDescent="0.25">
      <c r="R66" t="s">
        <v>176</v>
      </c>
    </row>
    <row r="67" spans="18:18" x14ac:dyDescent="0.25">
      <c r="R67" t="s">
        <v>177</v>
      </c>
    </row>
    <row r="68" spans="18:18" x14ac:dyDescent="0.25">
      <c r="R68" t="s">
        <v>156</v>
      </c>
    </row>
    <row r="69" spans="18:18" x14ac:dyDescent="0.25">
      <c r="R69" t="s">
        <v>185</v>
      </c>
    </row>
    <row r="70" spans="18:18" x14ac:dyDescent="0.25">
      <c r="R70" t="s">
        <v>9</v>
      </c>
    </row>
    <row r="71" spans="18:18" x14ac:dyDescent="0.25">
      <c r="R71" t="s">
        <v>1065</v>
      </c>
    </row>
    <row r="72" spans="18:18" x14ac:dyDescent="0.25">
      <c r="R72" t="s">
        <v>587</v>
      </c>
    </row>
    <row r="73" spans="18:18" x14ac:dyDescent="0.25">
      <c r="R73" t="s">
        <v>340</v>
      </c>
    </row>
    <row r="74" spans="18:18" x14ac:dyDescent="0.25">
      <c r="R74" t="s">
        <v>341</v>
      </c>
    </row>
    <row r="75" spans="18:18" x14ac:dyDescent="0.25">
      <c r="R75" t="s">
        <v>342</v>
      </c>
    </row>
    <row r="76" spans="18:18" x14ac:dyDescent="0.25">
      <c r="R76" t="s">
        <v>588</v>
      </c>
    </row>
    <row r="77" spans="18:18" x14ac:dyDescent="0.25">
      <c r="R77" t="s">
        <v>343</v>
      </c>
    </row>
    <row r="78" spans="18:18" x14ac:dyDescent="0.25">
      <c r="R78" t="s">
        <v>589</v>
      </c>
    </row>
    <row r="79" spans="18:18" x14ac:dyDescent="0.25">
      <c r="R79" t="s">
        <v>344</v>
      </c>
    </row>
    <row r="80" spans="18:18" x14ac:dyDescent="0.25">
      <c r="R80" t="s">
        <v>345</v>
      </c>
    </row>
  </sheetData>
  <phoneticPr fontId="2"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2">
    <tabColor indexed="42"/>
  </sheetPr>
  <dimension ref="B2:B90"/>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409</v>
      </c>
    </row>
    <row r="6" spans="2:2" ht="13" x14ac:dyDescent="0.3">
      <c r="B6" s="783" t="s">
        <v>204</v>
      </c>
    </row>
    <row r="7" spans="2:2" x14ac:dyDescent="0.25">
      <c r="B7" s="747"/>
    </row>
    <row r="8" spans="2:2" x14ac:dyDescent="0.25">
      <c r="B8" s="784"/>
    </row>
    <row r="9" spans="2:2" x14ac:dyDescent="0.25">
      <c r="B9" s="784"/>
    </row>
    <row r="10" spans="2:2" x14ac:dyDescent="0.25">
      <c r="B10" s="784"/>
    </row>
    <row r="11" spans="2:2" x14ac:dyDescent="0.25">
      <c r="B11" s="784"/>
    </row>
    <row r="12" spans="2:2" x14ac:dyDescent="0.25">
      <c r="B12" s="784"/>
    </row>
    <row r="13" spans="2:2" x14ac:dyDescent="0.25">
      <c r="B13" s="784"/>
    </row>
    <row r="14" spans="2:2" x14ac:dyDescent="0.25">
      <c r="B14" s="784"/>
    </row>
    <row r="15" spans="2:2" x14ac:dyDescent="0.25">
      <c r="B15" s="784"/>
    </row>
    <row r="16" spans="2:2" x14ac:dyDescent="0.25">
      <c r="B16" s="784"/>
    </row>
    <row r="17" spans="2:2" x14ac:dyDescent="0.25">
      <c r="B17" s="784"/>
    </row>
    <row r="18" spans="2:2" x14ac:dyDescent="0.25">
      <c r="B18" s="784"/>
    </row>
    <row r="19" spans="2:2" x14ac:dyDescent="0.25">
      <c r="B19" s="784"/>
    </row>
    <row r="20" spans="2:2" x14ac:dyDescent="0.25">
      <c r="B20" s="784"/>
    </row>
    <row r="21" spans="2:2" x14ac:dyDescent="0.25">
      <c r="B21" s="784"/>
    </row>
    <row r="22" spans="2:2" x14ac:dyDescent="0.25">
      <c r="B22" s="784"/>
    </row>
    <row r="23" spans="2:2" x14ac:dyDescent="0.25">
      <c r="B23" s="784"/>
    </row>
    <row r="24" spans="2:2" x14ac:dyDescent="0.25">
      <c r="B24" s="784"/>
    </row>
    <row r="25" spans="2:2" x14ac:dyDescent="0.25">
      <c r="B25" s="784"/>
    </row>
    <row r="26" spans="2:2" x14ac:dyDescent="0.25">
      <c r="B26" s="784"/>
    </row>
    <row r="27" spans="2:2" x14ac:dyDescent="0.25">
      <c r="B27" s="784"/>
    </row>
    <row r="28" spans="2:2" x14ac:dyDescent="0.25">
      <c r="B28" s="784"/>
    </row>
    <row r="29" spans="2:2" ht="13" x14ac:dyDescent="0.3">
      <c r="B29" s="785" t="s">
        <v>205</v>
      </c>
    </row>
    <row r="30" spans="2:2" x14ac:dyDescent="0.25">
      <c r="B30" s="747"/>
    </row>
    <row r="31" spans="2:2" x14ac:dyDescent="0.25">
      <c r="B31" s="209"/>
    </row>
    <row r="32" spans="2:2" x14ac:dyDescent="0.25">
      <c r="B32" s="784"/>
    </row>
    <row r="80" ht="81" customHeight="1" x14ac:dyDescent="0.25"/>
    <row r="82" ht="97.5" customHeight="1" x14ac:dyDescent="0.25"/>
    <row r="84" ht="68.25" customHeight="1" x14ac:dyDescent="0.25"/>
    <row r="86" ht="63" customHeight="1" x14ac:dyDescent="0.25"/>
    <row r="88" ht="63.75" customHeight="1" x14ac:dyDescent="0.25"/>
    <row r="90"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0721" r:id="rId3" name="cmdInputSheet5">
          <controlPr defaultSize="0" autoLine="0" r:id="rId4">
            <anchor moveWithCells="1">
              <from>
                <xdr:col>1</xdr:col>
                <xdr:colOff>7042150</xdr:colOff>
                <xdr:row>0</xdr:row>
                <xdr:rowOff>95250</xdr:rowOff>
              </from>
              <to>
                <xdr:col>1</xdr:col>
                <xdr:colOff>8382000</xdr:colOff>
                <xdr:row>3</xdr:row>
                <xdr:rowOff>25400</xdr:rowOff>
              </to>
            </anchor>
          </controlPr>
        </control>
      </mc:Choice>
      <mc:Fallback>
        <control shapeId="30721" r:id="rId3" name="cmdInputSheet5"/>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indexed="42"/>
  </sheetPr>
  <dimension ref="B2:B85"/>
  <sheetViews>
    <sheetView workbookViewId="0"/>
  </sheetViews>
  <sheetFormatPr defaultRowHeight="12.5" x14ac:dyDescent="0.25"/>
  <cols>
    <col min="2" max="2" width="122" customWidth="1"/>
    <col min="3" max="3" width="12" customWidth="1"/>
    <col min="4" max="4" width="47.453125" customWidth="1"/>
    <col min="5" max="5" width="17.26953125" customWidth="1"/>
  </cols>
  <sheetData>
    <row r="2" spans="2:2" ht="22" x14ac:dyDescent="0.65">
      <c r="B2" s="782" t="s">
        <v>408</v>
      </c>
    </row>
    <row r="6" spans="2:2" ht="13" x14ac:dyDescent="0.3">
      <c r="B6" s="783" t="s">
        <v>206</v>
      </c>
    </row>
    <row r="7" spans="2:2" x14ac:dyDescent="0.25">
      <c r="B7" s="747"/>
    </row>
    <row r="8" spans="2:2" x14ac:dyDescent="0.25">
      <c r="B8" s="784"/>
    </row>
    <row r="9" spans="2:2" x14ac:dyDescent="0.25">
      <c r="B9" s="784"/>
    </row>
    <row r="10" spans="2:2" ht="13" x14ac:dyDescent="0.3">
      <c r="B10" s="785" t="s">
        <v>207</v>
      </c>
    </row>
    <row r="11" spans="2:2" x14ac:dyDescent="0.25">
      <c r="B11" s="747"/>
    </row>
    <row r="12" spans="2:2" x14ac:dyDescent="0.25">
      <c r="B12" s="209"/>
    </row>
    <row r="13" spans="2:2" x14ac:dyDescent="0.25">
      <c r="B13" s="784"/>
    </row>
    <row r="14" spans="2:2" ht="13" x14ac:dyDescent="0.3">
      <c r="B14" s="785" t="s">
        <v>208</v>
      </c>
    </row>
    <row r="15" spans="2:2" x14ac:dyDescent="0.25">
      <c r="B15" s="747"/>
    </row>
    <row r="16" spans="2:2" x14ac:dyDescent="0.25">
      <c r="B16" s="784"/>
    </row>
    <row r="17" spans="2:2" x14ac:dyDescent="0.25">
      <c r="B17" s="784"/>
    </row>
    <row r="18" spans="2:2" ht="13" x14ac:dyDescent="0.3">
      <c r="B18" s="785" t="s">
        <v>209</v>
      </c>
    </row>
    <row r="19" spans="2:2" x14ac:dyDescent="0.25">
      <c r="B19" s="747"/>
    </row>
    <row r="20" spans="2:2" x14ac:dyDescent="0.25">
      <c r="B20" s="784"/>
    </row>
    <row r="21" spans="2:2" ht="13" x14ac:dyDescent="0.25">
      <c r="B21" s="786" t="s">
        <v>210</v>
      </c>
    </row>
    <row r="22" spans="2:2" x14ac:dyDescent="0.25">
      <c r="B22" s="787"/>
    </row>
    <row r="23" spans="2:2" x14ac:dyDescent="0.25">
      <c r="B23" s="747"/>
    </row>
    <row r="24" spans="2:2" x14ac:dyDescent="0.25">
      <c r="B24" s="747"/>
    </row>
    <row r="25" spans="2:2" x14ac:dyDescent="0.25">
      <c r="B25" s="747"/>
    </row>
    <row r="26" spans="2:2" x14ac:dyDescent="0.25">
      <c r="B26" s="787"/>
    </row>
    <row r="75" ht="81" customHeight="1" x14ac:dyDescent="0.25"/>
    <row r="77" ht="97.5" customHeight="1" x14ac:dyDescent="0.25"/>
    <row r="79" ht="68.25" customHeight="1" x14ac:dyDescent="0.25"/>
    <row r="81" ht="63" customHeight="1" x14ac:dyDescent="0.25"/>
    <row r="83" ht="63.75" customHeight="1" x14ac:dyDescent="0.25"/>
    <row r="85" ht="37.5" customHeight="1" x14ac:dyDescent="0.25"/>
  </sheetData>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4">
          <controlPr defaultSize="0" autoLine="0" r:id="rId4">
            <anchor moveWithCells="1">
              <from>
                <xdr:col>1</xdr:col>
                <xdr:colOff>5765800</xdr:colOff>
                <xdr:row>0</xdr:row>
                <xdr:rowOff>95250</xdr:rowOff>
              </from>
              <to>
                <xdr:col>1</xdr:col>
                <xdr:colOff>7112000</xdr:colOff>
                <xdr:row>3</xdr:row>
                <xdr:rowOff>25400</xdr:rowOff>
              </to>
            </anchor>
          </controlPr>
        </control>
      </mc:Choice>
      <mc:Fallback>
        <control shapeId="31745" r:id="rId3" name="cmdInputSheet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
    <tabColor indexed="42"/>
  </sheetPr>
  <dimension ref="B2:D33"/>
  <sheetViews>
    <sheetView workbookViewId="0"/>
  </sheetViews>
  <sheetFormatPr defaultRowHeight="12.5" x14ac:dyDescent="0.25"/>
  <cols>
    <col min="2" max="2" width="36.81640625" customWidth="1"/>
    <col min="3" max="3" width="44.7265625" customWidth="1"/>
    <col min="4" max="4" width="53.81640625" customWidth="1"/>
    <col min="5" max="5" width="126.453125" customWidth="1"/>
  </cols>
  <sheetData>
    <row r="2" spans="2:4" ht="39" customHeight="1" x14ac:dyDescent="0.65">
      <c r="B2" s="782" t="s">
        <v>407</v>
      </c>
    </row>
    <row r="4" spans="2:4" ht="13" thickBot="1" x14ac:dyDescent="0.3"/>
    <row r="5" spans="2:4" ht="13.5" thickTop="1" x14ac:dyDescent="0.3">
      <c r="B5" s="788" t="s">
        <v>211</v>
      </c>
      <c r="C5" s="789"/>
      <c r="D5" s="790"/>
    </row>
    <row r="6" spans="2:4" ht="13" x14ac:dyDescent="0.3">
      <c r="B6" s="791" t="s">
        <v>212</v>
      </c>
      <c r="C6" s="523"/>
      <c r="D6" s="790"/>
    </row>
    <row r="7" spans="2:4" ht="13" x14ac:dyDescent="0.3">
      <c r="B7" s="791" t="s">
        <v>213</v>
      </c>
      <c r="C7" s="523"/>
      <c r="D7" s="790"/>
    </row>
    <row r="8" spans="2:4" ht="13" x14ac:dyDescent="0.3">
      <c r="B8" s="791" t="s">
        <v>214</v>
      </c>
      <c r="C8" s="523"/>
      <c r="D8" s="790"/>
    </row>
    <row r="9" spans="2:4" ht="13" x14ac:dyDescent="0.3">
      <c r="B9" s="791" t="s">
        <v>215</v>
      </c>
      <c r="C9" s="792"/>
      <c r="D9" s="793"/>
    </row>
    <row r="10" spans="2:4" ht="13" x14ac:dyDescent="0.3">
      <c r="B10" s="791" t="s">
        <v>216</v>
      </c>
      <c r="C10" s="523"/>
      <c r="D10" s="790"/>
    </row>
    <row r="11" spans="2:4" ht="13" x14ac:dyDescent="0.3">
      <c r="B11" s="791" t="s">
        <v>217</v>
      </c>
      <c r="C11" s="794"/>
      <c r="D11" s="795"/>
    </row>
    <row r="12" spans="2:4" ht="13.5" thickBot="1" x14ac:dyDescent="0.35">
      <c r="B12" s="796" t="s">
        <v>218</v>
      </c>
      <c r="C12" s="524"/>
      <c r="D12" s="790"/>
    </row>
    <row r="13" spans="2:4" ht="14" thickTop="1" thickBot="1" x14ac:dyDescent="0.35">
      <c r="B13" s="797"/>
      <c r="C13" s="790"/>
      <c r="D13" s="798"/>
    </row>
    <row r="14" spans="2:4" ht="13.5" thickTop="1" x14ac:dyDescent="0.3">
      <c r="B14" s="788" t="s">
        <v>219</v>
      </c>
      <c r="C14" s="799"/>
      <c r="D14" s="800"/>
    </row>
    <row r="15" spans="2:4" ht="13" x14ac:dyDescent="0.3">
      <c r="B15" s="791" t="s">
        <v>220</v>
      </c>
      <c r="C15" s="801"/>
      <c r="D15" s="802"/>
    </row>
    <row r="16" spans="2:4" ht="13" x14ac:dyDescent="0.3">
      <c r="B16" s="791" t="s">
        <v>221</v>
      </c>
      <c r="C16" s="737"/>
      <c r="D16" s="800"/>
    </row>
    <row r="17" spans="2:4" ht="13" x14ac:dyDescent="0.3">
      <c r="B17" s="791" t="s">
        <v>222</v>
      </c>
      <c r="C17" s="737"/>
      <c r="D17" s="800"/>
    </row>
    <row r="18" spans="2:4" ht="13" x14ac:dyDescent="0.3">
      <c r="B18" s="791" t="s">
        <v>223</v>
      </c>
      <c r="C18" s="737"/>
      <c r="D18" s="803"/>
    </row>
    <row r="19" spans="2:4" ht="13" x14ac:dyDescent="0.3">
      <c r="B19" s="791" t="s">
        <v>224</v>
      </c>
      <c r="C19" s="737"/>
      <c r="D19" s="800"/>
    </row>
    <row r="20" spans="2:4" ht="13" x14ac:dyDescent="0.3">
      <c r="B20" s="791" t="s">
        <v>225</v>
      </c>
      <c r="C20" s="737"/>
      <c r="D20" s="800"/>
    </row>
    <row r="21" spans="2:4" ht="13" x14ac:dyDescent="0.3">
      <c r="B21" s="791" t="s">
        <v>226</v>
      </c>
      <c r="C21" s="737"/>
      <c r="D21" s="800"/>
    </row>
    <row r="22" spans="2:4" ht="26" x14ac:dyDescent="0.3">
      <c r="B22" s="804" t="s">
        <v>227</v>
      </c>
      <c r="C22" s="801"/>
      <c r="D22" s="800"/>
    </row>
    <row r="23" spans="2:4" ht="13" x14ac:dyDescent="0.3">
      <c r="B23" s="804" t="s">
        <v>228</v>
      </c>
      <c r="C23" s="737"/>
      <c r="D23" s="800"/>
    </row>
    <row r="24" spans="2:4" ht="13.5" thickBot="1" x14ac:dyDescent="0.35">
      <c r="B24" s="796" t="s">
        <v>229</v>
      </c>
      <c r="C24" s="805"/>
      <c r="D24" s="800"/>
    </row>
    <row r="25" spans="2:4" ht="14" thickTop="1" thickBot="1" x14ac:dyDescent="0.35">
      <c r="B25" s="806"/>
      <c r="C25" s="800"/>
      <c r="D25" s="800"/>
    </row>
    <row r="26" spans="2:4" ht="13.5" thickTop="1" x14ac:dyDescent="0.3">
      <c r="B26" s="1697" t="s">
        <v>230</v>
      </c>
      <c r="C26" s="1698"/>
      <c r="D26" s="1699"/>
    </row>
    <row r="27" spans="2:4" ht="13" x14ac:dyDescent="0.3">
      <c r="B27" s="807" t="s">
        <v>231</v>
      </c>
      <c r="C27" s="808" t="s">
        <v>232</v>
      </c>
      <c r="D27" s="809" t="s">
        <v>1030</v>
      </c>
    </row>
    <row r="28" spans="2:4" x14ac:dyDescent="0.25">
      <c r="B28" s="810"/>
      <c r="C28" s="811"/>
      <c r="D28" s="737"/>
    </row>
    <row r="29" spans="2:4" x14ac:dyDescent="0.25">
      <c r="B29" s="812"/>
      <c r="C29" s="811"/>
      <c r="D29" s="737"/>
    </row>
    <row r="30" spans="2:4" x14ac:dyDescent="0.25">
      <c r="B30" s="812"/>
      <c r="C30" s="811"/>
      <c r="D30" s="737"/>
    </row>
    <row r="31" spans="2:4" x14ac:dyDescent="0.25">
      <c r="B31" s="812"/>
      <c r="C31" s="811"/>
      <c r="D31" s="737"/>
    </row>
    <row r="32" spans="2:4" x14ac:dyDescent="0.25">
      <c r="B32" s="812"/>
      <c r="C32" s="811"/>
      <c r="D32" s="737"/>
    </row>
    <row r="33" spans="2:4" ht="13" thickBot="1" x14ac:dyDescent="0.3">
      <c r="B33" s="813"/>
      <c r="C33" s="814"/>
      <c r="D33" s="805"/>
    </row>
  </sheetData>
  <mergeCells count="1">
    <mergeCell ref="B26:D26"/>
  </mergeCells>
  <phoneticPr fontId="2" type="noConversion"/>
  <pageMargins left="0.75" right="0.75" top="1" bottom="1" header="0.5" footer="0.5"/>
  <headerFooter alignWithMargins="0"/>
  <drawing r:id="rId1"/>
  <legacyDrawing r:id="rId2"/>
  <controls>
    <mc:AlternateContent xmlns:mc="http://schemas.openxmlformats.org/markup-compatibility/2006">
      <mc:Choice Requires="x14">
        <control shapeId="32769" r:id="rId3" name="cmdInputSheet3">
          <controlPr defaultSize="0" autoLine="0" r:id="rId4">
            <anchor moveWithCells="1">
              <from>
                <xdr:col>3</xdr:col>
                <xdr:colOff>647700</xdr:colOff>
                <xdr:row>1</xdr:row>
                <xdr:rowOff>12700</xdr:rowOff>
              </from>
              <to>
                <xdr:col>3</xdr:col>
                <xdr:colOff>1987550</xdr:colOff>
                <xdr:row>2</xdr:row>
                <xdr:rowOff>44450</xdr:rowOff>
              </to>
            </anchor>
          </controlPr>
        </control>
      </mc:Choice>
      <mc:Fallback>
        <control shapeId="32769" r:id="rId3" name="cmdInputSheet3"/>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2.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EF8E5CF-3FBC-4639-B789-46FCAB06DA57}">
  <ds:schemaRefs>
    <ds:schemaRef ds:uri="http://purl.org/dc/terms/"/>
    <ds:schemaRef ds:uri="http://schemas.openxmlformats.org/package/2006/metadata/core-properties"/>
    <ds:schemaRef ds:uri="http://schemas.microsoft.com/office/2006/documentManagement/types"/>
    <ds:schemaRef ds:uri="http://purl.org/dc/elements/1.1/"/>
    <ds:schemaRef ds:uri="http://schemas.microsoft.com/office/2006/metadata/properties"/>
    <ds:schemaRef ds:uri="d82b9494-d8c4-46c3-8d38-25b9e100fe6d"/>
    <ds:schemaRef ds:uri="http://www.w3.org/XML/1998/namespace"/>
    <ds:schemaRef ds:uri="http://purl.org/dc/dcmitype/"/>
  </ds:schemaRefs>
</ds:datastoreItem>
</file>

<file path=customXml/itemProps4.xml><?xml version="1.0" encoding="utf-8"?>
<ds:datastoreItem xmlns:ds="http://schemas.openxmlformats.org/officeDocument/2006/customXml" ds:itemID="{5FD97086-85F3-44E1-B356-8D8C4A3E015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316</vt:i4>
      </vt:variant>
    </vt:vector>
  </HeadingPairs>
  <TitlesOfParts>
    <vt:vector size="338"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ProcessFlow - blank</vt:lpstr>
      <vt:lpstr>Description - blank</vt:lpstr>
      <vt:lpstr>Title - blank</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CEPC_Factor_08to05</vt:lpstr>
      <vt:lpstr>CEPCIinflator</vt:lpstr>
      <vt:lpstr>Chemical_price_indexes</vt:lpstr>
      <vt:lpstr>CO2_aprx_indCap</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feedstockWoody_Biomass_Price</vt:lpstr>
      <vt:lpstr>feedstockWoody_Biomass_Usage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NG_to_CO2Pipeline</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pump_power</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utilityCommercial_Natural_Gas_Price</vt:lpstr>
      <vt:lpstr>utilityCommercial_Natural_Gas_Usage</vt:lpstr>
      <vt:lpstr>utilityIndustrial_Electricity_Price</vt:lpstr>
      <vt:lpstr>utilityIndustrial_Electricity_Usage</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Future Central Hydrogen Production via Biomass Gasification version 3.2018</dc:title>
  <dc:subject>DOE H2A production case study for future central hydrogen production from biomass gasification.</dc:subject>
  <dc:creator>dsteward</dc:creator>
  <cp:lastModifiedBy>JRICKARD</cp:lastModifiedBy>
  <cp:lastPrinted>2008-09-22T17:50:40Z</cp:lastPrinted>
  <dcterms:created xsi:type="dcterms:W3CDTF">2007-03-27T19:45:13Z</dcterms:created>
  <dcterms:modified xsi:type="dcterms:W3CDTF">2018-11-27T16:52:57Z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